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12.25/"/>
    </mc:Choice>
  </mc:AlternateContent>
  <xr:revisionPtr revIDLastSave="297" documentId="8_{28657992-B083-41C9-9127-2E230394DB10}" xr6:coauthVersionLast="47" xr6:coauthVersionMax="47" xr10:uidLastSave="{12F77509-DC4F-4AC4-AA40-47ABE4C3F066}"/>
  <bookViews>
    <workbookView xWindow="38290" yWindow="-110" windowWidth="38620" windowHeight="21100" xr2:uid="{6FAD7F32-29BD-F540-A6D0-2A8AE972A7F1}"/>
  </bookViews>
  <sheets>
    <sheet name="BY REGION" sheetId="1" r:id="rId1"/>
    <sheet name="BY AREA" sheetId="8" r:id="rId2"/>
    <sheet name="LEGEND&amp;DATA" sheetId="2" r:id="rId3"/>
    <sheet name="WORKSHEET" sheetId="3" state="hidden" r:id="rId4"/>
    <sheet name="INP_DATA" sheetId="5" state="hidden" r:id="rId5"/>
    <sheet name="INP_PRODUCERS" sheetId="4" state="hidden" r:id="rId6"/>
    <sheet name="INP_TRNGATT" sheetId="11" state="hidden" r:id="rId7"/>
    <sheet name="TRNGATT_CB" sheetId="13" state="hidden" r:id="rId8"/>
    <sheet name="INP_MYSSHP" sheetId="6" state="hidden" r:id="rId9"/>
    <sheet name="CB_TRNGATT" sheetId="14" state="hidden" r:id="rId10"/>
    <sheet name="KEY" sheetId="9" state="hidden" r:id="rId11"/>
    <sheet name="TREND" sheetId="7" state="hidden" r:id="rId12"/>
    <sheet name="WEBSITE" sheetId="12" state="hidden" r:id="rId13"/>
  </sheets>
  <definedNames>
    <definedName name="_xlnm._FilterDatabase" localSheetId="4" hidden="1">INP_DATA!$A$4:$D$2212</definedName>
    <definedName name="_xlnm._FilterDatabase" localSheetId="8" hidden="1">INP_MYSSHP!$B$4:$D$2348</definedName>
    <definedName name="_xlnm._FilterDatabase" localSheetId="5" hidden="1">INP_PRODUCERS!$B$4:$E$2578</definedName>
    <definedName name="_xlnm._FilterDatabase" localSheetId="6" hidden="1">INP_TRNGATT!$B$4:$D$2414</definedName>
    <definedName name="_xlnm._FilterDatabase" localSheetId="3" hidden="1">INP_DATA!$A$4:$R$2212</definedName>
    <definedName name="_xlnm.Print_Area" localSheetId="0">'BY REGION'!$B$2:$M$86</definedName>
    <definedName name="_xlnm.Print_Area" localSheetId="11">TREND!$B$2:$H$47</definedName>
    <definedName name="_xlnm.Print_Area" localSheetId="12">WEBSITE!$B$2:$M$85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9" l="1"/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7" i="9"/>
  <c r="G48" i="9"/>
  <c r="G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15" i="9"/>
  <c r="V8" i="9"/>
  <c r="V9" i="9"/>
  <c r="V10" i="9"/>
  <c r="V11" i="9"/>
  <c r="V12" i="9"/>
  <c r="V13" i="9"/>
  <c r="V14" i="9"/>
  <c r="V7" i="9"/>
  <c r="A69" i="9"/>
  <c r="A32" i="9"/>
  <c r="A31" i="9"/>
  <c r="A70" i="9"/>
  <c r="A26" i="9"/>
  <c r="A71" i="9"/>
  <c r="W33" i="7"/>
  <c r="V33" i="7" s="1"/>
  <c r="W32" i="7"/>
  <c r="V32" i="7"/>
  <c r="W31" i="7"/>
  <c r="V31" i="7"/>
  <c r="W30" i="7"/>
  <c r="V30" i="7"/>
  <c r="W29" i="7"/>
  <c r="V29" i="7"/>
  <c r="W28" i="7"/>
  <c r="V28" i="7"/>
  <c r="W27" i="7"/>
  <c r="V27" i="7"/>
  <c r="C2" i="12"/>
  <c r="A33" i="9" l="1"/>
  <c r="G33" i="9" s="1"/>
  <c r="A27" i="9"/>
  <c r="AE29" i="2"/>
  <c r="A34" i="9" l="1"/>
  <c r="G34" i="9" s="1"/>
  <c r="A28" i="9"/>
  <c r="C1385" i="4"/>
  <c r="A1385" i="4"/>
  <c r="C1384" i="4"/>
  <c r="A1384" i="4"/>
  <c r="C1383" i="4"/>
  <c r="A1383" i="4"/>
  <c r="W56" i="2"/>
  <c r="X56" i="2" s="1"/>
  <c r="C43" i="3"/>
  <c r="A35" i="9" l="1"/>
  <c r="G35" i="9" s="1"/>
  <c r="A29" i="9"/>
  <c r="A30" i="9"/>
  <c r="C1185" i="4"/>
  <c r="A1185" i="4"/>
  <c r="A36" i="9" l="1"/>
  <c r="G36" i="9" s="1"/>
  <c r="A37" i="9"/>
  <c r="G37" i="9" s="1"/>
  <c r="AG99" i="2"/>
  <c r="AG98" i="2"/>
  <c r="AG97" i="2"/>
  <c r="AG96" i="2"/>
  <c r="AG95" i="2"/>
  <c r="AG94" i="2"/>
  <c r="AG93" i="2"/>
  <c r="AG92" i="2"/>
  <c r="A38" i="9" l="1"/>
  <c r="G38" i="9" s="1"/>
  <c r="A39" i="9"/>
  <c r="G39" i="9" s="1"/>
  <c r="W99" i="2"/>
  <c r="X99" i="2" s="1"/>
  <c r="W98" i="2"/>
  <c r="X98" i="2" s="1"/>
  <c r="W97" i="2"/>
  <c r="X97" i="2" s="1"/>
  <c r="W96" i="2"/>
  <c r="X96" i="2" s="1"/>
  <c r="W95" i="2"/>
  <c r="X95" i="2" s="1"/>
  <c r="W94" i="2"/>
  <c r="X94" i="2" s="1"/>
  <c r="W93" i="2"/>
  <c r="X93" i="2" s="1"/>
  <c r="W92" i="2"/>
  <c r="X92" i="2" s="1"/>
  <c r="W90" i="2"/>
  <c r="X90" i="2" s="1"/>
  <c r="W89" i="2"/>
  <c r="X89" i="2" s="1"/>
  <c r="W88" i="2"/>
  <c r="X88" i="2" s="1"/>
  <c r="W87" i="2"/>
  <c r="X87" i="2" s="1"/>
  <c r="W86" i="2"/>
  <c r="X86" i="2" s="1"/>
  <c r="W85" i="2"/>
  <c r="X85" i="2" s="1"/>
  <c r="W84" i="2"/>
  <c r="X84" i="2" s="1"/>
  <c r="W83" i="2"/>
  <c r="X83" i="2" s="1"/>
  <c r="W82" i="2"/>
  <c r="X82" i="2" s="1"/>
  <c r="W81" i="2"/>
  <c r="X81" i="2" s="1"/>
  <c r="W80" i="2"/>
  <c r="X80" i="2" s="1"/>
  <c r="W79" i="2"/>
  <c r="X79" i="2" s="1"/>
  <c r="W78" i="2"/>
  <c r="X78" i="2" s="1"/>
  <c r="W77" i="2"/>
  <c r="X77" i="2" s="1"/>
  <c r="W76" i="2"/>
  <c r="X76" i="2" s="1"/>
  <c r="W75" i="2"/>
  <c r="X75" i="2" s="1"/>
  <c r="W74" i="2"/>
  <c r="X74" i="2" s="1"/>
  <c r="W73" i="2"/>
  <c r="X73" i="2" s="1"/>
  <c r="W72" i="2"/>
  <c r="X72" i="2" s="1"/>
  <c r="W71" i="2"/>
  <c r="X71" i="2" s="1"/>
  <c r="W70" i="2"/>
  <c r="X70" i="2" s="1"/>
  <c r="W69" i="2"/>
  <c r="X69" i="2" s="1"/>
  <c r="W68" i="2"/>
  <c r="X68" i="2" s="1"/>
  <c r="W67" i="2"/>
  <c r="X67" i="2" s="1"/>
  <c r="W66" i="2"/>
  <c r="X66" i="2" s="1"/>
  <c r="W65" i="2"/>
  <c r="X65" i="2" s="1"/>
  <c r="W64" i="2"/>
  <c r="X64" i="2" s="1"/>
  <c r="W63" i="2"/>
  <c r="X63" i="2" s="1"/>
  <c r="W62" i="2"/>
  <c r="X62" i="2" s="1"/>
  <c r="W61" i="2"/>
  <c r="X61" i="2" s="1"/>
  <c r="W60" i="2"/>
  <c r="X60" i="2" s="1"/>
  <c r="W59" i="2"/>
  <c r="X59" i="2" s="1"/>
  <c r="W58" i="2"/>
  <c r="X58" i="2" s="1"/>
  <c r="W57" i="2"/>
  <c r="X57" i="2" s="1"/>
  <c r="W55" i="2"/>
  <c r="X55" i="2" s="1"/>
  <c r="W54" i="2"/>
  <c r="X54" i="2" s="1"/>
  <c r="W53" i="2"/>
  <c r="X53" i="2" s="1"/>
  <c r="W52" i="2"/>
  <c r="X52" i="2" s="1"/>
  <c r="W51" i="2"/>
  <c r="X51" i="2" s="1"/>
  <c r="W50" i="2"/>
  <c r="X50" i="2" s="1"/>
  <c r="W49" i="2"/>
  <c r="X49" i="2" s="1"/>
  <c r="W48" i="2"/>
  <c r="X48" i="2" s="1"/>
  <c r="W47" i="2"/>
  <c r="X47" i="2" s="1"/>
  <c r="W46" i="2"/>
  <c r="X46" i="2" s="1"/>
  <c r="W45" i="2"/>
  <c r="X45" i="2" s="1"/>
  <c r="W44" i="2"/>
  <c r="X44" i="2" s="1"/>
  <c r="W43" i="2"/>
  <c r="X43" i="2" s="1"/>
  <c r="W42" i="2"/>
  <c r="X42" i="2" s="1"/>
  <c r="W41" i="2"/>
  <c r="X41" i="2" s="1"/>
  <c r="W40" i="2"/>
  <c r="X40" i="2" s="1"/>
  <c r="W39" i="2"/>
  <c r="X39" i="2" s="1"/>
  <c r="W38" i="2"/>
  <c r="X38" i="2" s="1"/>
  <c r="W37" i="2"/>
  <c r="X37" i="2" s="1"/>
  <c r="W36" i="2"/>
  <c r="X36" i="2" s="1"/>
  <c r="W35" i="2"/>
  <c r="X35" i="2" s="1"/>
  <c r="W34" i="2"/>
  <c r="X34" i="2" s="1"/>
  <c r="W33" i="2"/>
  <c r="X33" i="2" s="1"/>
  <c r="W32" i="2"/>
  <c r="X32" i="2" s="1"/>
  <c r="W31" i="2"/>
  <c r="X31" i="2" s="1"/>
  <c r="W30" i="2"/>
  <c r="X30" i="2" s="1"/>
  <c r="W28" i="2"/>
  <c r="X28" i="2" s="1"/>
  <c r="W27" i="2"/>
  <c r="X27" i="2" s="1"/>
  <c r="W26" i="2"/>
  <c r="X26" i="2" s="1"/>
  <c r="W25" i="2"/>
  <c r="X25" i="2" s="1"/>
  <c r="W24" i="2"/>
  <c r="X24" i="2" s="1"/>
  <c r="W23" i="2"/>
  <c r="X23" i="2" s="1"/>
  <c r="W22" i="2"/>
  <c r="X22" i="2" s="1"/>
  <c r="W21" i="2"/>
  <c r="X21" i="2" s="1"/>
  <c r="A40" i="9" l="1"/>
  <c r="G40" i="9" s="1"/>
  <c r="AA86" i="3"/>
  <c r="AA85" i="3"/>
  <c r="AA84" i="3"/>
  <c r="AA83" i="3"/>
  <c r="AA82" i="3"/>
  <c r="AA81" i="3"/>
  <c r="AA80" i="3"/>
  <c r="AA79" i="3"/>
  <c r="AA78" i="3"/>
  <c r="AA77" i="3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V2" i="3"/>
  <c r="C2382" i="4"/>
  <c r="C2381" i="4"/>
  <c r="C2380" i="4"/>
  <c r="C2379" i="4"/>
  <c r="C2378" i="4"/>
  <c r="C2377" i="4"/>
  <c r="C2376" i="4"/>
  <c r="C2375" i="4"/>
  <c r="C2374" i="4"/>
  <c r="C2373" i="4"/>
  <c r="C2372" i="4"/>
  <c r="C2371" i="4"/>
  <c r="C2370" i="4"/>
  <c r="C2369" i="4"/>
  <c r="B1389" i="4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2383" i="4"/>
  <c r="A1388" i="4"/>
  <c r="A1387" i="4"/>
  <c r="A1386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932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41" i="9" l="1"/>
  <c r="E2562" i="4"/>
  <c r="D997" i="11"/>
  <c r="D1002" i="11"/>
  <c r="D959" i="11"/>
  <c r="D969" i="11"/>
  <c r="D1003" i="11"/>
  <c r="D1033" i="11"/>
  <c r="D949" i="11"/>
  <c r="D968" i="11"/>
  <c r="D979" i="11"/>
  <c r="D1022" i="11"/>
  <c r="D1023" i="11"/>
  <c r="B1427" i="4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D943" i="11"/>
  <c r="D953" i="11"/>
  <c r="D973" i="11"/>
  <c r="D963" i="11"/>
  <c r="D983" i="11"/>
  <c r="D1004" i="11"/>
  <c r="D1043" i="11"/>
  <c r="D996" i="11"/>
  <c r="D1016" i="11"/>
  <c r="D998" i="11"/>
  <c r="D999" i="11"/>
  <c r="D1000" i="11"/>
  <c r="D1001" i="11"/>
  <c r="D1013" i="11"/>
  <c r="D988" i="11"/>
  <c r="D950" i="11"/>
  <c r="D960" i="11"/>
  <c r="D970" i="11"/>
  <c r="D980" i="11"/>
  <c r="D951" i="11"/>
  <c r="D961" i="11"/>
  <c r="D971" i="11"/>
  <c r="D981" i="11"/>
  <c r="D942" i="11"/>
  <c r="D952" i="11"/>
  <c r="D962" i="11"/>
  <c r="D972" i="11"/>
  <c r="D982" i="11"/>
  <c r="D944" i="11"/>
  <c r="D954" i="11"/>
  <c r="D964" i="11"/>
  <c r="D974" i="11"/>
  <c r="D984" i="11"/>
  <c r="D945" i="11"/>
  <c r="D955" i="11"/>
  <c r="D965" i="11"/>
  <c r="D975" i="11"/>
  <c r="D985" i="11"/>
  <c r="D946" i="11"/>
  <c r="D956" i="11"/>
  <c r="D966" i="11"/>
  <c r="D976" i="11"/>
  <c r="D986" i="11"/>
  <c r="D947" i="11"/>
  <c r="D957" i="11"/>
  <c r="D967" i="11"/>
  <c r="D977" i="11"/>
  <c r="D948" i="11"/>
  <c r="D958" i="11"/>
  <c r="D978" i="11"/>
  <c r="D989" i="11"/>
  <c r="D990" i="11"/>
  <c r="D991" i="11"/>
  <c r="D992" i="11"/>
  <c r="D993" i="11"/>
  <c r="D994" i="11"/>
  <c r="D995" i="11"/>
  <c r="D987" i="11"/>
  <c r="D1044" i="11"/>
  <c r="D1045" i="11"/>
  <c r="D1046" i="11"/>
  <c r="D1047" i="11"/>
  <c r="D1048" i="11"/>
  <c r="D1049" i="11"/>
  <c r="D1041" i="11"/>
  <c r="D1042" i="11"/>
  <c r="D1034" i="11"/>
  <c r="D1035" i="11"/>
  <c r="D1036" i="11"/>
  <c r="D1037" i="11"/>
  <c r="D1038" i="11"/>
  <c r="D1039" i="11"/>
  <c r="D1040" i="11"/>
  <c r="D1032" i="11"/>
  <c r="D1024" i="11"/>
  <c r="D1025" i="11"/>
  <c r="D1026" i="11"/>
  <c r="D1027" i="11"/>
  <c r="D1028" i="11"/>
  <c r="D1029" i="11"/>
  <c r="D1030" i="11"/>
  <c r="D1031" i="11"/>
  <c r="D1014" i="11"/>
  <c r="D1015" i="11"/>
  <c r="D1017" i="11"/>
  <c r="D1018" i="11"/>
  <c r="D1019" i="11"/>
  <c r="D1020" i="11"/>
  <c r="D1021" i="11"/>
  <c r="D1005" i="11"/>
  <c r="D1006" i="11"/>
  <c r="D1007" i="11"/>
  <c r="D1008" i="11"/>
  <c r="D1009" i="11"/>
  <c r="D1010" i="11"/>
  <c r="D1011" i="11"/>
  <c r="D1012" i="11"/>
  <c r="A5" i="6"/>
  <c r="E960" i="6" s="1"/>
  <c r="A6" i="11"/>
  <c r="A5" i="11"/>
  <c r="A42" i="9" l="1"/>
  <c r="G41" i="9"/>
  <c r="F969" i="6"/>
  <c r="F975" i="6"/>
  <c r="F979" i="6"/>
  <c r="F984" i="6"/>
  <c r="E984" i="6"/>
  <c r="E983" i="6"/>
  <c r="E975" i="6"/>
  <c r="E977" i="6"/>
  <c r="E971" i="6"/>
  <c r="F978" i="6"/>
  <c r="F959" i="6"/>
  <c r="F958" i="6"/>
  <c r="F970" i="6"/>
  <c r="E945" i="6"/>
  <c r="E980" i="6"/>
  <c r="F948" i="6"/>
  <c r="E974" i="6"/>
  <c r="E978" i="6"/>
  <c r="E969" i="6"/>
  <c r="F965" i="6"/>
  <c r="E973" i="6"/>
  <c r="F972" i="6"/>
  <c r="F962" i="6"/>
  <c r="F981" i="6"/>
  <c r="E954" i="6"/>
  <c r="E929" i="6"/>
  <c r="E934" i="6"/>
  <c r="E924" i="6"/>
  <c r="F961" i="6"/>
  <c r="E956" i="6"/>
  <c r="E951" i="6"/>
  <c r="E965" i="6"/>
  <c r="E953" i="6"/>
  <c r="E938" i="6"/>
  <c r="F977" i="6"/>
  <c r="F952" i="6"/>
  <c r="F974" i="6"/>
  <c r="E964" i="6"/>
  <c r="F980" i="6"/>
  <c r="F976" i="6"/>
  <c r="E957" i="6"/>
  <c r="F967" i="6"/>
  <c r="F954" i="6"/>
  <c r="F964" i="6"/>
  <c r="E968" i="6"/>
  <c r="E939" i="6"/>
  <c r="F957" i="6"/>
  <c r="F956" i="6"/>
  <c r="E966" i="6"/>
  <c r="E970" i="6"/>
  <c r="E949" i="6"/>
  <c r="E933" i="6"/>
  <c r="E952" i="6"/>
  <c r="F968" i="6"/>
  <c r="E928" i="6"/>
  <c r="E947" i="6"/>
  <c r="F982" i="6"/>
  <c r="E979" i="6"/>
  <c r="E959" i="6"/>
  <c r="E948" i="6"/>
  <c r="F963" i="6"/>
  <c r="F955" i="6"/>
  <c r="F973" i="6"/>
  <c r="F938" i="6"/>
  <c r="F960" i="6"/>
  <c r="E972" i="6"/>
  <c r="E976" i="6"/>
  <c r="E967" i="6"/>
  <c r="E958" i="6"/>
  <c r="E962" i="6"/>
  <c r="F950" i="6"/>
  <c r="E961" i="6"/>
  <c r="F935" i="6"/>
  <c r="F928" i="6"/>
  <c r="E915" i="6"/>
  <c r="F914" i="6"/>
  <c r="E914" i="6"/>
  <c r="F913" i="6"/>
  <c r="E912" i="6"/>
  <c r="F947" i="6"/>
  <c r="F966" i="6"/>
  <c r="F949" i="6"/>
  <c r="E982" i="6"/>
  <c r="E963" i="6"/>
  <c r="E944" i="6"/>
  <c r="E943" i="6"/>
  <c r="F919" i="6"/>
  <c r="F953" i="6"/>
  <c r="F941" i="6"/>
  <c r="F930" i="6"/>
  <c r="F922" i="6"/>
  <c r="E922" i="6"/>
  <c r="F921" i="6"/>
  <c r="F911" i="6"/>
  <c r="F908" i="6"/>
  <c r="E908" i="6"/>
  <c r="E919" i="6"/>
  <c r="E916" i="6"/>
  <c r="E921" i="6"/>
  <c r="E927" i="6"/>
  <c r="F917" i="6"/>
  <c r="E911" i="6"/>
  <c r="F926" i="6"/>
  <c r="E917" i="6"/>
  <c r="E910" i="6"/>
  <c r="F923" i="6"/>
  <c r="F916" i="6"/>
  <c r="F909" i="6"/>
  <c r="E923" i="6"/>
  <c r="F937" i="6"/>
  <c r="E909" i="6"/>
  <c r="E935" i="6"/>
  <c r="E931" i="6"/>
  <c r="F927" i="6"/>
  <c r="F933" i="6"/>
  <c r="E946" i="6"/>
  <c r="F939" i="6"/>
  <c r="F929" i="6"/>
  <c r="E937" i="6"/>
  <c r="F934" i="6"/>
  <c r="E925" i="6"/>
  <c r="F918" i="6"/>
  <c r="E913" i="6"/>
  <c r="F924" i="6"/>
  <c r="E918" i="6"/>
  <c r="F912" i="6"/>
  <c r="F931" i="6"/>
  <c r="F945" i="6"/>
  <c r="F932" i="6"/>
  <c r="E926" i="6"/>
  <c r="F920" i="6"/>
  <c r="F915" i="6"/>
  <c r="F910" i="6"/>
  <c r="F944" i="6"/>
  <c r="E932" i="6"/>
  <c r="F925" i="6"/>
  <c r="E920" i="6"/>
  <c r="F951" i="6"/>
  <c r="E941" i="6"/>
  <c r="E950" i="6"/>
  <c r="F940" i="6"/>
  <c r="F946" i="6"/>
  <c r="E940" i="6"/>
  <c r="F983" i="6"/>
  <c r="E981" i="6"/>
  <c r="F943" i="6"/>
  <c r="F936" i="6"/>
  <c r="F971" i="6"/>
  <c r="F942" i="6"/>
  <c r="E936" i="6"/>
  <c r="E930" i="6"/>
  <c r="E955" i="6"/>
  <c r="E942" i="6"/>
  <c r="D939" i="11"/>
  <c r="D938" i="11"/>
  <c r="D937" i="11"/>
  <c r="D936" i="11"/>
  <c r="D935" i="11"/>
  <c r="D934" i="11"/>
  <c r="D941" i="11"/>
  <c r="D940" i="11"/>
  <c r="D933" i="11"/>
  <c r="B1461" i="4"/>
  <c r="A43" i="9" l="1"/>
  <c r="G42" i="9"/>
  <c r="B1462" i="4"/>
  <c r="A44" i="9" l="1"/>
  <c r="G43" i="9"/>
  <c r="B1463" i="4"/>
  <c r="A45" i="9" l="1"/>
  <c r="G44" i="9"/>
  <c r="B1464" i="4"/>
  <c r="A46" i="9" l="1"/>
  <c r="G45" i="9"/>
  <c r="B1465" i="4"/>
  <c r="A49" i="9" l="1"/>
  <c r="G46" i="9"/>
  <c r="B1466" i="4"/>
  <c r="A50" i="9" l="1"/>
  <c r="G49" i="9"/>
  <c r="B1467" i="4"/>
  <c r="A51" i="9" l="1"/>
  <c r="G50" i="9"/>
  <c r="B1468" i="4"/>
  <c r="A52" i="9" l="1"/>
  <c r="G51" i="9"/>
  <c r="B1469" i="4"/>
  <c r="A53" i="9" l="1"/>
  <c r="G52" i="9"/>
  <c r="B1470" i="4"/>
  <c r="A54" i="9" l="1"/>
  <c r="G53" i="9"/>
  <c r="B1471" i="4"/>
  <c r="A55" i="9" l="1"/>
  <c r="G54" i="9"/>
  <c r="B1472" i="4"/>
  <c r="A56" i="9" l="1"/>
  <c r="G55" i="9"/>
  <c r="B1473" i="4"/>
  <c r="A57" i="9" l="1"/>
  <c r="G56" i="9"/>
  <c r="B1474" i="4"/>
  <c r="A58" i="9" l="1"/>
  <c r="G57" i="9"/>
  <c r="B1475" i="4"/>
  <c r="A59" i="9" l="1"/>
  <c r="G58" i="9"/>
  <c r="B1476" i="4"/>
  <c r="A60" i="9" l="1"/>
  <c r="G59" i="9"/>
  <c r="B1477" i="4"/>
  <c r="A61" i="9" l="1"/>
  <c r="G60" i="9"/>
  <c r="B1478" i="4"/>
  <c r="A62" i="9" l="1"/>
  <c r="G61" i="9"/>
  <c r="B1479" i="4"/>
  <c r="A63" i="9" l="1"/>
  <c r="G62" i="9"/>
  <c r="B1480" i="4"/>
  <c r="A64" i="9" l="1"/>
  <c r="G63" i="9"/>
  <c r="B1481" i="4"/>
  <c r="A65" i="9" l="1"/>
  <c r="G64" i="9"/>
  <c r="B1482" i="4"/>
  <c r="A66" i="9" l="1"/>
  <c r="G65" i="9"/>
  <c r="B1483" i="4"/>
  <c r="A67" i="9" l="1"/>
  <c r="G66" i="9"/>
  <c r="B1484" i="4"/>
  <c r="A68" i="9" l="1"/>
  <c r="G68" i="9" s="1"/>
  <c r="G67" i="9"/>
  <c r="B1485" i="4"/>
  <c r="B1486" i="4" l="1"/>
  <c r="B1487" i="4" l="1"/>
  <c r="B1488" i="4" l="1"/>
  <c r="B1489" i="4" l="1"/>
  <c r="B1490" i="4" l="1"/>
  <c r="B1491" i="4" l="1"/>
  <c r="B1492" i="4" l="1"/>
  <c r="B1493" i="4" l="1"/>
  <c r="B1494" i="4" l="1"/>
  <c r="B1495" i="4" l="1"/>
  <c r="B1496" i="4" l="1"/>
  <c r="B1497" i="4" l="1"/>
  <c r="B1498" i="4" l="1"/>
  <c r="B1499" i="4" l="1"/>
  <c r="B1500" i="4" l="1"/>
  <c r="B1501" i="4" l="1"/>
  <c r="B1502" i="4" l="1"/>
  <c r="B1503" i="4" l="1"/>
  <c r="B1504" i="4" l="1"/>
  <c r="B1505" i="4" l="1"/>
  <c r="B1506" i="4" l="1"/>
  <c r="B1507" i="4" l="1"/>
  <c r="B1508" i="4" l="1"/>
  <c r="B1509" i="4" l="1"/>
  <c r="B1510" i="4" l="1"/>
  <c r="B1511" i="4" l="1"/>
  <c r="B1512" i="4" l="1"/>
  <c r="B1513" i="4" l="1"/>
  <c r="B1514" i="4" l="1"/>
  <c r="B1515" i="4" l="1"/>
  <c r="B1516" i="4" l="1"/>
  <c r="B1517" i="4" l="1"/>
  <c r="B1518" i="4" l="1"/>
  <c r="B1519" i="4" l="1"/>
  <c r="B1520" i="4" l="1"/>
  <c r="A2212" i="5"/>
  <c r="A2211" i="5"/>
  <c r="A2210" i="5"/>
  <c r="A2209" i="5"/>
  <c r="A2208" i="5"/>
  <c r="A2207" i="5"/>
  <c r="A2206" i="5"/>
  <c r="A2205" i="5"/>
  <c r="A2204" i="5"/>
  <c r="A2203" i="5"/>
  <c r="A2202" i="5"/>
  <c r="A2201" i="5"/>
  <c r="A2200" i="5"/>
  <c r="A2199" i="5"/>
  <c r="A2198" i="5"/>
  <c r="A2197" i="5"/>
  <c r="A2196" i="5"/>
  <c r="A2195" i="5"/>
  <c r="A2194" i="5"/>
  <c r="A2193" i="5"/>
  <c r="A2192" i="5"/>
  <c r="A2191" i="5"/>
  <c r="A2190" i="5"/>
  <c r="A2189" i="5"/>
  <c r="A2188" i="5"/>
  <c r="A2187" i="5"/>
  <c r="A2186" i="5"/>
  <c r="A2185" i="5"/>
  <c r="A2184" i="5"/>
  <c r="A2183" i="5"/>
  <c r="A2182" i="5"/>
  <c r="A2181" i="5"/>
  <c r="A2180" i="5"/>
  <c r="A2179" i="5"/>
  <c r="A2178" i="5"/>
  <c r="A2177" i="5"/>
  <c r="A2176" i="5"/>
  <c r="A2175" i="5"/>
  <c r="A2174" i="5"/>
  <c r="A2173" i="5"/>
  <c r="A2172" i="5"/>
  <c r="A2171" i="5"/>
  <c r="A2170" i="5"/>
  <c r="A2169" i="5"/>
  <c r="A2168" i="5"/>
  <c r="A2167" i="5"/>
  <c r="A2166" i="5"/>
  <c r="A2165" i="5"/>
  <c r="A2164" i="5"/>
  <c r="A2163" i="5"/>
  <c r="A2162" i="5"/>
  <c r="A2161" i="5"/>
  <c r="A2160" i="5"/>
  <c r="A2159" i="5"/>
  <c r="A2158" i="5"/>
  <c r="A2157" i="5"/>
  <c r="A2156" i="5"/>
  <c r="A2155" i="5"/>
  <c r="A2154" i="5"/>
  <c r="A2153" i="5"/>
  <c r="A2152" i="5"/>
  <c r="A2151" i="5"/>
  <c r="A2150" i="5"/>
  <c r="A2149" i="5"/>
  <c r="A2148" i="5"/>
  <c r="A2147" i="5"/>
  <c r="A2146" i="5"/>
  <c r="A2145" i="5"/>
  <c r="A2144" i="5"/>
  <c r="A2143" i="5"/>
  <c r="A2142" i="5"/>
  <c r="A2141" i="5"/>
  <c r="A2140" i="5"/>
  <c r="A2139" i="5"/>
  <c r="A2138" i="5"/>
  <c r="A2137" i="5"/>
  <c r="A2136" i="5"/>
  <c r="A2135" i="5"/>
  <c r="A2134" i="5"/>
  <c r="A2133" i="5"/>
  <c r="A2132" i="5"/>
  <c r="A2131" i="5"/>
  <c r="A2130" i="5"/>
  <c r="A2129" i="5"/>
  <c r="A2128" i="5"/>
  <c r="A2127" i="5"/>
  <c r="A2126" i="5"/>
  <c r="A2125" i="5"/>
  <c r="A2124" i="5"/>
  <c r="A2123" i="5"/>
  <c r="A2122" i="5"/>
  <c r="A2121" i="5"/>
  <c r="A2120" i="5"/>
  <c r="A2119" i="5"/>
  <c r="A2118" i="5"/>
  <c r="A2117" i="5"/>
  <c r="A2116" i="5"/>
  <c r="A2115" i="5"/>
  <c r="A2114" i="5"/>
  <c r="A2113" i="5"/>
  <c r="A2112" i="5"/>
  <c r="A2111" i="5"/>
  <c r="A2110" i="5"/>
  <c r="A2109" i="5"/>
  <c r="A2108" i="5"/>
  <c r="A2107" i="5"/>
  <c r="A2106" i="5"/>
  <c r="A2105" i="5"/>
  <c r="A2104" i="5"/>
  <c r="A2103" i="5"/>
  <c r="A2102" i="5"/>
  <c r="A2101" i="5"/>
  <c r="A2100" i="5"/>
  <c r="A2099" i="5"/>
  <c r="A2098" i="5"/>
  <c r="A2097" i="5"/>
  <c r="A2096" i="5"/>
  <c r="A2095" i="5"/>
  <c r="A2094" i="5"/>
  <c r="A2093" i="5"/>
  <c r="A2092" i="5"/>
  <c r="A2091" i="5"/>
  <c r="A2090" i="5"/>
  <c r="A2089" i="5"/>
  <c r="A2088" i="5"/>
  <c r="A2087" i="5"/>
  <c r="A2086" i="5"/>
  <c r="A2085" i="5"/>
  <c r="A2084" i="5"/>
  <c r="A2083" i="5"/>
  <c r="A2082" i="5"/>
  <c r="A2081" i="5"/>
  <c r="A2080" i="5"/>
  <c r="A2079" i="5"/>
  <c r="A2078" i="5"/>
  <c r="A2077" i="5"/>
  <c r="A2076" i="5"/>
  <c r="A2075" i="5"/>
  <c r="A2074" i="5"/>
  <c r="A2073" i="5"/>
  <c r="A2072" i="5"/>
  <c r="A2071" i="5"/>
  <c r="A2070" i="5"/>
  <c r="A2069" i="5"/>
  <c r="A2068" i="5"/>
  <c r="A2067" i="5"/>
  <c r="A2066" i="5"/>
  <c r="A2065" i="5"/>
  <c r="A2064" i="5"/>
  <c r="A2063" i="5"/>
  <c r="A2062" i="5"/>
  <c r="A2061" i="5"/>
  <c r="A2060" i="5"/>
  <c r="A2059" i="5"/>
  <c r="A2058" i="5"/>
  <c r="A2057" i="5"/>
  <c r="A2056" i="5"/>
  <c r="A2055" i="5"/>
  <c r="A2054" i="5"/>
  <c r="A2053" i="5"/>
  <c r="A2052" i="5"/>
  <c r="A2051" i="5"/>
  <c r="A2050" i="5"/>
  <c r="A2049" i="5"/>
  <c r="A2048" i="5"/>
  <c r="A2047" i="5"/>
  <c r="A2046" i="5"/>
  <c r="A2045" i="5"/>
  <c r="A2044" i="5"/>
  <c r="A2043" i="5"/>
  <c r="A2042" i="5"/>
  <c r="A2041" i="5"/>
  <c r="A2040" i="5"/>
  <c r="A2039" i="5"/>
  <c r="A2038" i="5"/>
  <c r="A2037" i="5"/>
  <c r="A2036" i="5"/>
  <c r="A2035" i="5"/>
  <c r="A2034" i="5"/>
  <c r="A2033" i="5"/>
  <c r="A2032" i="5"/>
  <c r="A2031" i="5"/>
  <c r="A2030" i="5"/>
  <c r="A2029" i="5"/>
  <c r="A2028" i="5"/>
  <c r="A2027" i="5"/>
  <c r="A2026" i="5"/>
  <c r="A2025" i="5"/>
  <c r="A2024" i="5"/>
  <c r="A2023" i="5"/>
  <c r="A2022" i="5"/>
  <c r="A2021" i="5"/>
  <c r="A2020" i="5"/>
  <c r="A2019" i="5"/>
  <c r="A2018" i="5"/>
  <c r="A2017" i="5"/>
  <c r="A2016" i="5"/>
  <c r="A2015" i="5"/>
  <c r="A2014" i="5"/>
  <c r="A2013" i="5"/>
  <c r="A2012" i="5"/>
  <c r="A2011" i="5"/>
  <c r="A2010" i="5"/>
  <c r="A2009" i="5"/>
  <c r="A2008" i="5"/>
  <c r="A2007" i="5"/>
  <c r="A2006" i="5"/>
  <c r="A2005" i="5"/>
  <c r="A2004" i="5"/>
  <c r="A2003" i="5"/>
  <c r="A2002" i="5"/>
  <c r="A2001" i="5"/>
  <c r="A2000" i="5"/>
  <c r="A1999" i="5"/>
  <c r="A1998" i="5"/>
  <c r="A1997" i="5"/>
  <c r="A1996" i="5"/>
  <c r="A1995" i="5"/>
  <c r="A1994" i="5"/>
  <c r="A1993" i="5"/>
  <c r="A1992" i="5"/>
  <c r="A1991" i="5"/>
  <c r="A1990" i="5"/>
  <c r="A1989" i="5"/>
  <c r="A1988" i="5"/>
  <c r="A1987" i="5"/>
  <c r="A1986" i="5"/>
  <c r="A1985" i="5"/>
  <c r="A1984" i="5"/>
  <c r="A1983" i="5"/>
  <c r="A1982" i="5"/>
  <c r="A1981" i="5"/>
  <c r="A1980" i="5"/>
  <c r="A1979" i="5"/>
  <c r="A1978" i="5"/>
  <c r="A1977" i="5"/>
  <c r="A1976" i="5"/>
  <c r="A1975" i="5"/>
  <c r="A1974" i="5"/>
  <c r="A1973" i="5"/>
  <c r="A1972" i="5"/>
  <c r="A1971" i="5"/>
  <c r="A1970" i="5"/>
  <c r="A1969" i="5"/>
  <c r="A1968" i="5"/>
  <c r="A1967" i="5"/>
  <c r="A1966" i="5"/>
  <c r="A1965" i="5"/>
  <c r="A1964" i="5"/>
  <c r="A1963" i="5"/>
  <c r="A1962" i="5"/>
  <c r="A1961" i="5"/>
  <c r="A1960" i="5"/>
  <c r="A1959" i="5"/>
  <c r="A1958" i="5"/>
  <c r="A1957" i="5"/>
  <c r="A1956" i="5"/>
  <c r="A1955" i="5"/>
  <c r="A1954" i="5"/>
  <c r="A1953" i="5"/>
  <c r="A1952" i="5"/>
  <c r="A1951" i="5"/>
  <c r="A1950" i="5"/>
  <c r="A1949" i="5"/>
  <c r="A1948" i="5"/>
  <c r="A1947" i="5"/>
  <c r="A1946" i="5"/>
  <c r="A1945" i="5"/>
  <c r="A1944" i="5"/>
  <c r="A1943" i="5"/>
  <c r="A1942" i="5"/>
  <c r="A1941" i="5"/>
  <c r="A1940" i="5"/>
  <c r="A1939" i="5"/>
  <c r="A1938" i="5"/>
  <c r="A1937" i="5"/>
  <c r="A1936" i="5"/>
  <c r="A1935" i="5"/>
  <c r="A1934" i="5"/>
  <c r="A1933" i="5"/>
  <c r="A1932" i="5"/>
  <c r="A1931" i="5"/>
  <c r="A1930" i="5"/>
  <c r="A1929" i="5"/>
  <c r="A1928" i="5"/>
  <c r="A1927" i="5"/>
  <c r="A1926" i="5"/>
  <c r="A1925" i="5"/>
  <c r="A1924" i="5"/>
  <c r="A1923" i="5"/>
  <c r="A1922" i="5"/>
  <c r="A1921" i="5"/>
  <c r="A1920" i="5"/>
  <c r="A1919" i="5"/>
  <c r="A1918" i="5"/>
  <c r="A1917" i="5"/>
  <c r="A1916" i="5"/>
  <c r="A1915" i="5"/>
  <c r="A1914" i="5"/>
  <c r="A1913" i="5"/>
  <c r="A1912" i="5"/>
  <c r="A1911" i="5"/>
  <c r="A1910" i="5"/>
  <c r="A1909" i="5"/>
  <c r="A1908" i="5"/>
  <c r="A1907" i="5"/>
  <c r="A1906" i="5"/>
  <c r="A1905" i="5"/>
  <c r="A1904" i="5"/>
  <c r="A1903" i="5"/>
  <c r="A1902" i="5"/>
  <c r="A1901" i="5"/>
  <c r="A1900" i="5"/>
  <c r="A1899" i="5"/>
  <c r="A1898" i="5"/>
  <c r="A1897" i="5"/>
  <c r="A1896" i="5"/>
  <c r="A1895" i="5"/>
  <c r="A1894" i="5"/>
  <c r="A1893" i="5"/>
  <c r="A1892" i="5"/>
  <c r="A1891" i="5"/>
  <c r="A1890" i="5"/>
  <c r="A1889" i="5"/>
  <c r="A1888" i="5"/>
  <c r="A1887" i="5"/>
  <c r="A1886" i="5"/>
  <c r="A1885" i="5"/>
  <c r="A1884" i="5"/>
  <c r="A1883" i="5"/>
  <c r="A1882" i="5"/>
  <c r="A1881" i="5"/>
  <c r="A1880" i="5"/>
  <c r="A1879" i="5"/>
  <c r="A1878" i="5"/>
  <c r="A1877" i="5"/>
  <c r="A1876" i="5"/>
  <c r="A1875" i="5"/>
  <c r="A1874" i="5"/>
  <c r="A1873" i="5"/>
  <c r="A1872" i="5"/>
  <c r="A1871" i="5"/>
  <c r="A1870" i="5"/>
  <c r="A1869" i="5"/>
  <c r="A1868" i="5"/>
  <c r="A1867" i="5"/>
  <c r="A1866" i="5"/>
  <c r="A1865" i="5"/>
  <c r="A1864" i="5"/>
  <c r="A1863" i="5"/>
  <c r="A1862" i="5"/>
  <c r="A1861" i="5"/>
  <c r="A1860" i="5"/>
  <c r="A1859" i="5"/>
  <c r="A1858" i="5"/>
  <c r="A1857" i="5"/>
  <c r="A1856" i="5"/>
  <c r="A1855" i="5"/>
  <c r="A1854" i="5"/>
  <c r="A1853" i="5"/>
  <c r="A1852" i="5"/>
  <c r="A1851" i="5"/>
  <c r="A1850" i="5"/>
  <c r="A1849" i="5"/>
  <c r="A1848" i="5"/>
  <c r="A1847" i="5"/>
  <c r="A1846" i="5"/>
  <c r="A1845" i="5"/>
  <c r="A1844" i="5"/>
  <c r="A1843" i="5"/>
  <c r="A1842" i="5"/>
  <c r="A1841" i="5"/>
  <c r="A1840" i="5"/>
  <c r="A1839" i="5"/>
  <c r="A1838" i="5"/>
  <c r="A1837" i="5"/>
  <c r="A1836" i="5"/>
  <c r="A1835" i="5"/>
  <c r="A1834" i="5"/>
  <c r="A1833" i="5"/>
  <c r="A1832" i="5"/>
  <c r="A1831" i="5"/>
  <c r="A1830" i="5"/>
  <c r="A1829" i="5"/>
  <c r="A1828" i="5"/>
  <c r="A1827" i="5"/>
  <c r="A1826" i="5"/>
  <c r="A1825" i="5"/>
  <c r="A1824" i="5"/>
  <c r="A1823" i="5"/>
  <c r="A1822" i="5"/>
  <c r="A1821" i="5"/>
  <c r="A1820" i="5"/>
  <c r="A1819" i="5"/>
  <c r="A1818" i="5"/>
  <c r="A1817" i="5"/>
  <c r="A1816" i="5"/>
  <c r="A1815" i="5"/>
  <c r="A1814" i="5"/>
  <c r="A1813" i="5"/>
  <c r="A1812" i="5"/>
  <c r="A1811" i="5"/>
  <c r="A1810" i="5"/>
  <c r="A1809" i="5"/>
  <c r="A1808" i="5"/>
  <c r="A1807" i="5"/>
  <c r="A1806" i="5"/>
  <c r="A1805" i="5"/>
  <c r="A1804" i="5"/>
  <c r="A1803" i="5"/>
  <c r="A1802" i="5"/>
  <c r="A1801" i="5"/>
  <c r="A1800" i="5"/>
  <c r="A1799" i="5"/>
  <c r="A1798" i="5"/>
  <c r="A1797" i="5"/>
  <c r="A1796" i="5"/>
  <c r="A1795" i="5"/>
  <c r="A1794" i="5"/>
  <c r="A1793" i="5"/>
  <c r="A1792" i="5"/>
  <c r="A1791" i="5"/>
  <c r="A1790" i="5"/>
  <c r="A1789" i="5"/>
  <c r="A1788" i="5"/>
  <c r="A1787" i="5"/>
  <c r="A1786" i="5"/>
  <c r="A1785" i="5"/>
  <c r="A1784" i="5"/>
  <c r="A1783" i="5"/>
  <c r="A1782" i="5"/>
  <c r="A1781" i="5"/>
  <c r="A1780" i="5"/>
  <c r="A1779" i="5"/>
  <c r="A1778" i="5"/>
  <c r="A1777" i="5"/>
  <c r="A1776" i="5"/>
  <c r="A1775" i="5"/>
  <c r="A1774" i="5"/>
  <c r="A1773" i="5"/>
  <c r="A1772" i="5"/>
  <c r="A1771" i="5"/>
  <c r="A1770" i="5"/>
  <c r="A1769" i="5"/>
  <c r="A1768" i="5"/>
  <c r="A1767" i="5"/>
  <c r="A1766" i="5"/>
  <c r="A1765" i="5"/>
  <c r="A1764" i="5"/>
  <c r="A1763" i="5"/>
  <c r="A1762" i="5"/>
  <c r="A1761" i="5"/>
  <c r="A1760" i="5"/>
  <c r="A1759" i="5"/>
  <c r="A1758" i="5"/>
  <c r="A1757" i="5"/>
  <c r="A1756" i="5"/>
  <c r="A1755" i="5"/>
  <c r="A1754" i="5"/>
  <c r="A1753" i="5"/>
  <c r="A1752" i="5"/>
  <c r="A1751" i="5"/>
  <c r="A1750" i="5"/>
  <c r="A1749" i="5"/>
  <c r="A1748" i="5"/>
  <c r="A1747" i="5"/>
  <c r="A1746" i="5"/>
  <c r="A1745" i="5"/>
  <c r="A1744" i="5"/>
  <c r="A1743" i="5"/>
  <c r="A1742" i="5"/>
  <c r="A1741" i="5"/>
  <c r="A1740" i="5"/>
  <c r="A1739" i="5"/>
  <c r="A1738" i="5"/>
  <c r="A1737" i="5"/>
  <c r="A1736" i="5"/>
  <c r="A1735" i="5"/>
  <c r="A1734" i="5"/>
  <c r="A1733" i="5"/>
  <c r="A1732" i="5"/>
  <c r="A1731" i="5"/>
  <c r="A1730" i="5"/>
  <c r="A1729" i="5"/>
  <c r="A1728" i="5"/>
  <c r="A1727" i="5"/>
  <c r="A1726" i="5"/>
  <c r="A1725" i="5"/>
  <c r="A1724" i="5"/>
  <c r="A1723" i="5"/>
  <c r="A1722" i="5"/>
  <c r="A1721" i="5"/>
  <c r="A1720" i="5"/>
  <c r="A1719" i="5"/>
  <c r="A1718" i="5"/>
  <c r="A1717" i="5"/>
  <c r="A1716" i="5"/>
  <c r="A1715" i="5"/>
  <c r="A1714" i="5"/>
  <c r="A1713" i="5"/>
  <c r="A1712" i="5"/>
  <c r="A1711" i="5"/>
  <c r="A1710" i="5"/>
  <c r="A1709" i="5"/>
  <c r="A1708" i="5"/>
  <c r="A1707" i="5"/>
  <c r="A1706" i="5"/>
  <c r="A1705" i="5"/>
  <c r="A1704" i="5"/>
  <c r="A1703" i="5"/>
  <c r="A1702" i="5"/>
  <c r="A1701" i="5"/>
  <c r="A1700" i="5"/>
  <c r="A1699" i="5"/>
  <c r="A1698" i="5"/>
  <c r="A1697" i="5"/>
  <c r="A1696" i="5"/>
  <c r="A1695" i="5"/>
  <c r="A1694" i="5"/>
  <c r="A1693" i="5"/>
  <c r="A1692" i="5"/>
  <c r="A1691" i="5"/>
  <c r="A1690" i="5"/>
  <c r="A1689" i="5"/>
  <c r="A1688" i="5"/>
  <c r="A1687" i="5"/>
  <c r="A1686" i="5"/>
  <c r="A1685" i="5"/>
  <c r="A1684" i="5"/>
  <c r="A1683" i="5"/>
  <c r="A1682" i="5"/>
  <c r="A1681" i="5"/>
  <c r="A1680" i="5"/>
  <c r="A1679" i="5"/>
  <c r="A1678" i="5"/>
  <c r="A1677" i="5"/>
  <c r="A1676" i="5"/>
  <c r="A1675" i="5"/>
  <c r="A1674" i="5"/>
  <c r="A1673" i="5"/>
  <c r="A1672" i="5"/>
  <c r="A1671" i="5"/>
  <c r="A1670" i="5"/>
  <c r="A1669" i="5"/>
  <c r="A1668" i="5"/>
  <c r="A1667" i="5"/>
  <c r="A1666" i="5"/>
  <c r="A1665" i="5"/>
  <c r="A1664" i="5"/>
  <c r="A1663" i="5"/>
  <c r="A1662" i="5"/>
  <c r="A1661" i="5"/>
  <c r="A1660" i="5"/>
  <c r="A1659" i="5"/>
  <c r="A1658" i="5"/>
  <c r="A1657" i="5"/>
  <c r="A1656" i="5"/>
  <c r="A1655" i="5"/>
  <c r="A1654" i="5"/>
  <c r="A1653" i="5"/>
  <c r="A1652" i="5"/>
  <c r="A1651" i="5"/>
  <c r="A1650" i="5"/>
  <c r="A1649" i="5"/>
  <c r="A1648" i="5"/>
  <c r="A1647" i="5"/>
  <c r="A1646" i="5"/>
  <c r="A1645" i="5"/>
  <c r="A1644" i="5"/>
  <c r="A1643" i="5"/>
  <c r="A1642" i="5"/>
  <c r="A1641" i="5"/>
  <c r="A1640" i="5"/>
  <c r="A1639" i="5"/>
  <c r="A1638" i="5"/>
  <c r="A1637" i="5"/>
  <c r="A1636" i="5"/>
  <c r="A1635" i="5"/>
  <c r="A1634" i="5"/>
  <c r="A1633" i="5"/>
  <c r="A1632" i="5"/>
  <c r="A1631" i="5"/>
  <c r="A1630" i="5"/>
  <c r="A1629" i="5"/>
  <c r="A1628" i="5"/>
  <c r="A1627" i="5"/>
  <c r="A1626" i="5"/>
  <c r="A1625" i="5"/>
  <c r="A1624" i="5"/>
  <c r="A1623" i="5"/>
  <c r="A1622" i="5"/>
  <c r="A1621" i="5"/>
  <c r="A1620" i="5"/>
  <c r="A1619" i="5"/>
  <c r="A1618" i="5"/>
  <c r="A1617" i="5"/>
  <c r="A1616" i="5"/>
  <c r="A1615" i="5"/>
  <c r="A1614" i="5"/>
  <c r="A1613" i="5"/>
  <c r="A1612" i="5"/>
  <c r="A1611" i="5"/>
  <c r="A1610" i="5"/>
  <c r="A1609" i="5"/>
  <c r="A1608" i="5"/>
  <c r="A1607" i="5"/>
  <c r="A1606" i="5"/>
  <c r="A1605" i="5"/>
  <c r="A1604" i="5"/>
  <c r="A1603" i="5"/>
  <c r="A1602" i="5"/>
  <c r="A1601" i="5"/>
  <c r="A1600" i="5"/>
  <c r="A1599" i="5"/>
  <c r="A1598" i="5"/>
  <c r="A1597" i="5"/>
  <c r="A1596" i="5"/>
  <c r="A1595" i="5"/>
  <c r="A1594" i="5"/>
  <c r="A1593" i="5"/>
  <c r="A1592" i="5"/>
  <c r="A1591" i="5"/>
  <c r="A1590" i="5"/>
  <c r="A1589" i="5"/>
  <c r="A1588" i="5"/>
  <c r="A1587" i="5"/>
  <c r="A1586" i="5"/>
  <c r="A1585" i="5"/>
  <c r="A1584" i="5"/>
  <c r="A1583" i="5"/>
  <c r="A1582" i="5"/>
  <c r="A1581" i="5"/>
  <c r="A1580" i="5"/>
  <c r="A1579" i="5"/>
  <c r="A1578" i="5"/>
  <c r="A1577" i="5"/>
  <c r="A1576" i="5"/>
  <c r="A1575" i="5"/>
  <c r="A1574" i="5"/>
  <c r="A1573" i="5"/>
  <c r="A1572" i="5"/>
  <c r="A1571" i="5"/>
  <c r="A1570" i="5"/>
  <c r="A1569" i="5"/>
  <c r="A1568" i="5"/>
  <c r="A1567" i="5"/>
  <c r="A1566" i="5"/>
  <c r="A1565" i="5"/>
  <c r="A1564" i="5"/>
  <c r="A1563" i="5"/>
  <c r="A1562" i="5"/>
  <c r="A1561" i="5"/>
  <c r="A1560" i="5"/>
  <c r="A1559" i="5"/>
  <c r="A1558" i="5"/>
  <c r="A1557" i="5"/>
  <c r="A1556" i="5"/>
  <c r="A1555" i="5"/>
  <c r="A1554" i="5"/>
  <c r="A1553" i="5"/>
  <c r="A1552" i="5"/>
  <c r="A1551" i="5"/>
  <c r="A1550" i="5"/>
  <c r="A1549" i="5"/>
  <c r="A1548" i="5"/>
  <c r="A1547" i="5"/>
  <c r="A1546" i="5"/>
  <c r="A1545" i="5"/>
  <c r="A1544" i="5"/>
  <c r="A1543" i="5"/>
  <c r="A1542" i="5"/>
  <c r="A1541" i="5"/>
  <c r="A1540" i="5"/>
  <c r="A1539" i="5"/>
  <c r="A1538" i="5"/>
  <c r="A1537" i="5"/>
  <c r="A1536" i="5"/>
  <c r="A1535" i="5"/>
  <c r="A1534" i="5"/>
  <c r="A1533" i="5"/>
  <c r="A1532" i="5"/>
  <c r="A1531" i="5"/>
  <c r="A1530" i="5"/>
  <c r="A1529" i="5"/>
  <c r="A1528" i="5"/>
  <c r="A1527" i="5"/>
  <c r="A1526" i="5"/>
  <c r="A1525" i="5"/>
  <c r="A1524" i="5"/>
  <c r="A1523" i="5"/>
  <c r="A1522" i="5"/>
  <c r="A1521" i="5"/>
  <c r="A1520" i="5"/>
  <c r="A1519" i="5"/>
  <c r="A1518" i="5"/>
  <c r="A1517" i="5"/>
  <c r="A1516" i="5"/>
  <c r="A1515" i="5"/>
  <c r="A1514" i="5"/>
  <c r="A1513" i="5"/>
  <c r="A1512" i="5"/>
  <c r="A1511" i="5"/>
  <c r="A1510" i="5"/>
  <c r="A1509" i="5"/>
  <c r="A1508" i="5"/>
  <c r="A1507" i="5"/>
  <c r="A1506" i="5"/>
  <c r="A1505" i="5"/>
  <c r="A1504" i="5"/>
  <c r="A1503" i="5"/>
  <c r="A1502" i="5"/>
  <c r="A1501" i="5"/>
  <c r="A1500" i="5"/>
  <c r="A1499" i="5"/>
  <c r="A1498" i="5"/>
  <c r="A1497" i="5"/>
  <c r="A1496" i="5"/>
  <c r="A1495" i="5"/>
  <c r="A1494" i="5"/>
  <c r="A1493" i="5"/>
  <c r="A1492" i="5"/>
  <c r="A1491" i="5"/>
  <c r="A1490" i="5"/>
  <c r="A1489" i="5"/>
  <c r="A1488" i="5"/>
  <c r="A1487" i="5"/>
  <c r="A1486" i="5"/>
  <c r="A1485" i="5"/>
  <c r="A1484" i="5"/>
  <c r="A1483" i="5"/>
  <c r="A1482" i="5"/>
  <c r="A1481" i="5"/>
  <c r="A1480" i="5"/>
  <c r="A1479" i="5"/>
  <c r="A1478" i="5"/>
  <c r="A1477" i="5"/>
  <c r="A1476" i="5"/>
  <c r="A1475" i="5"/>
  <c r="A1474" i="5"/>
  <c r="A1473" i="5"/>
  <c r="A1472" i="5"/>
  <c r="A1471" i="5"/>
  <c r="A1470" i="5"/>
  <c r="A1469" i="5"/>
  <c r="A1468" i="5"/>
  <c r="A1467" i="5"/>
  <c r="A1466" i="5"/>
  <c r="A1465" i="5"/>
  <c r="A1464" i="5"/>
  <c r="A1463" i="5"/>
  <c r="A1462" i="5"/>
  <c r="A1461" i="5"/>
  <c r="A1460" i="5"/>
  <c r="A1459" i="5"/>
  <c r="A1458" i="5"/>
  <c r="A1457" i="5"/>
  <c r="A1456" i="5"/>
  <c r="A1455" i="5"/>
  <c r="A1454" i="5"/>
  <c r="A1453" i="5"/>
  <c r="A1452" i="5"/>
  <c r="A1451" i="5"/>
  <c r="A1450" i="5"/>
  <c r="A1449" i="5"/>
  <c r="A1448" i="5"/>
  <c r="A1447" i="5"/>
  <c r="A1446" i="5"/>
  <c r="A1445" i="5"/>
  <c r="A1444" i="5"/>
  <c r="A1443" i="5"/>
  <c r="A1442" i="5"/>
  <c r="A1441" i="5"/>
  <c r="A1440" i="5"/>
  <c r="A1439" i="5"/>
  <c r="A1438" i="5"/>
  <c r="A1437" i="5"/>
  <c r="A1436" i="5"/>
  <c r="A1435" i="5"/>
  <c r="A1434" i="5"/>
  <c r="A1433" i="5"/>
  <c r="A1432" i="5"/>
  <c r="A1431" i="5"/>
  <c r="A1430" i="5"/>
  <c r="A1429" i="5"/>
  <c r="A1428" i="5"/>
  <c r="A1427" i="5"/>
  <c r="A1426" i="5"/>
  <c r="A1425" i="5"/>
  <c r="A1424" i="5"/>
  <c r="A1423" i="5"/>
  <c r="A1422" i="5"/>
  <c r="A1421" i="5"/>
  <c r="A1420" i="5"/>
  <c r="A1419" i="5"/>
  <c r="A1418" i="5"/>
  <c r="A1417" i="5"/>
  <c r="A1416" i="5"/>
  <c r="A1415" i="5"/>
  <c r="A1414" i="5"/>
  <c r="A1413" i="5"/>
  <c r="A1412" i="5"/>
  <c r="A1411" i="5"/>
  <c r="A1410" i="5"/>
  <c r="A1409" i="5"/>
  <c r="A1408" i="5"/>
  <c r="A1407" i="5"/>
  <c r="A1406" i="5"/>
  <c r="A1405" i="5"/>
  <c r="A1404" i="5"/>
  <c r="A1403" i="5"/>
  <c r="A1402" i="5"/>
  <c r="A1401" i="5"/>
  <c r="A1400" i="5"/>
  <c r="A1399" i="5"/>
  <c r="A1398" i="5"/>
  <c r="A1397" i="5"/>
  <c r="A1396" i="5"/>
  <c r="A1395" i="5"/>
  <c r="A1394" i="5"/>
  <c r="A1393" i="5"/>
  <c r="A1392" i="5"/>
  <c r="A1391" i="5"/>
  <c r="A1390" i="5"/>
  <c r="A1389" i="5"/>
  <c r="A1388" i="5"/>
  <c r="A1387" i="5"/>
  <c r="A1386" i="5"/>
  <c r="A1385" i="5"/>
  <c r="A1384" i="5"/>
  <c r="A1383" i="5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B2216" i="5"/>
  <c r="B1164" i="5"/>
  <c r="C82" i="3"/>
  <c r="C81" i="3"/>
  <c r="C80" i="3"/>
  <c r="C79" i="3"/>
  <c r="C51" i="3"/>
  <c r="C50" i="3"/>
  <c r="C49" i="3"/>
  <c r="C48" i="3"/>
  <c r="C47" i="3"/>
  <c r="C46" i="3"/>
  <c r="C45" i="3"/>
  <c r="C44" i="3"/>
  <c r="C42" i="3"/>
  <c r="C41" i="3"/>
  <c r="C40" i="3"/>
  <c r="C39" i="3"/>
  <c r="C38" i="3"/>
  <c r="C37" i="3"/>
  <c r="C36" i="3"/>
  <c r="C35" i="3"/>
  <c r="C34" i="3"/>
  <c r="C33" i="3"/>
  <c r="C32" i="3"/>
  <c r="A74" i="9"/>
  <c r="A73" i="9"/>
  <c r="A6" i="9"/>
  <c r="B2217" i="5" l="1"/>
  <c r="B1165" i="5"/>
  <c r="B1521" i="4"/>
  <c r="A7" i="9"/>
  <c r="AC5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C1520" i="4" s="1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B2218" i="5" l="1"/>
  <c r="B1166" i="5"/>
  <c r="C1421" i="4"/>
  <c r="C1450" i="4"/>
  <c r="C1440" i="4"/>
  <c r="C1430" i="4"/>
  <c r="C1420" i="4"/>
  <c r="C1449" i="4"/>
  <c r="C1439" i="4"/>
  <c r="C1429" i="4"/>
  <c r="C1458" i="4"/>
  <c r="C1448" i="4"/>
  <c r="C1438" i="4"/>
  <c r="C1428" i="4"/>
  <c r="C1433" i="4"/>
  <c r="C1455" i="4"/>
  <c r="C1443" i="4"/>
  <c r="C1426" i="4"/>
  <c r="C1431" i="4"/>
  <c r="C1453" i="4"/>
  <c r="C1436" i="4"/>
  <c r="C1441" i="4"/>
  <c r="C1424" i="4"/>
  <c r="C1446" i="4"/>
  <c r="C1451" i="4"/>
  <c r="C1434" i="4"/>
  <c r="C1456" i="4"/>
  <c r="C1422" i="4"/>
  <c r="C1444" i="4"/>
  <c r="C1427" i="4"/>
  <c r="C1432" i="4"/>
  <c r="C1454" i="4"/>
  <c r="C1437" i="4"/>
  <c r="C1442" i="4"/>
  <c r="C1425" i="4"/>
  <c r="C1447" i="4"/>
  <c r="C1452" i="4"/>
  <c r="C1435" i="4"/>
  <c r="C1457" i="4"/>
  <c r="C1423" i="4"/>
  <c r="C1445" i="4"/>
  <c r="B1522" i="4"/>
  <c r="C1521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A8" i="9"/>
  <c r="B2219" i="5" l="1"/>
  <c r="B1523" i="4"/>
  <c r="C1522" i="4"/>
  <c r="B1167" i="5"/>
  <c r="A9" i="9"/>
  <c r="B2220" i="5" l="1"/>
  <c r="B1168" i="5"/>
  <c r="B1524" i="4"/>
  <c r="C1523" i="4"/>
  <c r="A11" i="9"/>
  <c r="A10" i="9"/>
  <c r="A12" i="9"/>
  <c r="B2221" i="5" l="1"/>
  <c r="B1169" i="5"/>
  <c r="B1525" i="4"/>
  <c r="C1524" i="4"/>
  <c r="A13" i="9"/>
  <c r="A14" i="9"/>
  <c r="B2222" i="5" l="1"/>
  <c r="B1526" i="4"/>
  <c r="C1525" i="4"/>
  <c r="B1170" i="5"/>
  <c r="A15" i="9"/>
  <c r="B2223" i="5" l="1"/>
  <c r="B1171" i="5"/>
  <c r="B1527" i="4"/>
  <c r="C1526" i="4"/>
  <c r="A16" i="9"/>
  <c r="A17" i="9" s="1"/>
  <c r="A18" i="9" s="1"/>
  <c r="A19" i="9" s="1"/>
  <c r="A20" i="9" s="1"/>
  <c r="A21" i="9" s="1"/>
  <c r="A22" i="9" s="1"/>
  <c r="A23" i="9" s="1"/>
  <c r="A24" i="9" s="1"/>
  <c r="A25" i="9" s="1"/>
  <c r="B2224" i="5" l="1"/>
  <c r="B1528" i="4"/>
  <c r="C1527" i="4"/>
  <c r="B1172" i="5"/>
  <c r="B2225" i="5" l="1"/>
  <c r="B1173" i="5"/>
  <c r="C1528" i="4"/>
  <c r="B1529" i="4"/>
  <c r="A72" i="9" l="1"/>
  <c r="B2226" i="5"/>
  <c r="B1530" i="4"/>
  <c r="C1529" i="4"/>
  <c r="B1174" i="5"/>
  <c r="B2227" i="5" l="1"/>
  <c r="B1175" i="5"/>
  <c r="B1531" i="4"/>
  <c r="C1530" i="4"/>
  <c r="B2228" i="5" l="1"/>
  <c r="B1532" i="4"/>
  <c r="C1531" i="4"/>
  <c r="B1176" i="5"/>
  <c r="J2226" i="5"/>
  <c r="O2217" i="5"/>
  <c r="G2226" i="5"/>
  <c r="P2217" i="5"/>
  <c r="E2217" i="5"/>
  <c r="M2217" i="5"/>
  <c r="N2226" i="5"/>
  <c r="F2226" i="5"/>
  <c r="F2217" i="5"/>
  <c r="L2217" i="5"/>
  <c r="M2226" i="5"/>
  <c r="I2217" i="5"/>
  <c r="H2226" i="5"/>
  <c r="N2217" i="5"/>
  <c r="K2226" i="5"/>
  <c r="O2226" i="5"/>
  <c r="Q2217" i="5"/>
  <c r="P2226" i="5"/>
  <c r="E2226" i="5"/>
  <c r="L2226" i="5"/>
  <c r="G2217" i="5"/>
  <c r="K2217" i="5"/>
  <c r="H2217" i="5"/>
  <c r="I2226" i="5"/>
  <c r="Q2226" i="5"/>
  <c r="J2217" i="5"/>
  <c r="B2229" i="5" l="1"/>
  <c r="B1177" i="5"/>
  <c r="B1533" i="4"/>
  <c r="C1532" i="4"/>
  <c r="B2" i="9" l="1"/>
  <c r="B2230" i="5"/>
  <c r="B1534" i="4"/>
  <c r="C1533" i="4"/>
  <c r="B1178" i="5"/>
  <c r="F64" i="2" l="1"/>
  <c r="V5" i="9"/>
  <c r="V6" i="9"/>
  <c r="B90" i="12"/>
  <c r="B89" i="12"/>
  <c r="B88" i="12"/>
  <c r="B87" i="12"/>
  <c r="AH56" i="2"/>
  <c r="AH69" i="2"/>
  <c r="AH26" i="2"/>
  <c r="AH34" i="2"/>
  <c r="AH31" i="2"/>
  <c r="AH45" i="2"/>
  <c r="AH73" i="2"/>
  <c r="AH86" i="2"/>
  <c r="F69" i="2"/>
  <c r="AG69" i="2" s="1"/>
  <c r="F37" i="2"/>
  <c r="AG37" i="2" s="1"/>
  <c r="F76" i="2"/>
  <c r="AG76" i="2" s="1"/>
  <c r="F44" i="2"/>
  <c r="AG44" i="2" s="1"/>
  <c r="F83" i="2"/>
  <c r="AG83" i="2" s="1"/>
  <c r="F51" i="2"/>
  <c r="B73" i="3"/>
  <c r="B90" i="1"/>
  <c r="B76" i="3"/>
  <c r="E23" i="3"/>
  <c r="AA23" i="3" s="1"/>
  <c r="E43" i="3"/>
  <c r="AH48" i="2"/>
  <c r="AH77" i="2"/>
  <c r="AH74" i="2"/>
  <c r="AH71" i="2"/>
  <c r="AH35" i="2"/>
  <c r="AH52" i="2"/>
  <c r="F90" i="2"/>
  <c r="F59" i="2"/>
  <c r="F26" i="2"/>
  <c r="AG26" i="2" s="1"/>
  <c r="F66" i="2"/>
  <c r="AG66" i="2" s="1"/>
  <c r="F34" i="2"/>
  <c r="AG34" i="2" s="1"/>
  <c r="F73" i="2"/>
  <c r="AG73" i="2" s="1"/>
  <c r="F41" i="2"/>
  <c r="AG41" i="2" s="1"/>
  <c r="B63" i="3"/>
  <c r="E29" i="3"/>
  <c r="AA29" i="3" s="1"/>
  <c r="E48" i="3"/>
  <c r="E36" i="3"/>
  <c r="B62" i="3"/>
  <c r="E17" i="3"/>
  <c r="AA17" i="3" s="1"/>
  <c r="B14" i="3"/>
  <c r="E66" i="3"/>
  <c r="AA66" i="3" s="1"/>
  <c r="E64" i="3"/>
  <c r="AA64" i="3" s="1"/>
  <c r="B38" i="3"/>
  <c r="E11" i="3"/>
  <c r="AA11" i="3" s="1"/>
  <c r="B26" i="3"/>
  <c r="B23" i="3"/>
  <c r="E27" i="3"/>
  <c r="AA27" i="3" s="1"/>
  <c r="E19" i="3"/>
  <c r="AA19" i="3" s="1"/>
  <c r="E37" i="3"/>
  <c r="E15" i="3"/>
  <c r="AA15" i="3" s="1"/>
  <c r="B52" i="3"/>
  <c r="E26" i="3"/>
  <c r="AA26" i="3" s="1"/>
  <c r="B34" i="3"/>
  <c r="E25" i="3"/>
  <c r="AA25" i="3" s="1"/>
  <c r="E12" i="3"/>
  <c r="AA12" i="3" s="1"/>
  <c r="B28" i="3"/>
  <c r="B68" i="3"/>
  <c r="B15" i="3"/>
  <c r="B12" i="3"/>
  <c r="B8" i="3"/>
  <c r="AH27" i="2"/>
  <c r="AH33" i="2"/>
  <c r="AH65" i="2"/>
  <c r="F70" i="2"/>
  <c r="AG70" i="2" s="1"/>
  <c r="F77" i="2"/>
  <c r="AG77" i="2" s="1"/>
  <c r="F84" i="2"/>
  <c r="AG84" i="2" s="1"/>
  <c r="F20" i="2"/>
  <c r="E8" i="3"/>
  <c r="AA8" i="3" s="1"/>
  <c r="AH90" i="2"/>
  <c r="AH38" i="2"/>
  <c r="AH57" i="2"/>
  <c r="AH53" i="2"/>
  <c r="AH50" i="2"/>
  <c r="AH85" i="2"/>
  <c r="AH32" i="2"/>
  <c r="F80" i="2"/>
  <c r="AG80" i="2" s="1"/>
  <c r="F48" i="2"/>
  <c r="F87" i="2"/>
  <c r="AG87" i="2" s="1"/>
  <c r="F55" i="2"/>
  <c r="F23" i="2"/>
  <c r="AG23" i="2" s="1"/>
  <c r="F63" i="2"/>
  <c r="F31" i="2"/>
  <c r="AG31" i="2" s="1"/>
  <c r="B53" i="3"/>
  <c r="AH80" i="2"/>
  <c r="AH46" i="2"/>
  <c r="AH40" i="2"/>
  <c r="AH82" i="2"/>
  <c r="F38" i="2"/>
  <c r="AG38" i="2" s="1"/>
  <c r="F45" i="2"/>
  <c r="AG45" i="2" s="1"/>
  <c r="F52" i="2"/>
  <c r="B42" i="3"/>
  <c r="AH70" i="2"/>
  <c r="AH88" i="2"/>
  <c r="AH36" i="2"/>
  <c r="AH83" i="2"/>
  <c r="AH30" i="2"/>
  <c r="AH44" i="2"/>
  <c r="AH62" i="2"/>
  <c r="F60" i="2"/>
  <c r="F27" i="2"/>
  <c r="AG27" i="2" s="1"/>
  <c r="F67" i="2"/>
  <c r="AG67" i="2" s="1"/>
  <c r="F35" i="2"/>
  <c r="AG35" i="2" s="1"/>
  <c r="F74" i="2"/>
  <c r="AG74" i="2" s="1"/>
  <c r="F42" i="2"/>
  <c r="AG42" i="2" s="1"/>
  <c r="F81" i="2"/>
  <c r="AG81" i="2" s="1"/>
  <c r="B32" i="3"/>
  <c r="E59" i="3"/>
  <c r="AA59" i="3" s="1"/>
  <c r="B70" i="3"/>
  <c r="B69" i="3"/>
  <c r="B31" i="3"/>
  <c r="E46" i="3"/>
  <c r="E41" i="3"/>
  <c r="B27" i="3"/>
  <c r="E73" i="3"/>
  <c r="AA73" i="3" s="1"/>
  <c r="E76" i="3"/>
  <c r="B56" i="3"/>
  <c r="B25" i="3"/>
  <c r="E61" i="3"/>
  <c r="AA61" i="3" s="1"/>
  <c r="B75" i="3"/>
  <c r="AH49" i="2"/>
  <c r="AH55" i="2"/>
  <c r="AH42" i="2"/>
  <c r="AH59" i="2"/>
  <c r="AH84" i="2"/>
  <c r="AH20" i="2"/>
  <c r="F46" i="2"/>
  <c r="AG46" i="2" s="1"/>
  <c r="F21" i="2"/>
  <c r="AG21" i="2" s="1"/>
  <c r="E28" i="3"/>
  <c r="AA28" i="3" s="1"/>
  <c r="B89" i="1"/>
  <c r="B10" i="3"/>
  <c r="B37" i="3"/>
  <c r="B71" i="3"/>
  <c r="B46" i="3"/>
  <c r="E32" i="3"/>
  <c r="E65" i="3"/>
  <c r="AA65" i="3" s="1"/>
  <c r="E21" i="3"/>
  <c r="AA21" i="3" s="1"/>
  <c r="B74" i="3"/>
  <c r="E40" i="3"/>
  <c r="E72" i="3"/>
  <c r="AA72" i="3" s="1"/>
  <c r="E7" i="3"/>
  <c r="AA7" i="3" s="1"/>
  <c r="B39" i="3"/>
  <c r="E55" i="3"/>
  <c r="AA55" i="3" s="1"/>
  <c r="E69" i="3"/>
  <c r="AA69" i="3" s="1"/>
  <c r="E75" i="3"/>
  <c r="B61" i="3"/>
  <c r="B55" i="3"/>
  <c r="E22" i="3"/>
  <c r="AA22" i="3" s="1"/>
  <c r="E24" i="3"/>
  <c r="AA24" i="3" s="1"/>
  <c r="B67" i="3"/>
  <c r="E30" i="3"/>
  <c r="AA30" i="3" s="1"/>
  <c r="AH60" i="2"/>
  <c r="AH78" i="2"/>
  <c r="AH76" i="2"/>
  <c r="AH63" i="2"/>
  <c r="AH89" i="2"/>
  <c r="AH23" i="2"/>
  <c r="AH41" i="2"/>
  <c r="F49" i="2"/>
  <c r="F88" i="2"/>
  <c r="F57" i="2"/>
  <c r="F24" i="2"/>
  <c r="AG24" i="2" s="1"/>
  <c r="F32" i="2"/>
  <c r="AG32" i="2" s="1"/>
  <c r="F71" i="2"/>
  <c r="AG71" i="2" s="1"/>
  <c r="B22" i="3"/>
  <c r="E38" i="3"/>
  <c r="B60" i="3"/>
  <c r="E56" i="3"/>
  <c r="AA56" i="3" s="1"/>
  <c r="B21" i="3"/>
  <c r="E14" i="3"/>
  <c r="AA14" i="3" s="1"/>
  <c r="E10" i="3"/>
  <c r="AA10" i="3" s="1"/>
  <c r="E45" i="3"/>
  <c r="E53" i="3"/>
  <c r="AA53" i="3" s="1"/>
  <c r="E35" i="3"/>
  <c r="B65" i="3"/>
  <c r="B45" i="3"/>
  <c r="E51" i="3"/>
  <c r="B24" i="3"/>
  <c r="F78" i="2"/>
  <c r="AG78" i="2" s="1"/>
  <c r="F53" i="2"/>
  <c r="B11" i="3"/>
  <c r="AH68" i="2"/>
  <c r="F39" i="2"/>
  <c r="AG39" i="2" s="1"/>
  <c r="F85" i="2"/>
  <c r="AG85" i="2" s="1"/>
  <c r="F61" i="2"/>
  <c r="B50" i="3"/>
  <c r="AH39" i="2"/>
  <c r="AH58" i="2"/>
  <c r="AH24" i="2"/>
  <c r="AH21" i="2"/>
  <c r="AH67" i="2"/>
  <c r="AH64" i="2"/>
  <c r="AH81" i="2"/>
  <c r="F28" i="2"/>
  <c r="AG28" i="2" s="1"/>
  <c r="F68" i="2"/>
  <c r="AG68" i="2" s="1"/>
  <c r="F36" i="2"/>
  <c r="AG36" i="2" s="1"/>
  <c r="F75" i="2"/>
  <c r="AG75" i="2" s="1"/>
  <c r="F43" i="2"/>
  <c r="AG43" i="2" s="1"/>
  <c r="F82" i="2"/>
  <c r="AG82" i="2" s="1"/>
  <c r="F50" i="2"/>
  <c r="E70" i="3"/>
  <c r="AA70" i="3" s="1"/>
  <c r="B64" i="3"/>
  <c r="F56" i="2"/>
  <c r="AH28" i="2"/>
  <c r="AH47" i="2"/>
  <c r="AH75" i="2"/>
  <c r="AH72" i="2"/>
  <c r="AH25" i="2"/>
  <c r="AH43" i="2"/>
  <c r="AH61" i="2"/>
  <c r="F89" i="2"/>
  <c r="F58" i="2"/>
  <c r="F25" i="2"/>
  <c r="AG25" i="2" s="1"/>
  <c r="F65" i="2"/>
  <c r="AG65" i="2" s="1"/>
  <c r="F33" i="2"/>
  <c r="AG33" i="2" s="1"/>
  <c r="F72" i="2"/>
  <c r="AG72" i="2" s="1"/>
  <c r="F40" i="2"/>
  <c r="AG40" i="2" s="1"/>
  <c r="E60" i="3"/>
  <c r="AA60" i="3" s="1"/>
  <c r="B40" i="3"/>
  <c r="B29" i="3"/>
  <c r="E44" i="3"/>
  <c r="E49" i="3"/>
  <c r="E13" i="3"/>
  <c r="AA13" i="3" s="1"/>
  <c r="B51" i="3"/>
  <c r="E47" i="3"/>
  <c r="B13" i="3"/>
  <c r="E54" i="3"/>
  <c r="AA54" i="3" s="1"/>
  <c r="B57" i="3"/>
  <c r="B54" i="3"/>
  <c r="E20" i="3"/>
  <c r="AA20" i="3" s="1"/>
  <c r="E31" i="3"/>
  <c r="AA31" i="3" s="1"/>
  <c r="B9" i="3"/>
  <c r="B19" i="3"/>
  <c r="B35" i="3"/>
  <c r="E18" i="3"/>
  <c r="AA18" i="3" s="1"/>
  <c r="E74" i="3"/>
  <c r="B30" i="3"/>
  <c r="B17" i="3"/>
  <c r="B59" i="3"/>
  <c r="B66" i="3"/>
  <c r="B47" i="3"/>
  <c r="B44" i="3"/>
  <c r="E9" i="3"/>
  <c r="AA9" i="3" s="1"/>
  <c r="E39" i="3"/>
  <c r="E68" i="3"/>
  <c r="AA68" i="3" s="1"/>
  <c r="E67" i="3"/>
  <c r="AA67" i="3" s="1"/>
  <c r="B72" i="3"/>
  <c r="B20" i="3"/>
  <c r="E33" i="3"/>
  <c r="E57" i="3"/>
  <c r="AA57" i="3" s="1"/>
  <c r="E34" i="3"/>
  <c r="B49" i="3"/>
  <c r="E42" i="3"/>
  <c r="B36" i="3"/>
  <c r="B33" i="3"/>
  <c r="E58" i="3"/>
  <c r="AA58" i="3" s="1"/>
  <c r="B91" i="1"/>
  <c r="B43" i="3"/>
  <c r="AH79" i="2"/>
  <c r="AH37" i="2"/>
  <c r="AH54" i="2"/>
  <c r="AH51" i="2"/>
  <c r="AH66" i="2"/>
  <c r="AH22" i="2"/>
  <c r="AH87" i="2"/>
  <c r="F79" i="2"/>
  <c r="AG79" i="2" s="1"/>
  <c r="F47" i="2"/>
  <c r="F86" i="2"/>
  <c r="AG86" i="2" s="1"/>
  <c r="F54" i="2"/>
  <c r="F22" i="2"/>
  <c r="AG22" i="2" s="1"/>
  <c r="F62" i="2"/>
  <c r="F30" i="2"/>
  <c r="AG30" i="2" s="1"/>
  <c r="E50" i="3"/>
  <c r="B41" i="3"/>
  <c r="B7" i="3"/>
  <c r="E62" i="3"/>
  <c r="AA62" i="3" s="1"/>
  <c r="B58" i="3"/>
  <c r="B18" i="3"/>
  <c r="B48" i="3"/>
  <c r="E71" i="3"/>
  <c r="AA71" i="3" s="1"/>
  <c r="E63" i="3"/>
  <c r="AA63" i="3" s="1"/>
  <c r="E52" i="3"/>
  <c r="AA52" i="3" s="1"/>
  <c r="U2" i="3"/>
  <c r="AB6" i="9"/>
  <c r="B2231" i="5"/>
  <c r="B1179" i="5"/>
  <c r="B1535" i="4"/>
  <c r="C1534" i="4"/>
  <c r="AG20" i="2" l="1"/>
  <c r="J89" i="12"/>
  <c r="J88" i="12"/>
  <c r="J87" i="12"/>
  <c r="J90" i="12"/>
  <c r="AA46" i="3"/>
  <c r="H46" i="3"/>
  <c r="J46" i="3"/>
  <c r="AE46" i="3" s="1"/>
  <c r="AG63" i="2"/>
  <c r="AG50" i="2"/>
  <c r="AG53" i="2"/>
  <c r="AG57" i="2"/>
  <c r="AG52" i="2"/>
  <c r="T43" i="3"/>
  <c r="J43" i="3"/>
  <c r="AE43" i="3" s="1"/>
  <c r="S43" i="3"/>
  <c r="O43" i="3"/>
  <c r="I43" i="3"/>
  <c r="N43" i="3"/>
  <c r="AA43" i="3"/>
  <c r="M43" i="3"/>
  <c r="R43" i="3"/>
  <c r="H43" i="3"/>
  <c r="Q43" i="3"/>
  <c r="V43" i="3"/>
  <c r="L43" i="3"/>
  <c r="P43" i="3"/>
  <c r="U43" i="3"/>
  <c r="K43" i="3"/>
  <c r="AG49" i="2"/>
  <c r="H40" i="3"/>
  <c r="AA40" i="3"/>
  <c r="J40" i="3"/>
  <c r="AE40" i="3" s="1"/>
  <c r="AG59" i="2"/>
  <c r="AG62" i="2"/>
  <c r="J34" i="3"/>
  <c r="AE34" i="3" s="1"/>
  <c r="H34" i="3"/>
  <c r="AA34" i="3"/>
  <c r="AA37" i="3"/>
  <c r="H37" i="3"/>
  <c r="J37" i="3"/>
  <c r="AE37" i="3" s="1"/>
  <c r="AA51" i="3"/>
  <c r="H51" i="3"/>
  <c r="J51" i="3"/>
  <c r="AE51" i="3" s="1"/>
  <c r="AG48" i="2"/>
  <c r="AA36" i="3"/>
  <c r="J36" i="3"/>
  <c r="AE36" i="3" s="1"/>
  <c r="H36" i="3"/>
  <c r="Z90" i="2"/>
  <c r="J90" i="2"/>
  <c r="E90" i="2"/>
  <c r="AF90" i="2"/>
  <c r="P90" i="2"/>
  <c r="C90" i="2"/>
  <c r="AD90" i="2"/>
  <c r="AG90" i="2"/>
  <c r="N90" i="2"/>
  <c r="AB90" i="2"/>
  <c r="D90" i="2"/>
  <c r="T90" i="2"/>
  <c r="R90" i="2"/>
  <c r="V90" i="2"/>
  <c r="AE90" i="2"/>
  <c r="H90" i="2"/>
  <c r="K90" i="2"/>
  <c r="AI90" i="2"/>
  <c r="AC90" i="2"/>
  <c r="AG55" i="2"/>
  <c r="J38" i="3"/>
  <c r="AE38" i="3" s="1"/>
  <c r="AA38" i="3"/>
  <c r="H38" i="3"/>
  <c r="AA48" i="3"/>
  <c r="J48" i="3"/>
  <c r="AE48" i="3" s="1"/>
  <c r="H48" i="3"/>
  <c r="J44" i="3"/>
  <c r="AE44" i="3" s="1"/>
  <c r="H44" i="3"/>
  <c r="AA44" i="3"/>
  <c r="AG60" i="2"/>
  <c r="AG47" i="2"/>
  <c r="AH76" i="3"/>
  <c r="AI76" i="3"/>
  <c r="AB76" i="3"/>
  <c r="AG76" i="3"/>
  <c r="AF76" i="3"/>
  <c r="AE76" i="3"/>
  <c r="AD76" i="3"/>
  <c r="AC76" i="3"/>
  <c r="AJ76" i="3"/>
  <c r="AA76" i="3"/>
  <c r="D89" i="2"/>
  <c r="R89" i="2"/>
  <c r="AF89" i="2"/>
  <c r="V89" i="2"/>
  <c r="AC89" i="2"/>
  <c r="AE89" i="2"/>
  <c r="H89" i="2"/>
  <c r="AI89" i="2"/>
  <c r="E89" i="2"/>
  <c r="T89" i="2"/>
  <c r="AB89" i="2"/>
  <c r="C89" i="2"/>
  <c r="J89" i="2"/>
  <c r="AD89" i="2"/>
  <c r="K89" i="2"/>
  <c r="Z89" i="2"/>
  <c r="P89" i="2"/>
  <c r="AG89" i="2"/>
  <c r="N89" i="2"/>
  <c r="AG54" i="2"/>
  <c r="AA33" i="3"/>
  <c r="J33" i="3"/>
  <c r="AE33" i="3" s="1"/>
  <c r="H33" i="3"/>
  <c r="T88" i="2"/>
  <c r="AI88" i="2"/>
  <c r="V88" i="2"/>
  <c r="H88" i="2"/>
  <c r="AC88" i="2"/>
  <c r="AF88" i="2"/>
  <c r="N88" i="2"/>
  <c r="C88" i="2"/>
  <c r="Z88" i="2"/>
  <c r="AG88" i="2"/>
  <c r="P88" i="2"/>
  <c r="AB88" i="2"/>
  <c r="AE88" i="2"/>
  <c r="E88" i="2"/>
  <c r="R88" i="2"/>
  <c r="J88" i="2"/>
  <c r="AD88" i="2"/>
  <c r="D88" i="2"/>
  <c r="K88" i="2"/>
  <c r="J35" i="3"/>
  <c r="AE35" i="3" s="1"/>
  <c r="AA35" i="3"/>
  <c r="H35" i="3"/>
  <c r="AJ75" i="3"/>
  <c r="AI75" i="3"/>
  <c r="AH75" i="3"/>
  <c r="AG75" i="3"/>
  <c r="AC75" i="3"/>
  <c r="AF75" i="3"/>
  <c r="AA75" i="3"/>
  <c r="AE75" i="3"/>
  <c r="AD75" i="3"/>
  <c r="AB75" i="3"/>
  <c r="AA32" i="3"/>
  <c r="J32" i="3"/>
  <c r="AE32" i="3" s="1"/>
  <c r="H32" i="3"/>
  <c r="AE74" i="3"/>
  <c r="AD74" i="3"/>
  <c r="AC74" i="3"/>
  <c r="AA74" i="3"/>
  <c r="AG74" i="3"/>
  <c r="AJ74" i="3"/>
  <c r="AB74" i="3"/>
  <c r="AI74" i="3"/>
  <c r="AH74" i="3"/>
  <c r="AF74" i="3"/>
  <c r="AA47" i="3"/>
  <c r="J47" i="3"/>
  <c r="AE47" i="3" s="1"/>
  <c r="H47" i="3"/>
  <c r="AG61" i="2"/>
  <c r="AG51" i="2"/>
  <c r="AB7" i="9"/>
  <c r="AC6" i="9"/>
  <c r="H39" i="3"/>
  <c r="AA39" i="3"/>
  <c r="J39" i="3"/>
  <c r="AE39" i="3" s="1"/>
  <c r="AA50" i="3"/>
  <c r="H50" i="3"/>
  <c r="J50" i="3"/>
  <c r="AE50" i="3" s="1"/>
  <c r="AA42" i="3"/>
  <c r="H42" i="3"/>
  <c r="J42" i="3"/>
  <c r="AE42" i="3" s="1"/>
  <c r="AG56" i="2"/>
  <c r="H49" i="3"/>
  <c r="J49" i="3"/>
  <c r="AE49" i="3" s="1"/>
  <c r="AA49" i="3"/>
  <c r="AG58" i="2"/>
  <c r="AA45" i="3"/>
  <c r="J45" i="3"/>
  <c r="AE45" i="3" s="1"/>
  <c r="H45" i="3"/>
  <c r="AG64" i="2"/>
  <c r="H41" i="3"/>
  <c r="AA41" i="3"/>
  <c r="J41" i="3"/>
  <c r="AE41" i="3" s="1"/>
  <c r="B2232" i="5"/>
  <c r="B1536" i="4"/>
  <c r="C1535" i="4"/>
  <c r="B1180" i="5"/>
  <c r="B1181" i="5" s="1"/>
  <c r="O56" i="2" l="1"/>
  <c r="AJ43" i="3"/>
  <c r="AI43" i="3"/>
  <c r="Y56" i="2" s="1"/>
  <c r="AG43" i="3"/>
  <c r="S56" i="2" s="1"/>
  <c r="AH43" i="3"/>
  <c r="U56" i="2" s="1"/>
  <c r="O57" i="2"/>
  <c r="O60" i="2"/>
  <c r="O58" i="2"/>
  <c r="AB43" i="3"/>
  <c r="G56" i="2" s="1"/>
  <c r="AF43" i="3"/>
  <c r="Q56" i="2" s="1"/>
  <c r="O53" i="2"/>
  <c r="AB8" i="9"/>
  <c r="AC7" i="9"/>
  <c r="O55" i="2"/>
  <c r="O49" i="2"/>
  <c r="O50" i="2"/>
  <c r="O51" i="2"/>
  <c r="O63" i="2"/>
  <c r="AA56" i="2"/>
  <c r="O64" i="2"/>
  <c r="O46" i="2"/>
  <c r="O48" i="2"/>
  <c r="O54" i="2"/>
  <c r="O52" i="2"/>
  <c r="O61" i="2"/>
  <c r="O62" i="2"/>
  <c r="O47" i="2"/>
  <c r="O59" i="2"/>
  <c r="B2233" i="5"/>
  <c r="B1182" i="5"/>
  <c r="B1183" i="5" s="1"/>
  <c r="B1537" i="4"/>
  <c r="C1536" i="4"/>
  <c r="AC8" i="9" l="1"/>
  <c r="AB9" i="9"/>
  <c r="B2234" i="5"/>
  <c r="B1538" i="4"/>
  <c r="C1537" i="4"/>
  <c r="B1184" i="5"/>
  <c r="AC9" i="9" l="1"/>
  <c r="AB10" i="9"/>
  <c r="AC10" i="9" s="1"/>
  <c r="B2235" i="5"/>
  <c r="B1185" i="5"/>
  <c r="B1539" i="4"/>
  <c r="C1538" i="4"/>
  <c r="AB11" i="9" l="1"/>
  <c r="AC11" i="9" s="1"/>
  <c r="B2236" i="5"/>
  <c r="M2235" i="5"/>
  <c r="O2235" i="5"/>
  <c r="F2235" i="5"/>
  <c r="N2235" i="5"/>
  <c r="L2235" i="5"/>
  <c r="G2235" i="5"/>
  <c r="J2235" i="5"/>
  <c r="K2235" i="5"/>
  <c r="I2235" i="5"/>
  <c r="H2235" i="5"/>
  <c r="P2235" i="5"/>
  <c r="Q2235" i="5"/>
  <c r="E2235" i="5"/>
  <c r="B1540" i="4"/>
  <c r="C1539" i="4"/>
  <c r="B1186" i="5"/>
  <c r="B1187" i="5" s="1"/>
  <c r="AB12" i="9" l="1"/>
  <c r="AC12" i="9" s="1"/>
  <c r="AB13" i="9"/>
  <c r="B2237" i="5"/>
  <c r="B1188" i="5"/>
  <c r="B1541" i="4"/>
  <c r="C1540" i="4"/>
  <c r="AC13" i="9" l="1"/>
  <c r="AB14" i="9"/>
  <c r="B2238" i="5"/>
  <c r="B1542" i="4"/>
  <c r="C1541" i="4"/>
  <c r="B1189" i="5"/>
  <c r="AC14" i="9" l="1"/>
  <c r="AB15" i="9"/>
  <c r="AC15" i="9" s="1"/>
  <c r="B2239" i="5"/>
  <c r="B1190" i="5"/>
  <c r="B1543" i="4"/>
  <c r="C1542" i="4"/>
  <c r="AB16" i="9" l="1"/>
  <c r="B2240" i="5"/>
  <c r="B1544" i="4"/>
  <c r="C1543" i="4"/>
  <c r="B1191" i="5"/>
  <c r="AC16" i="9" l="1"/>
  <c r="AB17" i="9"/>
  <c r="B2241" i="5"/>
  <c r="B1192" i="5"/>
  <c r="B1545" i="4"/>
  <c r="C1544" i="4"/>
  <c r="AC17" i="9" l="1"/>
  <c r="AB18" i="9"/>
  <c r="AB19" i="9" s="1"/>
  <c r="B2242" i="5"/>
  <c r="B1546" i="4"/>
  <c r="C1545" i="4"/>
  <c r="B1193" i="5"/>
  <c r="AC19" i="9" l="1"/>
  <c r="AB20" i="9"/>
  <c r="AC20" i="9" s="1"/>
  <c r="AC18" i="9"/>
  <c r="B2243" i="5"/>
  <c r="B1194" i="5"/>
  <c r="B1547" i="4"/>
  <c r="C1546" i="4"/>
  <c r="AB21" i="9" l="1"/>
  <c r="AB22" i="9" s="1"/>
  <c r="AC22" i="9" s="1"/>
  <c r="B2244" i="5"/>
  <c r="B1548" i="4"/>
  <c r="C1547" i="4"/>
  <c r="B1195" i="5"/>
  <c r="AC21" i="9" l="1"/>
  <c r="AB23" i="9"/>
  <c r="B2245" i="5"/>
  <c r="Q2244" i="5"/>
  <c r="I2244" i="5"/>
  <c r="J2244" i="5"/>
  <c r="G2244" i="5"/>
  <c r="H2244" i="5"/>
  <c r="F2244" i="5"/>
  <c r="M2244" i="5"/>
  <c r="L2244" i="5"/>
  <c r="P2244" i="5"/>
  <c r="N2244" i="5"/>
  <c r="O2244" i="5"/>
  <c r="K2244" i="5"/>
  <c r="E2244" i="5"/>
  <c r="B1196" i="5"/>
  <c r="B1549" i="4"/>
  <c r="C1548" i="4"/>
  <c r="AC23" i="9" l="1"/>
  <c r="AB24" i="9"/>
  <c r="AC24" i="9" s="1"/>
  <c r="B2246" i="5"/>
  <c r="B1550" i="4"/>
  <c r="C1549" i="4"/>
  <c r="B1197" i="5"/>
  <c r="AB25" i="9" l="1"/>
  <c r="AC25" i="9" s="1"/>
  <c r="B2247" i="5"/>
  <c r="B1198" i="5"/>
  <c r="B1551" i="4"/>
  <c r="C1550" i="4"/>
  <c r="AB26" i="9" l="1"/>
  <c r="AC26" i="9" s="1"/>
  <c r="B2248" i="5"/>
  <c r="B1552" i="4"/>
  <c r="C1551" i="4"/>
  <c r="B1199" i="5"/>
  <c r="AB27" i="9" l="1"/>
  <c r="AC27" i="9" s="1"/>
  <c r="B2249" i="5"/>
  <c r="B1200" i="5"/>
  <c r="L2241" i="5"/>
  <c r="F2232" i="5"/>
  <c r="J2232" i="5"/>
  <c r="M2241" i="5"/>
  <c r="O2232" i="5"/>
  <c r="Q2223" i="5"/>
  <c r="P2241" i="5"/>
  <c r="M2232" i="5"/>
  <c r="N2223" i="5"/>
  <c r="G2232" i="5"/>
  <c r="G2223" i="5"/>
  <c r="K2223" i="5"/>
  <c r="I2223" i="5"/>
  <c r="P2223" i="5"/>
  <c r="J2241" i="5"/>
  <c r="P2232" i="5"/>
  <c r="L2223" i="5"/>
  <c r="H2223" i="5"/>
  <c r="E2223" i="5"/>
  <c r="F2241" i="5"/>
  <c r="I2241" i="5"/>
  <c r="K2232" i="5"/>
  <c r="H2232" i="5"/>
  <c r="N2241" i="5"/>
  <c r="Q2241" i="5"/>
  <c r="Q2232" i="5"/>
  <c r="G2241" i="5"/>
  <c r="L2232" i="5"/>
  <c r="K2241" i="5"/>
  <c r="O2241" i="5"/>
  <c r="I2232" i="5"/>
  <c r="E2232" i="5"/>
  <c r="N2232" i="5"/>
  <c r="F2223" i="5"/>
  <c r="E2241" i="5"/>
  <c r="M2223" i="5"/>
  <c r="J2223" i="5"/>
  <c r="O2223" i="5"/>
  <c r="H2241" i="5"/>
  <c r="B1553" i="4"/>
  <c r="C1552" i="4"/>
  <c r="AB28" i="9" l="1"/>
  <c r="AC28" i="9" s="1"/>
  <c r="B2250" i="5"/>
  <c r="B1554" i="4"/>
  <c r="C1553" i="4"/>
  <c r="B1201" i="5"/>
  <c r="AB29" i="9" l="1"/>
  <c r="AB30" i="9" s="1"/>
  <c r="AC30" i="9" s="1"/>
  <c r="B2251" i="5"/>
  <c r="K44" i="3" s="1"/>
  <c r="J2250" i="5"/>
  <c r="Q2250" i="5"/>
  <c r="M2250" i="5"/>
  <c r="K2250" i="5"/>
  <c r="N2250" i="5"/>
  <c r="O2250" i="5"/>
  <c r="P2250" i="5"/>
  <c r="H2250" i="5"/>
  <c r="I2250" i="5"/>
  <c r="G2250" i="5"/>
  <c r="F2250" i="5"/>
  <c r="L2250" i="5"/>
  <c r="E2250" i="5"/>
  <c r="B1202" i="5"/>
  <c r="B1555" i="4"/>
  <c r="C1554" i="4"/>
  <c r="AC29" i="9" l="1"/>
  <c r="AB31" i="9"/>
  <c r="AC31" i="9" s="1"/>
  <c r="O42" i="3"/>
  <c r="R44" i="3"/>
  <c r="P44" i="3"/>
  <c r="N44" i="3"/>
  <c r="T44" i="3"/>
  <c r="V44" i="3"/>
  <c r="Q44" i="3"/>
  <c r="I44" i="3"/>
  <c r="M44" i="3"/>
  <c r="O44" i="3"/>
  <c r="B2252" i="5"/>
  <c r="B1556" i="4"/>
  <c r="C1555" i="4"/>
  <c r="B1203" i="5"/>
  <c r="I46" i="3"/>
  <c r="P46" i="3"/>
  <c r="L46" i="3"/>
  <c r="T46" i="3"/>
  <c r="N46" i="3"/>
  <c r="O46" i="3"/>
  <c r="V46" i="3"/>
  <c r="U46" i="3"/>
  <c r="S46" i="3"/>
  <c r="Q46" i="3"/>
  <c r="M46" i="3"/>
  <c r="K46" i="3"/>
  <c r="R46" i="3"/>
  <c r="AB32" i="9" l="1"/>
  <c r="AC32" i="9" s="1"/>
  <c r="AI44" i="3"/>
  <c r="Y57" i="2" s="1"/>
  <c r="N45" i="3"/>
  <c r="I45" i="3"/>
  <c r="L45" i="3"/>
  <c r="Q45" i="3"/>
  <c r="P45" i="3"/>
  <c r="R45" i="3"/>
  <c r="O45" i="3"/>
  <c r="U45" i="3"/>
  <c r="T45" i="3"/>
  <c r="M45" i="3"/>
  <c r="V45" i="3"/>
  <c r="S45" i="3"/>
  <c r="K45" i="3"/>
  <c r="AF44" i="3"/>
  <c r="Q57" i="2" s="1"/>
  <c r="AG44" i="3"/>
  <c r="S57" i="2" s="1"/>
  <c r="AF46" i="3"/>
  <c r="Q59" i="2" s="1"/>
  <c r="AB46" i="3"/>
  <c r="G59" i="2" s="1"/>
  <c r="AI46" i="3"/>
  <c r="Y59" i="2" s="1"/>
  <c r="AH46" i="3"/>
  <c r="AG46" i="3"/>
  <c r="AJ46" i="3"/>
  <c r="B2253" i="5"/>
  <c r="B1204" i="5"/>
  <c r="V47" i="3"/>
  <c r="T47" i="3"/>
  <c r="U47" i="3"/>
  <c r="M47" i="3"/>
  <c r="O47" i="3"/>
  <c r="L47" i="3"/>
  <c r="K47" i="3"/>
  <c r="N47" i="3"/>
  <c r="P47" i="3"/>
  <c r="S47" i="3"/>
  <c r="R47" i="3"/>
  <c r="I47" i="3"/>
  <c r="Q47" i="3"/>
  <c r="B1557" i="4"/>
  <c r="C1556" i="4"/>
  <c r="AB33" i="9" l="1"/>
  <c r="AC33" i="9" s="1"/>
  <c r="AB34" i="9"/>
  <c r="AH45" i="3"/>
  <c r="AB45" i="3"/>
  <c r="AJ45" i="3"/>
  <c r="AI45" i="3"/>
  <c r="Y58" i="2" s="1"/>
  <c r="AG45" i="3"/>
  <c r="S58" i="2" s="1"/>
  <c r="AF45" i="3"/>
  <c r="Q58" i="2" s="1"/>
  <c r="AI47" i="3"/>
  <c r="Y60" i="2" s="1"/>
  <c r="AA59" i="2"/>
  <c r="S59" i="2"/>
  <c r="U59" i="2"/>
  <c r="AG47" i="3"/>
  <c r="S60" i="2" s="1"/>
  <c r="AB47" i="3"/>
  <c r="AF47" i="3"/>
  <c r="AJ47" i="3"/>
  <c r="AH47" i="3"/>
  <c r="U60" i="2" s="1"/>
  <c r="B2254" i="5"/>
  <c r="P2253" i="5"/>
  <c r="H2253" i="5"/>
  <c r="E2253" i="5"/>
  <c r="F2253" i="5"/>
  <c r="J2253" i="5"/>
  <c r="O2253" i="5"/>
  <c r="K2253" i="5"/>
  <c r="Q2253" i="5"/>
  <c r="L2253" i="5"/>
  <c r="N2253" i="5"/>
  <c r="G2253" i="5"/>
  <c r="M2253" i="5"/>
  <c r="I2253" i="5"/>
  <c r="B1558" i="4"/>
  <c r="C1557" i="4"/>
  <c r="B1205" i="5"/>
  <c r="M48" i="3"/>
  <c r="P48" i="3"/>
  <c r="Q48" i="3"/>
  <c r="V48" i="3"/>
  <c r="T48" i="3"/>
  <c r="I48" i="3"/>
  <c r="R48" i="3"/>
  <c r="O48" i="3"/>
  <c r="S48" i="3"/>
  <c r="L48" i="3"/>
  <c r="U48" i="3"/>
  <c r="AC34" i="9" l="1"/>
  <c r="AB35" i="9"/>
  <c r="AA60" i="2"/>
  <c r="Q60" i="2"/>
  <c r="G60" i="2"/>
  <c r="AJ48" i="3"/>
  <c r="AH48" i="3"/>
  <c r="U61" i="2" s="1"/>
  <c r="AI48" i="3"/>
  <c r="AG48" i="3"/>
  <c r="S61" i="2" s="1"/>
  <c r="B2255" i="5"/>
  <c r="B1206" i="5"/>
  <c r="U49" i="3"/>
  <c r="S49" i="3"/>
  <c r="R49" i="3"/>
  <c r="N49" i="3"/>
  <c r="M49" i="3"/>
  <c r="K49" i="3"/>
  <c r="L49" i="3"/>
  <c r="V49" i="3"/>
  <c r="T49" i="3"/>
  <c r="I49" i="3"/>
  <c r="P49" i="3"/>
  <c r="O49" i="3"/>
  <c r="B1559" i="4"/>
  <c r="C1558" i="4"/>
  <c r="AC35" i="9" l="1"/>
  <c r="AB36" i="9"/>
  <c r="AB37" i="9" s="1"/>
  <c r="AC37" i="9" s="1"/>
  <c r="Y61" i="2"/>
  <c r="AA61" i="2"/>
  <c r="AH49" i="3"/>
  <c r="AJ49" i="3"/>
  <c r="AB49" i="3"/>
  <c r="AF49" i="3"/>
  <c r="AG49" i="3"/>
  <c r="B2256" i="5"/>
  <c r="B1560" i="4"/>
  <c r="C1559" i="4"/>
  <c r="B1207" i="5"/>
  <c r="U50" i="3"/>
  <c r="S50" i="3"/>
  <c r="O50" i="3"/>
  <c r="T50" i="3"/>
  <c r="M50" i="3"/>
  <c r="N50" i="3"/>
  <c r="Q50" i="3"/>
  <c r="V50" i="3"/>
  <c r="P50" i="3"/>
  <c r="R50" i="3"/>
  <c r="K50" i="3"/>
  <c r="AB38" i="9" l="1"/>
  <c r="AC38" i="9" s="1"/>
  <c r="AC36" i="9"/>
  <c r="AB39" i="9"/>
  <c r="AC39" i="9" s="1"/>
  <c r="AA62" i="2"/>
  <c r="U62" i="2"/>
  <c r="S62" i="2"/>
  <c r="AJ50" i="3"/>
  <c r="AA63" i="2" s="1"/>
  <c r="AF50" i="3"/>
  <c r="AG50" i="3"/>
  <c r="S63" i="2" s="1"/>
  <c r="AH50" i="3"/>
  <c r="U63" i="2" s="1"/>
  <c r="AI50" i="3"/>
  <c r="B2257" i="5"/>
  <c r="B1208" i="5"/>
  <c r="C1207" i="5"/>
  <c r="P51" i="3"/>
  <c r="Q51" i="3"/>
  <c r="O51" i="3"/>
  <c r="I51" i="3"/>
  <c r="L51" i="3"/>
  <c r="V51" i="3"/>
  <c r="K51" i="3"/>
  <c r="M51" i="3"/>
  <c r="R51" i="3"/>
  <c r="S51" i="3"/>
  <c r="N51" i="3"/>
  <c r="T51" i="3"/>
  <c r="B1561" i="4"/>
  <c r="C1560" i="4"/>
  <c r="AB40" i="9" l="1"/>
  <c r="AC40" i="9" s="1"/>
  <c r="AF51" i="3"/>
  <c r="Q64" i="2" s="1"/>
  <c r="AG51" i="3"/>
  <c r="S64" i="2" s="1"/>
  <c r="AI51" i="3"/>
  <c r="AJ51" i="3"/>
  <c r="AA64" i="2" s="1"/>
  <c r="AB51" i="3"/>
  <c r="B2258" i="5"/>
  <c r="B1562" i="4"/>
  <c r="C1561" i="4"/>
  <c r="B1209" i="5"/>
  <c r="C1208" i="5"/>
  <c r="AB41" i="9" l="1"/>
  <c r="AB42" i="9" s="1"/>
  <c r="AC42" i="9" s="1"/>
  <c r="AB43" i="9"/>
  <c r="AC43" i="9" s="1"/>
  <c r="Y64" i="2"/>
  <c r="B2259" i="5"/>
  <c r="B1210" i="5"/>
  <c r="C1209" i="5"/>
  <c r="B1563" i="4"/>
  <c r="C1562" i="4"/>
  <c r="AC41" i="9" l="1"/>
  <c r="AB44" i="9"/>
  <c r="B2260" i="5"/>
  <c r="L2259" i="5"/>
  <c r="O2259" i="5"/>
  <c r="E2259" i="5"/>
  <c r="N2259" i="5"/>
  <c r="I2259" i="5"/>
  <c r="M2259" i="5"/>
  <c r="J2259" i="5"/>
  <c r="P2259" i="5"/>
  <c r="K2259" i="5"/>
  <c r="Q2259" i="5"/>
  <c r="G2259" i="5"/>
  <c r="H2259" i="5"/>
  <c r="F2259" i="5"/>
  <c r="B1564" i="4"/>
  <c r="C1563" i="4"/>
  <c r="B1211" i="5"/>
  <c r="C1210" i="5"/>
  <c r="AC44" i="9" l="1"/>
  <c r="AB45" i="9"/>
  <c r="B2261" i="5"/>
  <c r="B1212" i="5"/>
  <c r="C1211" i="5"/>
  <c r="B1565" i="4"/>
  <c r="C1564" i="4"/>
  <c r="AC45" i="9" l="1"/>
  <c r="AB46" i="9"/>
  <c r="B2262" i="5"/>
  <c r="B1566" i="4"/>
  <c r="C1565" i="4"/>
  <c r="B1213" i="5"/>
  <c r="N2245" i="5" s="1"/>
  <c r="C1212" i="5"/>
  <c r="N2254" i="5"/>
  <c r="P2245" i="5"/>
  <c r="O2245" i="5"/>
  <c r="E2254" i="5"/>
  <c r="M2236" i="5"/>
  <c r="M2227" i="5"/>
  <c r="I2227" i="5"/>
  <c r="J2245" i="5"/>
  <c r="K2227" i="5"/>
  <c r="G2218" i="5"/>
  <c r="AC46" i="9" l="1"/>
  <c r="AB47" i="9"/>
  <c r="F2236" i="5"/>
  <c r="K2218" i="5"/>
  <c r="J2254" i="5"/>
  <c r="J2227" i="5"/>
  <c r="G2254" i="5"/>
  <c r="L2245" i="5"/>
  <c r="O2227" i="5"/>
  <c r="F2227" i="5"/>
  <c r="J2236" i="5"/>
  <c r="L2227" i="5"/>
  <c r="P2254" i="5"/>
  <c r="H2236" i="5"/>
  <c r="P2227" i="5"/>
  <c r="H2254" i="5"/>
  <c r="I2245" i="5"/>
  <c r="E2227" i="5"/>
  <c r="G2245" i="5"/>
  <c r="E2236" i="5"/>
  <c r="H2218" i="5"/>
  <c r="Q2245" i="5"/>
  <c r="N2218" i="5"/>
  <c r="N2236" i="5"/>
  <c r="M2254" i="5"/>
  <c r="B2263" i="5"/>
  <c r="G2262" i="5"/>
  <c r="J2262" i="5"/>
  <c r="K2262" i="5"/>
  <c r="Q2262" i="5"/>
  <c r="F2262" i="5"/>
  <c r="H2262" i="5"/>
  <c r="P2262" i="5"/>
  <c r="O2262" i="5"/>
  <c r="L2262" i="5"/>
  <c r="I2262" i="5"/>
  <c r="M2262" i="5"/>
  <c r="N2262" i="5"/>
  <c r="E2262" i="5"/>
  <c r="L2218" i="5"/>
  <c r="F2254" i="5"/>
  <c r="K2245" i="5"/>
  <c r="J2218" i="5"/>
  <c r="I2236" i="5"/>
  <c r="H2227" i="5"/>
  <c r="H2245" i="5"/>
  <c r="Q2236" i="5"/>
  <c r="K2254" i="5"/>
  <c r="N2227" i="5"/>
  <c r="E2218" i="5"/>
  <c r="O2236" i="5"/>
  <c r="L2254" i="5"/>
  <c r="I2254" i="5"/>
  <c r="F2218" i="5"/>
  <c r="P2218" i="5"/>
  <c r="O2218" i="5"/>
  <c r="G2236" i="5"/>
  <c r="M2218" i="5"/>
  <c r="P2236" i="5"/>
  <c r="K2236" i="5"/>
  <c r="L2236" i="5"/>
  <c r="M2245" i="5"/>
  <c r="G2227" i="5"/>
  <c r="Q2218" i="5"/>
  <c r="I2218" i="5"/>
  <c r="Q2254" i="5"/>
  <c r="Q2227" i="5"/>
  <c r="O2254" i="5"/>
  <c r="E2245" i="5"/>
  <c r="F2245" i="5"/>
  <c r="B1214" i="5"/>
  <c r="C1213" i="5"/>
  <c r="B1567" i="4"/>
  <c r="C1566" i="4"/>
  <c r="AC47" i="9" l="1"/>
  <c r="AB48" i="9"/>
  <c r="B2264" i="5"/>
  <c r="P2263" i="5"/>
  <c r="O2263" i="5"/>
  <c r="F2263" i="5"/>
  <c r="E2263" i="5"/>
  <c r="K2263" i="5"/>
  <c r="Q2263" i="5"/>
  <c r="I2263" i="5"/>
  <c r="G2263" i="5"/>
  <c r="L2263" i="5"/>
  <c r="J2263" i="5"/>
  <c r="N2263" i="5"/>
  <c r="M2263" i="5"/>
  <c r="H2263" i="5"/>
  <c r="B1568" i="4"/>
  <c r="C1567" i="4"/>
  <c r="B1215" i="5"/>
  <c r="M2261" i="5" s="1"/>
  <c r="C1214" i="5"/>
  <c r="N2261" i="5"/>
  <c r="I2234" i="5"/>
  <c r="Q2252" i="5"/>
  <c r="M2243" i="5"/>
  <c r="J2234" i="5"/>
  <c r="N2243" i="5"/>
  <c r="Q2234" i="5"/>
  <c r="H2234" i="5"/>
  <c r="F2225" i="5"/>
  <c r="K2234" i="5"/>
  <c r="E2225" i="5"/>
  <c r="K2243" i="5"/>
  <c r="O2225" i="5"/>
  <c r="G2225" i="5"/>
  <c r="N2225" i="5"/>
  <c r="L2252" i="5"/>
  <c r="Q2216" i="5"/>
  <c r="L2216" i="5"/>
  <c r="Q2261" i="5"/>
  <c r="G2261" i="5"/>
  <c r="F2216" i="5"/>
  <c r="F2261" i="5"/>
  <c r="K2225" i="5"/>
  <c r="I2225" i="5"/>
  <c r="K2216" i="5"/>
  <c r="F2234" i="5"/>
  <c r="J2216" i="5"/>
  <c r="I2243" i="5"/>
  <c r="I2216" i="5"/>
  <c r="O2252" i="5"/>
  <c r="P2261" i="5"/>
  <c r="P2234" i="5"/>
  <c r="N2234" i="5"/>
  <c r="E2261" i="5"/>
  <c r="L2234" i="5"/>
  <c r="P2252" i="5"/>
  <c r="E2243" i="5"/>
  <c r="E2234" i="5"/>
  <c r="H2252" i="5"/>
  <c r="M2225" i="5"/>
  <c r="F2252" i="5"/>
  <c r="N2252" i="5"/>
  <c r="G2243" i="5"/>
  <c r="I2252" i="5"/>
  <c r="L2261" i="5"/>
  <c r="H2243" i="5"/>
  <c r="E2216" i="5"/>
  <c r="K2252" i="5"/>
  <c r="Q2225" i="5"/>
  <c r="L2225" i="5"/>
  <c r="P2225" i="5"/>
  <c r="H2216" i="5"/>
  <c r="O2216" i="5"/>
  <c r="H2261" i="5"/>
  <c r="Q2243" i="5"/>
  <c r="J2225" i="5"/>
  <c r="N2216" i="5"/>
  <c r="G2252" i="5"/>
  <c r="K2261" i="5"/>
  <c r="M2252" i="5"/>
  <c r="H2225" i="5"/>
  <c r="G2216" i="5"/>
  <c r="O2261" i="5"/>
  <c r="M2216" i="5"/>
  <c r="O2234" i="5"/>
  <c r="J2252" i="5"/>
  <c r="E2252" i="5"/>
  <c r="P2243" i="5"/>
  <c r="O2243" i="5"/>
  <c r="F2243" i="5"/>
  <c r="M2234" i="5"/>
  <c r="L2243" i="5"/>
  <c r="P2216" i="5"/>
  <c r="J2261" i="5"/>
  <c r="AC48" i="9" l="1"/>
  <c r="AB49" i="9"/>
  <c r="G2234" i="5"/>
  <c r="I2261" i="5"/>
  <c r="J2243" i="5"/>
  <c r="B2265" i="5"/>
  <c r="B1216" i="5"/>
  <c r="C1215" i="5"/>
  <c r="B1569" i="4"/>
  <c r="C1568" i="4"/>
  <c r="AC49" i="9" l="1"/>
  <c r="AB50" i="9"/>
  <c r="B2266" i="5"/>
  <c r="B1217" i="5"/>
  <c r="C1216" i="5"/>
  <c r="B1570" i="4"/>
  <c r="C1569" i="4"/>
  <c r="AC50" i="9" l="1"/>
  <c r="AB51" i="9"/>
  <c r="AC51" i="9" s="1"/>
  <c r="B2267" i="5"/>
  <c r="B1571" i="4"/>
  <c r="C1570" i="4"/>
  <c r="B1218" i="5"/>
  <c r="C1217" i="5"/>
  <c r="AB52" i="9" l="1"/>
  <c r="AC52" i="9" s="1"/>
  <c r="B2268" i="5"/>
  <c r="B1219" i="5"/>
  <c r="C1218" i="5"/>
  <c r="B1572" i="4"/>
  <c r="C1571" i="4"/>
  <c r="AB53" i="9" l="1"/>
  <c r="AB54" i="9" s="1"/>
  <c r="AB55" i="9" s="1"/>
  <c r="AC55" i="9" s="1"/>
  <c r="B2269" i="5"/>
  <c r="O2268" i="5"/>
  <c r="P2268" i="5"/>
  <c r="I2268" i="5"/>
  <c r="H2268" i="5"/>
  <c r="E2268" i="5"/>
  <c r="N2268" i="5"/>
  <c r="Q2268" i="5"/>
  <c r="F2268" i="5"/>
  <c r="L2268" i="5"/>
  <c r="M2268" i="5"/>
  <c r="J2268" i="5"/>
  <c r="G2268" i="5"/>
  <c r="K2268" i="5"/>
  <c r="B1573" i="4"/>
  <c r="C1572" i="4"/>
  <c r="B1220" i="5"/>
  <c r="C1219" i="5"/>
  <c r="AC53" i="9" l="1"/>
  <c r="AC54" i="9"/>
  <c r="AB56" i="9"/>
  <c r="AC56" i="9" s="1"/>
  <c r="B1221" i="5"/>
  <c r="B2270" i="5"/>
  <c r="B1574" i="4"/>
  <c r="C1573" i="4"/>
  <c r="AB57" i="9" l="1"/>
  <c r="AC57" i="9" s="1"/>
  <c r="B2271" i="5"/>
  <c r="H2270" i="5"/>
  <c r="F2270" i="5"/>
  <c r="G2270" i="5"/>
  <c r="O2270" i="5"/>
  <c r="P2270" i="5"/>
  <c r="L2270" i="5"/>
  <c r="K2270" i="5"/>
  <c r="I2270" i="5"/>
  <c r="N2270" i="5"/>
  <c r="M2270" i="5"/>
  <c r="Q2270" i="5"/>
  <c r="E2270" i="5"/>
  <c r="J2270" i="5"/>
  <c r="B1222" i="5"/>
  <c r="B1575" i="4"/>
  <c r="C1574" i="4"/>
  <c r="AB58" i="9" l="1"/>
  <c r="AC58" i="9" s="1"/>
  <c r="B1223" i="5"/>
  <c r="B2272" i="5"/>
  <c r="L2271" i="5"/>
  <c r="K2271" i="5"/>
  <c r="H2271" i="5"/>
  <c r="O2271" i="5"/>
  <c r="J2271" i="5"/>
  <c r="M2271" i="5"/>
  <c r="Q2271" i="5"/>
  <c r="G2271" i="5"/>
  <c r="I2271" i="5"/>
  <c r="N2271" i="5"/>
  <c r="E2271" i="5"/>
  <c r="F2271" i="5"/>
  <c r="P2271" i="5"/>
  <c r="B1576" i="4"/>
  <c r="C1575" i="4"/>
  <c r="AB59" i="9" l="1"/>
  <c r="AC59" i="9" s="1"/>
  <c r="B2273" i="5"/>
  <c r="J2272" i="5"/>
  <c r="I2272" i="5"/>
  <c r="O2272" i="5"/>
  <c r="E2272" i="5"/>
  <c r="K2272" i="5"/>
  <c r="P2272" i="5"/>
  <c r="F2272" i="5"/>
  <c r="N2272" i="5"/>
  <c r="M2272" i="5"/>
  <c r="Q2272" i="5"/>
  <c r="H2272" i="5"/>
  <c r="G2272" i="5"/>
  <c r="L2272" i="5"/>
  <c r="B1224" i="5"/>
  <c r="B1577" i="4"/>
  <c r="C1576" i="4"/>
  <c r="AB60" i="9" l="1"/>
  <c r="AC60" i="9" s="1"/>
  <c r="B1225" i="5"/>
  <c r="B2274" i="5"/>
  <c r="B1578" i="4"/>
  <c r="C1577" i="4"/>
  <c r="AB61" i="9" l="1"/>
  <c r="AC61" i="9" s="1"/>
  <c r="B2275" i="5"/>
  <c r="B1226" i="5"/>
  <c r="B1579" i="4"/>
  <c r="C1578" i="4"/>
  <c r="AB62" i="9" l="1"/>
  <c r="AC62" i="9" s="1"/>
  <c r="AB63" i="9"/>
  <c r="B1227" i="5"/>
  <c r="B2276" i="5"/>
  <c r="B1580" i="4"/>
  <c r="C1579" i="4"/>
  <c r="AC63" i="9" l="1"/>
  <c r="AB64" i="9"/>
  <c r="B2277" i="5"/>
  <c r="B1228" i="5"/>
  <c r="B1229" i="5" s="1"/>
  <c r="B1581" i="4"/>
  <c r="C1580" i="4"/>
  <c r="AC64" i="9" l="1"/>
  <c r="AB65" i="9"/>
  <c r="AB66" i="9" s="1"/>
  <c r="AC66" i="9" s="1"/>
  <c r="B1230" i="5"/>
  <c r="B1231" i="5" s="1"/>
  <c r="B1232" i="5" s="1"/>
  <c r="B1233" i="5" s="1"/>
  <c r="B1234" i="5" s="1"/>
  <c r="B2278" i="5"/>
  <c r="P2277" i="5"/>
  <c r="J2277" i="5"/>
  <c r="K2277" i="5"/>
  <c r="M2277" i="5"/>
  <c r="Q2277" i="5"/>
  <c r="E2277" i="5"/>
  <c r="L2277" i="5"/>
  <c r="N2277" i="5"/>
  <c r="I2277" i="5"/>
  <c r="G2277" i="5"/>
  <c r="H2277" i="5"/>
  <c r="O2277" i="5"/>
  <c r="F2277" i="5"/>
  <c r="B1582" i="4"/>
  <c r="C1581" i="4"/>
  <c r="AC65" i="9" l="1"/>
  <c r="AB67" i="9"/>
  <c r="AC67" i="9" s="1"/>
  <c r="B1235" i="5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I33" i="3"/>
  <c r="K32" i="3"/>
  <c r="T32" i="3"/>
  <c r="S34" i="3"/>
  <c r="I35" i="3"/>
  <c r="V35" i="3"/>
  <c r="I34" i="3"/>
  <c r="V34" i="3"/>
  <c r="Q36" i="3"/>
  <c r="I32" i="3"/>
  <c r="O33" i="3"/>
  <c r="O35" i="3"/>
  <c r="M36" i="3"/>
  <c r="Q35" i="3"/>
  <c r="M33" i="3"/>
  <c r="N35" i="3"/>
  <c r="O32" i="3"/>
  <c r="Q34" i="3"/>
  <c r="V36" i="3"/>
  <c r="P34" i="3"/>
  <c r="K33" i="3"/>
  <c r="S35" i="3"/>
  <c r="U34" i="3"/>
  <c r="K36" i="3"/>
  <c r="R36" i="3"/>
  <c r="M34" i="3"/>
  <c r="O34" i="3"/>
  <c r="N33" i="3"/>
  <c r="M32" i="3"/>
  <c r="L34" i="3"/>
  <c r="S36" i="3"/>
  <c r="T36" i="3"/>
  <c r="K35" i="3"/>
  <c r="T33" i="3"/>
  <c r="V32" i="3"/>
  <c r="L32" i="3"/>
  <c r="L36" i="3"/>
  <c r="P32" i="3"/>
  <c r="R35" i="3"/>
  <c r="P35" i="3"/>
  <c r="R34" i="3"/>
  <c r="T34" i="3"/>
  <c r="P36" i="3"/>
  <c r="Q33" i="3"/>
  <c r="L33" i="3"/>
  <c r="P33" i="3"/>
  <c r="K34" i="3"/>
  <c r="N34" i="3"/>
  <c r="I36" i="3"/>
  <c r="U36" i="3"/>
  <c r="B2279" i="5"/>
  <c r="B1583" i="4"/>
  <c r="C1582" i="4"/>
  <c r="AB68" i="9" l="1"/>
  <c r="AB69" i="9" s="1"/>
  <c r="AC69" i="9" s="1"/>
  <c r="AJ34" i="3"/>
  <c r="AF34" i="3"/>
  <c r="AG33" i="3"/>
  <c r="AG35" i="3"/>
  <c r="S48" i="2" s="1"/>
  <c r="AI33" i="3"/>
  <c r="AG32" i="3"/>
  <c r="AF33" i="3"/>
  <c r="AG34" i="3"/>
  <c r="B1305" i="5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U32" i="3"/>
  <c r="AH32" i="3" s="1"/>
  <c r="M35" i="3"/>
  <c r="AF35" i="3" s="1"/>
  <c r="Q48" i="2" s="1"/>
  <c r="V37" i="3"/>
  <c r="L37" i="3"/>
  <c r="U35" i="3"/>
  <c r="AH35" i="3" s="1"/>
  <c r="U48" i="2" s="1"/>
  <c r="P37" i="3"/>
  <c r="T35" i="3"/>
  <c r="AI35" i="3" s="1"/>
  <c r="Y48" i="2" s="1"/>
  <c r="M37" i="3"/>
  <c r="R37" i="3"/>
  <c r="S33" i="3"/>
  <c r="L35" i="3"/>
  <c r="AB35" i="3" s="1"/>
  <c r="G48" i="2" s="1"/>
  <c r="N37" i="3"/>
  <c r="N32" i="3"/>
  <c r="AF32" i="3" s="1"/>
  <c r="T37" i="3"/>
  <c r="V33" i="3"/>
  <c r="U37" i="3"/>
  <c r="U33" i="3"/>
  <c r="O37" i="3"/>
  <c r="S37" i="3"/>
  <c r="K37" i="3"/>
  <c r="I37" i="3"/>
  <c r="AH36" i="3"/>
  <c r="U49" i="2" s="1"/>
  <c r="AI36" i="3"/>
  <c r="Y49" i="2" s="1"/>
  <c r="AI34" i="3"/>
  <c r="Y47" i="2" s="1"/>
  <c r="AH34" i="3"/>
  <c r="AB34" i="3"/>
  <c r="G47" i="2" s="1"/>
  <c r="AB32" i="3"/>
  <c r="AJ36" i="3"/>
  <c r="AA49" i="2" s="1"/>
  <c r="AJ35" i="3"/>
  <c r="AA48" i="2" s="1"/>
  <c r="AB36" i="3"/>
  <c r="G49" i="2" s="1"/>
  <c r="AB33" i="3"/>
  <c r="G46" i="2" s="1"/>
  <c r="B2280" i="5"/>
  <c r="H2279" i="5"/>
  <c r="G2279" i="5"/>
  <c r="N2279" i="5"/>
  <c r="L2279" i="5"/>
  <c r="P2279" i="5"/>
  <c r="O2279" i="5"/>
  <c r="K2279" i="5"/>
  <c r="Q2279" i="5"/>
  <c r="J2279" i="5"/>
  <c r="I2279" i="5"/>
  <c r="E2279" i="5"/>
  <c r="F2279" i="5"/>
  <c r="M2279" i="5"/>
  <c r="B1584" i="4"/>
  <c r="C1583" i="4"/>
  <c r="Q47" i="2" l="1"/>
  <c r="S47" i="2"/>
  <c r="AC68" i="9"/>
  <c r="AB70" i="9"/>
  <c r="AC70" i="9" s="1"/>
  <c r="S46" i="2"/>
  <c r="Q46" i="2"/>
  <c r="AB37" i="3"/>
  <c r="G50" i="2" s="1"/>
  <c r="B1375" i="5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Q37" i="3"/>
  <c r="AI37" i="3" s="1"/>
  <c r="Y50" i="2" s="1"/>
  <c r="R38" i="3"/>
  <c r="N38" i="3"/>
  <c r="I38" i="3"/>
  <c r="U38" i="3"/>
  <c r="K38" i="3"/>
  <c r="O38" i="3"/>
  <c r="T38" i="3"/>
  <c r="S38" i="3"/>
  <c r="Q38" i="3"/>
  <c r="P38" i="3"/>
  <c r="L38" i="3"/>
  <c r="M38" i="3"/>
  <c r="AF37" i="3"/>
  <c r="AJ37" i="3"/>
  <c r="AA50" i="2" s="1"/>
  <c r="AG37" i="3"/>
  <c r="AH33" i="3"/>
  <c r="U46" i="2" s="1"/>
  <c r="AH37" i="3"/>
  <c r="U50" i="2" s="1"/>
  <c r="B2281" i="5"/>
  <c r="K2280" i="5"/>
  <c r="P2280" i="5"/>
  <c r="I2280" i="5"/>
  <c r="F2280" i="5"/>
  <c r="Q2280" i="5"/>
  <c r="E2280" i="5"/>
  <c r="O2280" i="5"/>
  <c r="J2280" i="5"/>
  <c r="H2280" i="5"/>
  <c r="M2280" i="5"/>
  <c r="L2280" i="5"/>
  <c r="N2280" i="5"/>
  <c r="G2280" i="5"/>
  <c r="B1585" i="4"/>
  <c r="C1584" i="4"/>
  <c r="AB71" i="9" l="1"/>
  <c r="U47" i="2"/>
  <c r="AJ38" i="3"/>
  <c r="AA51" i="2" s="1"/>
  <c r="AI38" i="3"/>
  <c r="Y51" i="2" s="1"/>
  <c r="B1445" i="5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V38" i="3"/>
  <c r="AH38" i="3" s="1"/>
  <c r="U51" i="2" s="1"/>
  <c r="U39" i="3"/>
  <c r="K39" i="3"/>
  <c r="P39" i="3"/>
  <c r="S39" i="3"/>
  <c r="O39" i="3"/>
  <c r="I39" i="3"/>
  <c r="N39" i="3"/>
  <c r="L39" i="3"/>
  <c r="R39" i="3"/>
  <c r="T39" i="3"/>
  <c r="M39" i="3"/>
  <c r="Q39" i="3"/>
  <c r="AB38" i="3"/>
  <c r="G51" i="2" s="1"/>
  <c r="AF38" i="3"/>
  <c r="Q51" i="2" s="1"/>
  <c r="AG38" i="3"/>
  <c r="S51" i="2" s="1"/>
  <c r="B2282" i="5"/>
  <c r="O2281" i="5"/>
  <c r="E2281" i="5"/>
  <c r="J2281" i="5"/>
  <c r="H2281" i="5"/>
  <c r="M2281" i="5"/>
  <c r="K2281" i="5"/>
  <c r="P2281" i="5"/>
  <c r="L2281" i="5"/>
  <c r="F2281" i="5"/>
  <c r="Q2281" i="5"/>
  <c r="N2281" i="5"/>
  <c r="I2281" i="5"/>
  <c r="G2281" i="5"/>
  <c r="B1586" i="4"/>
  <c r="C1585" i="4"/>
  <c r="AC71" i="9" l="1"/>
  <c r="AB72" i="9"/>
  <c r="AC72" i="9" s="1"/>
  <c r="AJ39" i="3"/>
  <c r="AA52" i="2" s="1"/>
  <c r="B1515" i="5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V39" i="3"/>
  <c r="AH39" i="3" s="1"/>
  <c r="U52" i="2" s="1"/>
  <c r="V40" i="3"/>
  <c r="K40" i="3"/>
  <c r="T40" i="3"/>
  <c r="O40" i="3"/>
  <c r="U40" i="3"/>
  <c r="L40" i="3"/>
  <c r="P40" i="3"/>
  <c r="Q40" i="3"/>
  <c r="I40" i="3"/>
  <c r="M40" i="3"/>
  <c r="N40" i="3"/>
  <c r="M41" i="3"/>
  <c r="P41" i="3"/>
  <c r="N41" i="3"/>
  <c r="T41" i="3"/>
  <c r="R41" i="3"/>
  <c r="U41" i="3"/>
  <c r="V41" i="3"/>
  <c r="Q41" i="3"/>
  <c r="AG39" i="3"/>
  <c r="S52" i="2" s="1"/>
  <c r="AI39" i="3"/>
  <c r="Y52" i="2" s="1"/>
  <c r="AB39" i="3"/>
  <c r="G52" i="2" s="1"/>
  <c r="B1794" i="5"/>
  <c r="C1793" i="5"/>
  <c r="AF39" i="3"/>
  <c r="Q52" i="2" s="1"/>
  <c r="B2283" i="5"/>
  <c r="B1587" i="4"/>
  <c r="C1586" i="4"/>
  <c r="AB73" i="9" l="1"/>
  <c r="AF41" i="3"/>
  <c r="Q54" i="2" s="1"/>
  <c r="AF40" i="3"/>
  <c r="Q53" i="2" s="1"/>
  <c r="AG40" i="3"/>
  <c r="S53" i="2" s="1"/>
  <c r="AH40" i="3"/>
  <c r="U53" i="2" s="1"/>
  <c r="AB40" i="3"/>
  <c r="G53" i="2" s="1"/>
  <c r="AI41" i="3"/>
  <c r="Y54" i="2" s="1"/>
  <c r="AH41" i="3"/>
  <c r="U54" i="2" s="1"/>
  <c r="AI40" i="3"/>
  <c r="Y53" i="2" s="1"/>
  <c r="C1794" i="5"/>
  <c r="B1795" i="5"/>
  <c r="B2284" i="5"/>
  <c r="B1588" i="4"/>
  <c r="C1587" i="4"/>
  <c r="AC73" i="9" l="1"/>
  <c r="AB74" i="9"/>
  <c r="AC74" i="9" s="1"/>
  <c r="B1796" i="5"/>
  <c r="C1795" i="5"/>
  <c r="B2285" i="5"/>
  <c r="B1589" i="4"/>
  <c r="C1588" i="4"/>
  <c r="B1797" i="5" l="1"/>
  <c r="C1796" i="5"/>
  <c r="B2286" i="5"/>
  <c r="B1590" i="4"/>
  <c r="C1589" i="4"/>
  <c r="I41" i="3"/>
  <c r="L41" i="3"/>
  <c r="L50" i="3"/>
  <c r="AB50" i="3" s="1"/>
  <c r="S32" i="3"/>
  <c r="N48" i="3"/>
  <c r="AF48" i="3" s="1"/>
  <c r="Q63" i="2" s="1"/>
  <c r="Q32" i="3"/>
  <c r="AI32" i="3" s="1"/>
  <c r="Y46" i="2" s="1"/>
  <c r="R32" i="3"/>
  <c r="S41" i="3"/>
  <c r="AJ41" i="3" s="1"/>
  <c r="L44" i="3"/>
  <c r="AB44" i="3" s="1"/>
  <c r="N42" i="3"/>
  <c r="N36" i="3"/>
  <c r="AF36" i="3" s="1"/>
  <c r="O36" i="3"/>
  <c r="AG36" i="3" s="1"/>
  <c r="R33" i="3"/>
  <c r="AJ33" i="3" s="1"/>
  <c r="AA47" i="2" s="1"/>
  <c r="U44" i="3"/>
  <c r="AH44" i="3" s="1"/>
  <c r="S40" i="3"/>
  <c r="U51" i="3"/>
  <c r="AH51" i="3" s="1"/>
  <c r="R40" i="3"/>
  <c r="Q49" i="3"/>
  <c r="AI49" i="3" s="1"/>
  <c r="I50" i="3"/>
  <c r="K41" i="3"/>
  <c r="S44" i="3"/>
  <c r="AJ44" i="3" s="1"/>
  <c r="K48" i="3"/>
  <c r="AB48" i="3" s="1"/>
  <c r="C1797" i="5" l="1"/>
  <c r="B1798" i="5"/>
  <c r="Q62" i="2"/>
  <c r="Q61" i="2"/>
  <c r="U58" i="2"/>
  <c r="U57" i="2"/>
  <c r="G64" i="2"/>
  <c r="G63" i="2"/>
  <c r="G62" i="2"/>
  <c r="G61" i="2"/>
  <c r="S50" i="2"/>
  <c r="S49" i="2"/>
  <c r="AA58" i="2"/>
  <c r="AA57" i="2"/>
  <c r="Q50" i="2"/>
  <c r="Q49" i="2"/>
  <c r="G58" i="2"/>
  <c r="G57" i="2"/>
  <c r="Y63" i="2"/>
  <c r="Y62" i="2"/>
  <c r="U64" i="2"/>
  <c r="AB41" i="3"/>
  <c r="AJ40" i="3"/>
  <c r="AJ32" i="3"/>
  <c r="AA46" i="2" s="1"/>
  <c r="B2287" i="5"/>
  <c r="G2286" i="5"/>
  <c r="F2286" i="5"/>
  <c r="K2286" i="5"/>
  <c r="H2286" i="5"/>
  <c r="E2286" i="5"/>
  <c r="M2286" i="5"/>
  <c r="O2286" i="5"/>
  <c r="L2286" i="5"/>
  <c r="N2286" i="5"/>
  <c r="J2286" i="5"/>
  <c r="I2286" i="5"/>
  <c r="P2286" i="5"/>
  <c r="Q2286" i="5"/>
  <c r="B1591" i="4"/>
  <c r="C1590" i="4"/>
  <c r="C1798" i="5" l="1"/>
  <c r="B1799" i="5"/>
  <c r="G54" i="2"/>
  <c r="AA54" i="2"/>
  <c r="AA53" i="2"/>
  <c r="B2288" i="5"/>
  <c r="B1592" i="4"/>
  <c r="C1591" i="4"/>
  <c r="B1800" i="5" l="1"/>
  <c r="C1799" i="5"/>
  <c r="B2289" i="5"/>
  <c r="F2288" i="5"/>
  <c r="H2288" i="5"/>
  <c r="L2288" i="5"/>
  <c r="K2288" i="5"/>
  <c r="E2288" i="5"/>
  <c r="G2288" i="5"/>
  <c r="P2288" i="5"/>
  <c r="J2288" i="5"/>
  <c r="I2288" i="5"/>
  <c r="Q2288" i="5"/>
  <c r="N2288" i="5"/>
  <c r="O2288" i="5"/>
  <c r="M2288" i="5"/>
  <c r="B1593" i="4"/>
  <c r="C1592" i="4"/>
  <c r="B1801" i="5" l="1"/>
  <c r="C1800" i="5"/>
  <c r="B2290" i="5"/>
  <c r="M2289" i="5"/>
  <c r="F2289" i="5"/>
  <c r="H2289" i="5"/>
  <c r="P2289" i="5"/>
  <c r="N2289" i="5"/>
  <c r="G2289" i="5"/>
  <c r="L2289" i="5"/>
  <c r="Q2289" i="5"/>
  <c r="K2289" i="5"/>
  <c r="E2289" i="5"/>
  <c r="J2289" i="5"/>
  <c r="I2289" i="5"/>
  <c r="O2289" i="5"/>
  <c r="B1594" i="4"/>
  <c r="C1593" i="4"/>
  <c r="B1802" i="5" l="1"/>
  <c r="C1801" i="5"/>
  <c r="B2291" i="5"/>
  <c r="O2290" i="5"/>
  <c r="E2290" i="5"/>
  <c r="K2290" i="5"/>
  <c r="H2290" i="5"/>
  <c r="L2290" i="5"/>
  <c r="J2290" i="5"/>
  <c r="P2290" i="5"/>
  <c r="F2290" i="5"/>
  <c r="G2290" i="5"/>
  <c r="I2290" i="5"/>
  <c r="Q2290" i="5"/>
  <c r="N2290" i="5"/>
  <c r="M2290" i="5"/>
  <c r="B1595" i="4"/>
  <c r="C1594" i="4"/>
  <c r="C1802" i="5" l="1"/>
  <c r="B1803" i="5"/>
  <c r="B2292" i="5"/>
  <c r="B1596" i="4"/>
  <c r="C1595" i="4"/>
  <c r="C1803" i="5" l="1"/>
  <c r="B1804" i="5"/>
  <c r="B2293" i="5"/>
  <c r="B1597" i="4"/>
  <c r="C1596" i="4"/>
  <c r="B1805" i="5" l="1"/>
  <c r="C1804" i="5"/>
  <c r="B2294" i="5"/>
  <c r="B1598" i="4"/>
  <c r="C1597" i="4"/>
  <c r="C1805" i="5" l="1"/>
  <c r="B1806" i="5"/>
  <c r="B2295" i="5"/>
  <c r="C1598" i="4"/>
  <c r="B1599" i="4"/>
  <c r="B1807" i="5" l="1"/>
  <c r="C1806" i="5"/>
  <c r="B2296" i="5"/>
  <c r="J2295" i="5"/>
  <c r="I2295" i="5"/>
  <c r="O2295" i="5"/>
  <c r="G2295" i="5"/>
  <c r="L2295" i="5"/>
  <c r="F2295" i="5"/>
  <c r="P2295" i="5"/>
  <c r="K2295" i="5"/>
  <c r="E2295" i="5"/>
  <c r="N2295" i="5"/>
  <c r="Q2295" i="5"/>
  <c r="H2295" i="5"/>
  <c r="M2295" i="5"/>
  <c r="B1600" i="4"/>
  <c r="C1599" i="4"/>
  <c r="C1807" i="5" l="1"/>
  <c r="B1808" i="5"/>
  <c r="B2297" i="5"/>
  <c r="B1601" i="4"/>
  <c r="C1600" i="4"/>
  <c r="C1808" i="5" l="1"/>
  <c r="B1809" i="5"/>
  <c r="B2298" i="5"/>
  <c r="N2297" i="5"/>
  <c r="I2297" i="5"/>
  <c r="F2297" i="5"/>
  <c r="P2297" i="5"/>
  <c r="G2297" i="5"/>
  <c r="J2297" i="5"/>
  <c r="O2297" i="5"/>
  <c r="L2297" i="5"/>
  <c r="E2297" i="5"/>
  <c r="K2297" i="5"/>
  <c r="Q2297" i="5"/>
  <c r="H2297" i="5"/>
  <c r="M2297" i="5"/>
  <c r="B1602" i="4"/>
  <c r="C1601" i="4"/>
  <c r="C1809" i="5" l="1"/>
  <c r="B1810" i="5"/>
  <c r="B2299" i="5"/>
  <c r="Q2298" i="5"/>
  <c r="N2298" i="5"/>
  <c r="I2298" i="5"/>
  <c r="P2298" i="5"/>
  <c r="L2298" i="5"/>
  <c r="O2298" i="5"/>
  <c r="J2298" i="5"/>
  <c r="H2298" i="5"/>
  <c r="E2298" i="5"/>
  <c r="M2298" i="5"/>
  <c r="G2298" i="5"/>
  <c r="K2298" i="5"/>
  <c r="F2298" i="5"/>
  <c r="B1603" i="4"/>
  <c r="C1602" i="4"/>
  <c r="B1811" i="5" l="1"/>
  <c r="C1810" i="5"/>
  <c r="B2300" i="5"/>
  <c r="I2299" i="5"/>
  <c r="O2299" i="5"/>
  <c r="E2299" i="5"/>
  <c r="F2299" i="5"/>
  <c r="P2299" i="5"/>
  <c r="H2299" i="5"/>
  <c r="J2299" i="5"/>
  <c r="Q2299" i="5"/>
  <c r="G2299" i="5"/>
  <c r="M2299" i="5"/>
  <c r="K2299" i="5"/>
  <c r="L2299" i="5"/>
  <c r="N2299" i="5"/>
  <c r="B1604" i="4"/>
  <c r="C1603" i="4"/>
  <c r="C1811" i="5" l="1"/>
  <c r="B1812" i="5"/>
  <c r="B2301" i="5"/>
  <c r="B1605" i="4"/>
  <c r="C1604" i="4"/>
  <c r="B1813" i="5" l="1"/>
  <c r="C1812" i="5"/>
  <c r="B2302" i="5"/>
  <c r="B1606" i="4"/>
  <c r="C1605" i="4"/>
  <c r="B1814" i="5" l="1"/>
  <c r="C1813" i="5"/>
  <c r="B2303" i="5"/>
  <c r="B1607" i="4"/>
  <c r="C1606" i="4"/>
  <c r="B1815" i="5" l="1"/>
  <c r="C1814" i="5"/>
  <c r="B2304" i="5"/>
  <c r="B1608" i="4"/>
  <c r="C1607" i="4"/>
  <c r="B1816" i="5" l="1"/>
  <c r="C1815" i="5"/>
  <c r="B2305" i="5"/>
  <c r="O2304" i="5"/>
  <c r="H2304" i="5"/>
  <c r="L2304" i="5"/>
  <c r="K2304" i="5"/>
  <c r="E2304" i="5"/>
  <c r="I2304" i="5"/>
  <c r="P2304" i="5"/>
  <c r="Q2304" i="5"/>
  <c r="J2304" i="5"/>
  <c r="G2304" i="5"/>
  <c r="N2304" i="5"/>
  <c r="M2304" i="5"/>
  <c r="F2304" i="5"/>
  <c r="B1609" i="4"/>
  <c r="C1608" i="4"/>
  <c r="C1816" i="5" l="1"/>
  <c r="B1817" i="5"/>
  <c r="B2306" i="5"/>
  <c r="B1610" i="4"/>
  <c r="C1609" i="4"/>
  <c r="C1817" i="5" l="1"/>
  <c r="B1818" i="5"/>
  <c r="B2307" i="5"/>
  <c r="Q2306" i="5"/>
  <c r="P2306" i="5"/>
  <c r="E2306" i="5"/>
  <c r="L2306" i="5"/>
  <c r="M2306" i="5"/>
  <c r="N2306" i="5"/>
  <c r="J2306" i="5"/>
  <c r="G2306" i="5"/>
  <c r="K2306" i="5"/>
  <c r="F2306" i="5"/>
  <c r="H2306" i="5"/>
  <c r="I2306" i="5"/>
  <c r="O2306" i="5"/>
  <c r="B1611" i="4"/>
  <c r="C1610" i="4"/>
  <c r="B1819" i="5" l="1"/>
  <c r="C1818" i="5"/>
  <c r="B2308" i="5"/>
  <c r="I2307" i="5"/>
  <c r="G2307" i="5"/>
  <c r="H2307" i="5"/>
  <c r="E2307" i="5"/>
  <c r="N2307" i="5"/>
  <c r="P2307" i="5"/>
  <c r="L2307" i="5"/>
  <c r="Q2307" i="5"/>
  <c r="K2307" i="5"/>
  <c r="O2307" i="5"/>
  <c r="F2307" i="5"/>
  <c r="M2307" i="5"/>
  <c r="J2307" i="5"/>
  <c r="B1612" i="4"/>
  <c r="C1611" i="4"/>
  <c r="B1820" i="5" l="1"/>
  <c r="C1819" i="5"/>
  <c r="B2309" i="5"/>
  <c r="M2308" i="5"/>
  <c r="I2308" i="5"/>
  <c r="J2308" i="5"/>
  <c r="N2308" i="5"/>
  <c r="K2308" i="5"/>
  <c r="Q2308" i="5"/>
  <c r="O2308" i="5"/>
  <c r="G2308" i="5"/>
  <c r="E2308" i="5"/>
  <c r="F2308" i="5"/>
  <c r="H2308" i="5"/>
  <c r="L2308" i="5"/>
  <c r="P2308" i="5"/>
  <c r="B1613" i="4"/>
  <c r="C1612" i="4"/>
  <c r="B1821" i="5" l="1"/>
  <c r="C1820" i="5"/>
  <c r="B2310" i="5"/>
  <c r="B1614" i="4"/>
  <c r="C1613" i="4"/>
  <c r="C1821" i="5" l="1"/>
  <c r="B1822" i="5"/>
  <c r="B2311" i="5"/>
  <c r="B1615" i="4"/>
  <c r="C1614" i="4"/>
  <c r="B1823" i="5" l="1"/>
  <c r="C1822" i="5"/>
  <c r="B2312" i="5"/>
  <c r="B1616" i="4"/>
  <c r="C1615" i="4"/>
  <c r="C1823" i="5" l="1"/>
  <c r="B1824" i="5"/>
  <c r="B2313" i="5"/>
  <c r="B1617" i="4"/>
  <c r="C1616" i="4"/>
  <c r="C1824" i="5" l="1"/>
  <c r="B1825" i="5"/>
  <c r="B2314" i="5"/>
  <c r="M2313" i="5"/>
  <c r="H2313" i="5"/>
  <c r="I2313" i="5"/>
  <c r="G2313" i="5"/>
  <c r="O2313" i="5"/>
  <c r="F2313" i="5"/>
  <c r="P2313" i="5"/>
  <c r="N2313" i="5"/>
  <c r="J2313" i="5"/>
  <c r="L2313" i="5"/>
  <c r="Q2313" i="5"/>
  <c r="K2313" i="5"/>
  <c r="E2313" i="5"/>
  <c r="B1618" i="4"/>
  <c r="C1617" i="4"/>
  <c r="C1825" i="5" l="1"/>
  <c r="B1826" i="5"/>
  <c r="B2315" i="5"/>
  <c r="B1619" i="4"/>
  <c r="C1618" i="4"/>
  <c r="C1826" i="5" l="1"/>
  <c r="B1827" i="5"/>
  <c r="B2316" i="5"/>
  <c r="P2315" i="5"/>
  <c r="J2315" i="5"/>
  <c r="O2315" i="5"/>
  <c r="Q2315" i="5"/>
  <c r="F2315" i="5"/>
  <c r="H2315" i="5"/>
  <c r="M2315" i="5"/>
  <c r="G2315" i="5"/>
  <c r="L2315" i="5"/>
  <c r="E2315" i="5"/>
  <c r="I2315" i="5"/>
  <c r="N2315" i="5"/>
  <c r="K2315" i="5"/>
  <c r="B1620" i="4"/>
  <c r="C1619" i="4"/>
  <c r="C1827" i="5" l="1"/>
  <c r="B1828" i="5"/>
  <c r="B2317" i="5"/>
  <c r="L2316" i="5"/>
  <c r="O2316" i="5"/>
  <c r="G2316" i="5"/>
  <c r="Q2316" i="5"/>
  <c r="F2316" i="5"/>
  <c r="H2316" i="5"/>
  <c r="J2316" i="5"/>
  <c r="I2316" i="5"/>
  <c r="E2316" i="5"/>
  <c r="K2316" i="5"/>
  <c r="P2316" i="5"/>
  <c r="N2316" i="5"/>
  <c r="M2316" i="5"/>
  <c r="B1621" i="4"/>
  <c r="C1620" i="4"/>
  <c r="C1828" i="5" l="1"/>
  <c r="B1829" i="5"/>
  <c r="B2318" i="5"/>
  <c r="N2317" i="5"/>
  <c r="H2317" i="5"/>
  <c r="O2317" i="5"/>
  <c r="E2317" i="5"/>
  <c r="K2317" i="5"/>
  <c r="I2317" i="5"/>
  <c r="J2317" i="5"/>
  <c r="G2317" i="5"/>
  <c r="M2317" i="5"/>
  <c r="P2317" i="5"/>
  <c r="L2317" i="5"/>
  <c r="F2317" i="5"/>
  <c r="Q2317" i="5"/>
  <c r="B1622" i="4"/>
  <c r="C1621" i="4"/>
  <c r="C1829" i="5" l="1"/>
  <c r="B1830" i="5"/>
  <c r="B2319" i="5"/>
  <c r="B1623" i="4"/>
  <c r="C1622" i="4"/>
  <c r="B1831" i="5" l="1"/>
  <c r="C1830" i="5"/>
  <c r="B2320" i="5"/>
  <c r="B1624" i="4"/>
  <c r="C1623" i="4"/>
  <c r="C1831" i="5" l="1"/>
  <c r="B1832" i="5"/>
  <c r="B2321" i="5"/>
  <c r="B1625" i="4"/>
  <c r="C1624" i="4"/>
  <c r="B1833" i="5" l="1"/>
  <c r="C1832" i="5"/>
  <c r="B2322" i="5"/>
  <c r="B1626" i="4"/>
  <c r="C1625" i="4"/>
  <c r="B1834" i="5" l="1"/>
  <c r="C1833" i="5"/>
  <c r="B2323" i="5"/>
  <c r="P2322" i="5"/>
  <c r="Q2322" i="5"/>
  <c r="F2322" i="5"/>
  <c r="G2322" i="5"/>
  <c r="L2322" i="5"/>
  <c r="J2322" i="5"/>
  <c r="O2322" i="5"/>
  <c r="K2322" i="5"/>
  <c r="E2322" i="5"/>
  <c r="I2322" i="5"/>
  <c r="H2322" i="5"/>
  <c r="N2322" i="5"/>
  <c r="M2322" i="5"/>
  <c r="B1627" i="4"/>
  <c r="C1626" i="4"/>
  <c r="B1835" i="5" l="1"/>
  <c r="C1834" i="5"/>
  <c r="B2324" i="5"/>
  <c r="B1628" i="4"/>
  <c r="C1627" i="4"/>
  <c r="B1836" i="5" l="1"/>
  <c r="C1835" i="5"/>
  <c r="B2325" i="5"/>
  <c r="J2324" i="5"/>
  <c r="Q2324" i="5"/>
  <c r="O2324" i="5"/>
  <c r="M2324" i="5"/>
  <c r="H2324" i="5"/>
  <c r="G2324" i="5"/>
  <c r="E2324" i="5"/>
  <c r="P2324" i="5"/>
  <c r="F2324" i="5"/>
  <c r="L2324" i="5"/>
  <c r="I2324" i="5"/>
  <c r="N2324" i="5"/>
  <c r="K2324" i="5"/>
  <c r="B1629" i="4"/>
  <c r="C1628" i="4"/>
  <c r="B1837" i="5" l="1"/>
  <c r="C1836" i="5"/>
  <c r="B2326" i="5"/>
  <c r="I2325" i="5"/>
  <c r="N2325" i="5"/>
  <c r="G2325" i="5"/>
  <c r="F2325" i="5"/>
  <c r="L2325" i="5"/>
  <c r="H2325" i="5"/>
  <c r="E2325" i="5"/>
  <c r="K2325" i="5"/>
  <c r="Q2325" i="5"/>
  <c r="J2325" i="5"/>
  <c r="P2325" i="5"/>
  <c r="O2325" i="5"/>
  <c r="M2325" i="5"/>
  <c r="B1630" i="4"/>
  <c r="C1629" i="4"/>
  <c r="C1837" i="5" l="1"/>
  <c r="B1838" i="5"/>
  <c r="B2327" i="5"/>
  <c r="N2326" i="5"/>
  <c r="H2326" i="5"/>
  <c r="L2326" i="5"/>
  <c r="I2326" i="5"/>
  <c r="O2326" i="5"/>
  <c r="E2326" i="5"/>
  <c r="M2326" i="5"/>
  <c r="P2326" i="5"/>
  <c r="J2326" i="5"/>
  <c r="F2326" i="5"/>
  <c r="K2326" i="5"/>
  <c r="Q2326" i="5"/>
  <c r="G2326" i="5"/>
  <c r="B1631" i="4"/>
  <c r="C1630" i="4"/>
  <c r="B1839" i="5" l="1"/>
  <c r="C1838" i="5"/>
  <c r="B2328" i="5"/>
  <c r="B1632" i="4"/>
  <c r="C1631" i="4"/>
  <c r="B1840" i="5" l="1"/>
  <c r="C1839" i="5"/>
  <c r="B2329" i="5"/>
  <c r="B1633" i="4"/>
  <c r="C1632" i="4"/>
  <c r="B1841" i="5" l="1"/>
  <c r="C1840" i="5"/>
  <c r="B2330" i="5"/>
  <c r="B1634" i="4"/>
  <c r="C1633" i="4"/>
  <c r="C1841" i="5" l="1"/>
  <c r="B1842" i="5"/>
  <c r="B2331" i="5"/>
  <c r="B1635" i="4"/>
  <c r="C1634" i="4"/>
  <c r="C1842" i="5" l="1"/>
  <c r="B1843" i="5"/>
  <c r="B2332" i="5"/>
  <c r="N2331" i="5"/>
  <c r="Q2331" i="5"/>
  <c r="J2331" i="5"/>
  <c r="M2331" i="5"/>
  <c r="P2331" i="5"/>
  <c r="F2331" i="5"/>
  <c r="G2331" i="5"/>
  <c r="O2331" i="5"/>
  <c r="L2331" i="5"/>
  <c r="K2331" i="5"/>
  <c r="E2331" i="5"/>
  <c r="I2331" i="5"/>
  <c r="H2331" i="5"/>
  <c r="B1636" i="4"/>
  <c r="C1635" i="4"/>
  <c r="C1843" i="5" l="1"/>
  <c r="B1844" i="5"/>
  <c r="B2333" i="5"/>
  <c r="B1637" i="4"/>
  <c r="C1636" i="4"/>
  <c r="B1845" i="5" l="1"/>
  <c r="C1844" i="5"/>
  <c r="B2334" i="5"/>
  <c r="F2333" i="5"/>
  <c r="L2333" i="5"/>
  <c r="H2333" i="5"/>
  <c r="E2333" i="5"/>
  <c r="J2333" i="5"/>
  <c r="M2333" i="5"/>
  <c r="G2333" i="5"/>
  <c r="Q2333" i="5"/>
  <c r="P2333" i="5"/>
  <c r="N2333" i="5"/>
  <c r="K2333" i="5"/>
  <c r="I2333" i="5"/>
  <c r="O2333" i="5"/>
  <c r="B1638" i="4"/>
  <c r="C1637" i="4"/>
  <c r="B1846" i="5" l="1"/>
  <c r="C1845" i="5"/>
  <c r="B2335" i="5"/>
  <c r="M2334" i="5"/>
  <c r="N2334" i="5"/>
  <c r="J2334" i="5"/>
  <c r="I2334" i="5"/>
  <c r="E2334" i="5"/>
  <c r="Q2334" i="5"/>
  <c r="F2334" i="5"/>
  <c r="H2334" i="5"/>
  <c r="K2334" i="5"/>
  <c r="G2334" i="5"/>
  <c r="L2334" i="5"/>
  <c r="P2334" i="5"/>
  <c r="O2334" i="5"/>
  <c r="B1639" i="4"/>
  <c r="C1638" i="4"/>
  <c r="B1847" i="5" l="1"/>
  <c r="C1846" i="5"/>
  <c r="B2336" i="5"/>
  <c r="N2335" i="5"/>
  <c r="E2335" i="5"/>
  <c r="P2335" i="5"/>
  <c r="J2335" i="5"/>
  <c r="F2335" i="5"/>
  <c r="L2335" i="5"/>
  <c r="I2335" i="5"/>
  <c r="K2335" i="5"/>
  <c r="H2335" i="5"/>
  <c r="M2335" i="5"/>
  <c r="O2335" i="5"/>
  <c r="Q2335" i="5"/>
  <c r="G2335" i="5"/>
  <c r="B1640" i="4"/>
  <c r="C1639" i="4"/>
  <c r="C1847" i="5" l="1"/>
  <c r="B1848" i="5"/>
  <c r="B2337" i="5"/>
  <c r="B1641" i="4"/>
  <c r="C1640" i="4"/>
  <c r="C1848" i="5" l="1"/>
  <c r="B1849" i="5"/>
  <c r="B2338" i="5"/>
  <c r="B1642" i="4"/>
  <c r="C1641" i="4"/>
  <c r="C1849" i="5" l="1"/>
  <c r="B1850" i="5"/>
  <c r="B2339" i="5"/>
  <c r="B1643" i="4"/>
  <c r="C1642" i="4"/>
  <c r="B1851" i="5" l="1"/>
  <c r="C1850" i="5"/>
  <c r="B2340" i="5"/>
  <c r="B1644" i="4"/>
  <c r="C1643" i="4"/>
  <c r="B1852" i="5" l="1"/>
  <c r="C1851" i="5"/>
  <c r="B2341" i="5"/>
  <c r="P2340" i="5"/>
  <c r="G2340" i="5"/>
  <c r="L2340" i="5"/>
  <c r="I2340" i="5"/>
  <c r="H2340" i="5"/>
  <c r="F2340" i="5"/>
  <c r="Q2340" i="5"/>
  <c r="N2340" i="5"/>
  <c r="M2340" i="5"/>
  <c r="O2340" i="5"/>
  <c r="E2340" i="5"/>
  <c r="J2340" i="5"/>
  <c r="K2340" i="5"/>
  <c r="B1645" i="4"/>
  <c r="C1644" i="4"/>
  <c r="B1853" i="5" l="1"/>
  <c r="C1852" i="5"/>
  <c r="B2342" i="5"/>
  <c r="B1646" i="4"/>
  <c r="C1645" i="4"/>
  <c r="C1853" i="5" l="1"/>
  <c r="B1854" i="5"/>
  <c r="B2343" i="5"/>
  <c r="L2342" i="5"/>
  <c r="O2342" i="5"/>
  <c r="E2342" i="5"/>
  <c r="Q2342" i="5"/>
  <c r="N2342" i="5"/>
  <c r="I2342" i="5"/>
  <c r="G2342" i="5"/>
  <c r="P2342" i="5"/>
  <c r="F2342" i="5"/>
  <c r="M2342" i="5"/>
  <c r="J2342" i="5"/>
  <c r="K2342" i="5"/>
  <c r="H2342" i="5"/>
  <c r="B1647" i="4"/>
  <c r="C1646" i="4"/>
  <c r="C1854" i="5" l="1"/>
  <c r="B1855" i="5"/>
  <c r="B2344" i="5"/>
  <c r="M2343" i="5"/>
  <c r="P2343" i="5"/>
  <c r="J2343" i="5"/>
  <c r="L2343" i="5"/>
  <c r="N2343" i="5"/>
  <c r="F2343" i="5"/>
  <c r="I2343" i="5"/>
  <c r="K2343" i="5"/>
  <c r="H2343" i="5"/>
  <c r="G2343" i="5"/>
  <c r="E2343" i="5"/>
  <c r="Q2343" i="5"/>
  <c r="O2343" i="5"/>
  <c r="B1648" i="4"/>
  <c r="C1647" i="4"/>
  <c r="C1855" i="5" l="1"/>
  <c r="B1856" i="5"/>
  <c r="B2345" i="5"/>
  <c r="E2344" i="5"/>
  <c r="P2344" i="5"/>
  <c r="I2344" i="5"/>
  <c r="F2344" i="5"/>
  <c r="M2344" i="5"/>
  <c r="J2344" i="5"/>
  <c r="Q2344" i="5"/>
  <c r="G2344" i="5"/>
  <c r="L2344" i="5"/>
  <c r="O2344" i="5"/>
  <c r="K2344" i="5"/>
  <c r="H2344" i="5"/>
  <c r="N2344" i="5"/>
  <c r="B1649" i="4"/>
  <c r="C1648" i="4"/>
  <c r="C1856" i="5" l="1"/>
  <c r="B1857" i="5"/>
  <c r="B2346" i="5"/>
  <c r="B1650" i="4"/>
  <c r="C1649" i="4"/>
  <c r="C1857" i="5" l="1"/>
  <c r="B1858" i="5"/>
  <c r="B2347" i="5"/>
  <c r="B1651" i="4"/>
  <c r="C1650" i="4"/>
  <c r="C1858" i="5" l="1"/>
  <c r="B1859" i="5"/>
  <c r="B2348" i="5"/>
  <c r="B1652" i="4"/>
  <c r="C1651" i="4"/>
  <c r="C1859" i="5" l="1"/>
  <c r="B1860" i="5"/>
  <c r="B2349" i="5"/>
  <c r="B1653" i="4"/>
  <c r="C1652" i="4"/>
  <c r="B1861" i="5" l="1"/>
  <c r="C1860" i="5"/>
  <c r="B2350" i="5"/>
  <c r="N2349" i="5"/>
  <c r="P2349" i="5"/>
  <c r="H2349" i="5"/>
  <c r="J2349" i="5"/>
  <c r="Q2349" i="5"/>
  <c r="F2349" i="5"/>
  <c r="I2349" i="5"/>
  <c r="E2349" i="5"/>
  <c r="M2349" i="5"/>
  <c r="K2349" i="5"/>
  <c r="O2349" i="5"/>
  <c r="G2349" i="5"/>
  <c r="L2349" i="5"/>
  <c r="B1654" i="4"/>
  <c r="C1653" i="4"/>
  <c r="B1862" i="5" l="1"/>
  <c r="C1861" i="5"/>
  <c r="B2351" i="5"/>
  <c r="B1655" i="4"/>
  <c r="C1654" i="4"/>
  <c r="B1863" i="5" l="1"/>
  <c r="C1862" i="5"/>
  <c r="B2352" i="5"/>
  <c r="E2351" i="5"/>
  <c r="I2351" i="5"/>
  <c r="L2351" i="5"/>
  <c r="H2351" i="5"/>
  <c r="P2351" i="5"/>
  <c r="F2351" i="5"/>
  <c r="G2351" i="5"/>
  <c r="O2351" i="5"/>
  <c r="N2351" i="5"/>
  <c r="K2351" i="5"/>
  <c r="J2351" i="5"/>
  <c r="M2351" i="5"/>
  <c r="Q2351" i="5"/>
  <c r="B1656" i="4"/>
  <c r="C1655" i="4"/>
  <c r="C1863" i="5" l="1"/>
  <c r="B1864" i="5"/>
  <c r="B2353" i="5"/>
  <c r="G2352" i="5"/>
  <c r="F2352" i="5"/>
  <c r="P2352" i="5"/>
  <c r="J2352" i="5"/>
  <c r="M2352" i="5"/>
  <c r="O2352" i="5"/>
  <c r="K2352" i="5"/>
  <c r="N2352" i="5"/>
  <c r="L2352" i="5"/>
  <c r="E2352" i="5"/>
  <c r="I2352" i="5"/>
  <c r="Q2352" i="5"/>
  <c r="H2352" i="5"/>
  <c r="B1657" i="4"/>
  <c r="C1656" i="4"/>
  <c r="O41" i="3" l="1"/>
  <c r="AG41" i="3" s="1"/>
  <c r="S54" i="2" s="1"/>
  <c r="U42" i="3"/>
  <c r="R42" i="3"/>
  <c r="S42" i="3"/>
  <c r="I42" i="3"/>
  <c r="Q42" i="3"/>
  <c r="V42" i="3"/>
  <c r="M42" i="3"/>
  <c r="AF42" i="3" s="1"/>
  <c r="Q55" i="2" s="1"/>
  <c r="P42" i="3"/>
  <c r="AG42" i="3" s="1"/>
  <c r="S55" i="2" s="1"/>
  <c r="K42" i="3"/>
  <c r="L42" i="3"/>
  <c r="T42" i="3"/>
  <c r="C1864" i="5"/>
  <c r="B1865" i="5"/>
  <c r="B2354" i="5"/>
  <c r="J2353" i="5"/>
  <c r="Q2353" i="5"/>
  <c r="M2353" i="5"/>
  <c r="G2353" i="5"/>
  <c r="F2353" i="5"/>
  <c r="K2353" i="5"/>
  <c r="N2353" i="5"/>
  <c r="O2353" i="5"/>
  <c r="H2353" i="5"/>
  <c r="E2353" i="5"/>
  <c r="I2353" i="5"/>
  <c r="L2353" i="5"/>
  <c r="P2353" i="5"/>
  <c r="B1658" i="4"/>
  <c r="C1657" i="4"/>
  <c r="AB42" i="3" l="1"/>
  <c r="G55" i="2" s="1"/>
  <c r="AH42" i="3"/>
  <c r="U55" i="2" s="1"/>
  <c r="AI42" i="3"/>
  <c r="Y55" i="2" s="1"/>
  <c r="AJ42" i="3"/>
  <c r="AA55" i="2" s="1"/>
  <c r="B1866" i="5"/>
  <c r="C1865" i="5"/>
  <c r="B2355" i="5"/>
  <c r="B1659" i="4"/>
  <c r="C1658" i="4"/>
  <c r="B1867" i="5" l="1"/>
  <c r="C1866" i="5"/>
  <c r="B2356" i="5"/>
  <c r="B1660" i="4"/>
  <c r="C1659" i="4"/>
  <c r="C1867" i="5" l="1"/>
  <c r="B1868" i="5"/>
  <c r="B2357" i="5"/>
  <c r="B1661" i="4"/>
  <c r="C1660" i="4"/>
  <c r="B1869" i="5" l="1"/>
  <c r="C1868" i="5"/>
  <c r="B2358" i="5"/>
  <c r="B1662" i="4"/>
  <c r="C1661" i="4"/>
  <c r="C1869" i="5" l="1"/>
  <c r="B1870" i="5"/>
  <c r="B2359" i="5"/>
  <c r="H2358" i="5"/>
  <c r="Q2358" i="5"/>
  <c r="M2358" i="5"/>
  <c r="P2358" i="5"/>
  <c r="L2358" i="5"/>
  <c r="O2358" i="5"/>
  <c r="N2358" i="5"/>
  <c r="I2358" i="5"/>
  <c r="E2358" i="5"/>
  <c r="J2358" i="5"/>
  <c r="G2358" i="5"/>
  <c r="K2358" i="5"/>
  <c r="F2358" i="5"/>
  <c r="B1663" i="4"/>
  <c r="C1662" i="4"/>
  <c r="C1870" i="5" l="1"/>
  <c r="B1871" i="5"/>
  <c r="B2360" i="5"/>
  <c r="B1664" i="4"/>
  <c r="C1663" i="4"/>
  <c r="C1871" i="5" l="1"/>
  <c r="B1872" i="5"/>
  <c r="B2361" i="5"/>
  <c r="P2360" i="5"/>
  <c r="G2360" i="5"/>
  <c r="L2360" i="5"/>
  <c r="H2360" i="5"/>
  <c r="N2360" i="5"/>
  <c r="E2360" i="5"/>
  <c r="I2360" i="5"/>
  <c r="K2360" i="5"/>
  <c r="J2360" i="5"/>
  <c r="Q2360" i="5"/>
  <c r="O2360" i="5"/>
  <c r="M2360" i="5"/>
  <c r="F2360" i="5"/>
  <c r="B1665" i="4"/>
  <c r="C1664" i="4"/>
  <c r="C1872" i="5" l="1"/>
  <c r="B1873" i="5"/>
  <c r="B2362" i="5"/>
  <c r="P2361" i="5"/>
  <c r="I2361" i="5"/>
  <c r="F2361" i="5"/>
  <c r="Q2361" i="5"/>
  <c r="O2361" i="5"/>
  <c r="H2361" i="5"/>
  <c r="G2361" i="5"/>
  <c r="E2361" i="5"/>
  <c r="M2361" i="5"/>
  <c r="J2361" i="5"/>
  <c r="L2361" i="5"/>
  <c r="N2361" i="5"/>
  <c r="K2361" i="5"/>
  <c r="B1666" i="4"/>
  <c r="C1665" i="4"/>
  <c r="B1874" i="5" l="1"/>
  <c r="C1873" i="5"/>
  <c r="B2363" i="5"/>
  <c r="O2362" i="5"/>
  <c r="E2362" i="5"/>
  <c r="L2362" i="5"/>
  <c r="H2362" i="5"/>
  <c r="I2362" i="5"/>
  <c r="M2362" i="5"/>
  <c r="N2362" i="5"/>
  <c r="G2362" i="5"/>
  <c r="P2362" i="5"/>
  <c r="K2362" i="5"/>
  <c r="F2362" i="5"/>
  <c r="J2362" i="5"/>
  <c r="Q2362" i="5"/>
  <c r="B1667" i="4"/>
  <c r="C1666" i="4"/>
  <c r="B1875" i="5" l="1"/>
  <c r="C1874" i="5"/>
  <c r="B2364" i="5"/>
  <c r="B1668" i="4"/>
  <c r="C1667" i="4"/>
  <c r="C1875" i="5" l="1"/>
  <c r="B1876" i="5"/>
  <c r="B2365" i="5"/>
  <c r="C1668" i="4"/>
  <c r="B1669" i="4"/>
  <c r="B1877" i="5" l="1"/>
  <c r="C1876" i="5"/>
  <c r="B2366" i="5"/>
  <c r="B1670" i="4"/>
  <c r="C1669" i="4"/>
  <c r="B1878" i="5" l="1"/>
  <c r="C1877" i="5"/>
  <c r="B2367" i="5"/>
  <c r="B1671" i="4"/>
  <c r="C1670" i="4"/>
  <c r="C1878" i="5" l="1"/>
  <c r="B1879" i="5"/>
  <c r="B2368" i="5"/>
  <c r="I2367" i="5"/>
  <c r="H2367" i="5"/>
  <c r="M2367" i="5"/>
  <c r="G2367" i="5"/>
  <c r="Q2367" i="5"/>
  <c r="O2367" i="5"/>
  <c r="E2367" i="5"/>
  <c r="P2367" i="5"/>
  <c r="K2367" i="5"/>
  <c r="L2367" i="5"/>
  <c r="F2367" i="5"/>
  <c r="N2367" i="5"/>
  <c r="J2367" i="5"/>
  <c r="B1672" i="4"/>
  <c r="C1671" i="4"/>
  <c r="C1879" i="5" l="1"/>
  <c r="B1880" i="5"/>
  <c r="B2369" i="5"/>
  <c r="B1673" i="4"/>
  <c r="C1672" i="4"/>
  <c r="B1881" i="5" l="1"/>
  <c r="C1880" i="5"/>
  <c r="B2370" i="5"/>
  <c r="G2369" i="5"/>
  <c r="H2369" i="5"/>
  <c r="K2369" i="5"/>
  <c r="O2369" i="5"/>
  <c r="I2369" i="5"/>
  <c r="N2369" i="5"/>
  <c r="Q2369" i="5"/>
  <c r="L2369" i="5"/>
  <c r="F2369" i="5"/>
  <c r="J2369" i="5"/>
  <c r="E2369" i="5"/>
  <c r="M2369" i="5"/>
  <c r="P2369" i="5"/>
  <c r="B1674" i="4"/>
  <c r="C1673" i="4"/>
  <c r="C1881" i="5" l="1"/>
  <c r="B1882" i="5"/>
  <c r="B2371" i="5"/>
  <c r="M2370" i="5"/>
  <c r="F2370" i="5"/>
  <c r="E2370" i="5"/>
  <c r="G2370" i="5"/>
  <c r="K2370" i="5"/>
  <c r="J2370" i="5"/>
  <c r="L2370" i="5"/>
  <c r="Q2370" i="5"/>
  <c r="N2370" i="5"/>
  <c r="I2370" i="5"/>
  <c r="P2370" i="5"/>
  <c r="O2370" i="5"/>
  <c r="H2370" i="5"/>
  <c r="B1675" i="4"/>
  <c r="C1674" i="4"/>
  <c r="C1882" i="5" l="1"/>
  <c r="B1883" i="5"/>
  <c r="B2372" i="5"/>
  <c r="L2371" i="5"/>
  <c r="P2371" i="5"/>
  <c r="M2371" i="5"/>
  <c r="F2371" i="5"/>
  <c r="J2371" i="5"/>
  <c r="I2371" i="5"/>
  <c r="Q2371" i="5"/>
  <c r="O2371" i="5"/>
  <c r="N2371" i="5"/>
  <c r="K2371" i="5"/>
  <c r="H2371" i="5"/>
  <c r="G2371" i="5"/>
  <c r="E2371" i="5"/>
  <c r="B1676" i="4"/>
  <c r="C1675" i="4"/>
  <c r="B1884" i="5" l="1"/>
  <c r="C1883" i="5"/>
  <c r="B2373" i="5"/>
  <c r="B1677" i="4"/>
  <c r="C1676" i="4"/>
  <c r="B1885" i="5" l="1"/>
  <c r="C1884" i="5"/>
  <c r="B2374" i="5"/>
  <c r="B1678" i="4"/>
  <c r="C1677" i="4"/>
  <c r="B1886" i="5" l="1"/>
  <c r="C1885" i="5"/>
  <c r="B2375" i="5"/>
  <c r="B1679" i="4"/>
  <c r="C1678" i="4"/>
  <c r="C1886" i="5" l="1"/>
  <c r="B1887" i="5"/>
  <c r="B2376" i="5"/>
  <c r="B1680" i="4"/>
  <c r="C1679" i="4"/>
  <c r="C1887" i="5" l="1"/>
  <c r="B1888" i="5"/>
  <c r="B2377" i="5"/>
  <c r="L2376" i="5"/>
  <c r="I2376" i="5"/>
  <c r="F2376" i="5"/>
  <c r="E2376" i="5"/>
  <c r="N2376" i="5"/>
  <c r="K2376" i="5"/>
  <c r="P2376" i="5"/>
  <c r="Q2376" i="5"/>
  <c r="H2376" i="5"/>
  <c r="G2376" i="5"/>
  <c r="M2376" i="5"/>
  <c r="O2376" i="5"/>
  <c r="J2376" i="5"/>
  <c r="B1681" i="4"/>
  <c r="C1680" i="4"/>
  <c r="C1888" i="5" l="1"/>
  <c r="B1889" i="5"/>
  <c r="B2378" i="5"/>
  <c r="B1682" i="4"/>
  <c r="C1681" i="4"/>
  <c r="C1889" i="5" l="1"/>
  <c r="B1890" i="5"/>
  <c r="B2379" i="5"/>
  <c r="G2378" i="5"/>
  <c r="E2378" i="5"/>
  <c r="J2378" i="5"/>
  <c r="N2378" i="5"/>
  <c r="F2378" i="5"/>
  <c r="H2378" i="5"/>
  <c r="L2378" i="5"/>
  <c r="I2378" i="5"/>
  <c r="P2378" i="5"/>
  <c r="Q2378" i="5"/>
  <c r="M2378" i="5"/>
  <c r="O2378" i="5"/>
  <c r="K2378" i="5"/>
  <c r="B1683" i="4"/>
  <c r="C1682" i="4"/>
  <c r="B1891" i="5" l="1"/>
  <c r="C1890" i="5"/>
  <c r="B2380" i="5"/>
  <c r="F2379" i="5"/>
  <c r="P2379" i="5"/>
  <c r="E2379" i="5"/>
  <c r="N2379" i="5"/>
  <c r="L2379" i="5"/>
  <c r="I2379" i="5"/>
  <c r="K2379" i="5"/>
  <c r="H2379" i="5"/>
  <c r="J2379" i="5"/>
  <c r="O2379" i="5"/>
  <c r="G2379" i="5"/>
  <c r="Q2379" i="5"/>
  <c r="M2379" i="5"/>
  <c r="B1684" i="4"/>
  <c r="C1683" i="4"/>
  <c r="B1892" i="5" l="1"/>
  <c r="C1891" i="5"/>
  <c r="B2381" i="5"/>
  <c r="Q2380" i="5"/>
  <c r="F2380" i="5"/>
  <c r="J2380" i="5"/>
  <c r="G2380" i="5"/>
  <c r="N2380" i="5"/>
  <c r="P2380" i="5"/>
  <c r="O2380" i="5"/>
  <c r="K2380" i="5"/>
  <c r="I2380" i="5"/>
  <c r="H2380" i="5"/>
  <c r="E2380" i="5"/>
  <c r="L2380" i="5"/>
  <c r="M2380" i="5"/>
  <c r="B1685" i="4"/>
  <c r="C1684" i="4"/>
  <c r="C1892" i="5" l="1"/>
  <c r="B1893" i="5"/>
  <c r="B2382" i="5"/>
  <c r="B1686" i="4"/>
  <c r="C1685" i="4"/>
  <c r="B1894" i="5" l="1"/>
  <c r="C1893" i="5"/>
  <c r="B2383" i="5"/>
  <c r="B1687" i="4"/>
  <c r="C1686" i="4"/>
  <c r="C1894" i="5" l="1"/>
  <c r="B1895" i="5"/>
  <c r="B2384" i="5"/>
  <c r="B1688" i="4"/>
  <c r="C1687" i="4"/>
  <c r="C1895" i="5" l="1"/>
  <c r="B1896" i="5"/>
  <c r="B2385" i="5"/>
  <c r="B1689" i="4"/>
  <c r="C1688" i="4"/>
  <c r="C1896" i="5" l="1"/>
  <c r="B1897" i="5"/>
  <c r="B2386" i="5"/>
  <c r="H2385" i="5"/>
  <c r="J2385" i="5"/>
  <c r="O2385" i="5"/>
  <c r="G2385" i="5"/>
  <c r="F2385" i="5"/>
  <c r="N2385" i="5"/>
  <c r="E2385" i="5"/>
  <c r="L2385" i="5"/>
  <c r="M2385" i="5"/>
  <c r="I2385" i="5"/>
  <c r="Q2385" i="5"/>
  <c r="K2385" i="5"/>
  <c r="P2385" i="5"/>
  <c r="B1690" i="4"/>
  <c r="C1689" i="4"/>
  <c r="B1898" i="5" l="1"/>
  <c r="C1897" i="5"/>
  <c r="B2387" i="5"/>
  <c r="B1691" i="4"/>
  <c r="C1690" i="4"/>
  <c r="B1899" i="5" l="1"/>
  <c r="C1898" i="5"/>
  <c r="B2388" i="5"/>
  <c r="M2387" i="5"/>
  <c r="I2387" i="5"/>
  <c r="K2387" i="5"/>
  <c r="P2387" i="5"/>
  <c r="L2387" i="5"/>
  <c r="N2387" i="5"/>
  <c r="J2387" i="5"/>
  <c r="O2387" i="5"/>
  <c r="H2387" i="5"/>
  <c r="Q2387" i="5"/>
  <c r="G2387" i="5"/>
  <c r="E2387" i="5"/>
  <c r="F2387" i="5"/>
  <c r="B1692" i="4"/>
  <c r="C1691" i="4"/>
  <c r="B1900" i="5" l="1"/>
  <c r="C1899" i="5"/>
  <c r="B2389" i="5"/>
  <c r="O2388" i="5"/>
  <c r="K2388" i="5"/>
  <c r="J2388" i="5"/>
  <c r="Q2388" i="5"/>
  <c r="G2388" i="5"/>
  <c r="I2388" i="5"/>
  <c r="E2388" i="5"/>
  <c r="H2388" i="5"/>
  <c r="L2388" i="5"/>
  <c r="N2388" i="5"/>
  <c r="P2388" i="5"/>
  <c r="F2388" i="5"/>
  <c r="M2388" i="5"/>
  <c r="B1693" i="4"/>
  <c r="C1692" i="4"/>
  <c r="B1901" i="5" l="1"/>
  <c r="C1900" i="5"/>
  <c r="B2390" i="5"/>
  <c r="J2389" i="5"/>
  <c r="H2389" i="5"/>
  <c r="P2389" i="5"/>
  <c r="I2389" i="5"/>
  <c r="O2389" i="5"/>
  <c r="Q2389" i="5"/>
  <c r="M2389" i="5"/>
  <c r="K2389" i="5"/>
  <c r="G2389" i="5"/>
  <c r="F2389" i="5"/>
  <c r="E2389" i="5"/>
  <c r="L2389" i="5"/>
  <c r="N2389" i="5"/>
  <c r="B1694" i="4"/>
  <c r="C1693" i="4"/>
  <c r="B1902" i="5" l="1"/>
  <c r="C1901" i="5"/>
  <c r="B2391" i="5"/>
  <c r="B1695" i="4"/>
  <c r="C1694" i="4"/>
  <c r="B1903" i="5" l="1"/>
  <c r="C1902" i="5"/>
  <c r="B2392" i="5"/>
  <c r="B1696" i="4"/>
  <c r="C1695" i="4"/>
  <c r="C1903" i="5" l="1"/>
  <c r="B1904" i="5"/>
  <c r="B2393" i="5"/>
  <c r="B1697" i="4"/>
  <c r="C1696" i="4"/>
  <c r="B1905" i="5" l="1"/>
  <c r="C1904" i="5"/>
  <c r="B2394" i="5"/>
  <c r="B1698" i="4"/>
  <c r="C1697" i="4"/>
  <c r="C1905" i="5" l="1"/>
  <c r="B1906" i="5"/>
  <c r="B2395" i="5"/>
  <c r="P2394" i="5"/>
  <c r="H2394" i="5"/>
  <c r="N2394" i="5"/>
  <c r="F2394" i="5"/>
  <c r="Q2394" i="5"/>
  <c r="I2394" i="5"/>
  <c r="J2394" i="5"/>
  <c r="M2394" i="5"/>
  <c r="K2394" i="5"/>
  <c r="L2394" i="5"/>
  <c r="O2394" i="5"/>
  <c r="G2394" i="5"/>
  <c r="E2394" i="5"/>
  <c r="B1699" i="4"/>
  <c r="C1698" i="4"/>
  <c r="C1906" i="5" l="1"/>
  <c r="B1907" i="5"/>
  <c r="B2396" i="5"/>
  <c r="B1700" i="4"/>
  <c r="C1699" i="4"/>
  <c r="B1908" i="5" l="1"/>
  <c r="C1907" i="5"/>
  <c r="B2397" i="5"/>
  <c r="O2396" i="5"/>
  <c r="K2396" i="5"/>
  <c r="H2396" i="5"/>
  <c r="L2396" i="5"/>
  <c r="M2396" i="5"/>
  <c r="Q2396" i="5"/>
  <c r="P2396" i="5"/>
  <c r="E2396" i="5"/>
  <c r="N2396" i="5"/>
  <c r="J2396" i="5"/>
  <c r="G2396" i="5"/>
  <c r="I2396" i="5"/>
  <c r="F2396" i="5"/>
  <c r="B1701" i="4"/>
  <c r="C1700" i="4"/>
  <c r="B1909" i="5" l="1"/>
  <c r="C1908" i="5"/>
  <c r="B2398" i="5"/>
  <c r="P2397" i="5"/>
  <c r="K2397" i="5"/>
  <c r="I2397" i="5"/>
  <c r="F2397" i="5"/>
  <c r="E2397" i="5"/>
  <c r="H2397" i="5"/>
  <c r="M2397" i="5"/>
  <c r="L2397" i="5"/>
  <c r="J2397" i="5"/>
  <c r="G2397" i="5"/>
  <c r="Q2397" i="5"/>
  <c r="O2397" i="5"/>
  <c r="N2397" i="5"/>
  <c r="B1702" i="4"/>
  <c r="C1701" i="4"/>
  <c r="C1909" i="5" l="1"/>
  <c r="B1910" i="5"/>
  <c r="B2399" i="5"/>
  <c r="L2398" i="5"/>
  <c r="J2398" i="5"/>
  <c r="M2398" i="5"/>
  <c r="K2398" i="5"/>
  <c r="P2398" i="5"/>
  <c r="Q2398" i="5"/>
  <c r="G2398" i="5"/>
  <c r="N2398" i="5"/>
  <c r="F2398" i="5"/>
  <c r="H2398" i="5"/>
  <c r="O2398" i="5"/>
  <c r="I2398" i="5"/>
  <c r="E2398" i="5"/>
  <c r="B1703" i="4"/>
  <c r="C1702" i="4"/>
  <c r="C1910" i="5" l="1"/>
  <c r="B1911" i="5"/>
  <c r="B2400" i="5"/>
  <c r="B1704" i="4"/>
  <c r="C1703" i="4"/>
  <c r="C1911" i="5" l="1"/>
  <c r="B1912" i="5"/>
  <c r="B2401" i="5"/>
  <c r="B1705" i="4"/>
  <c r="C1704" i="4"/>
  <c r="B1913" i="5" l="1"/>
  <c r="C1912" i="5"/>
  <c r="B2402" i="5"/>
  <c r="B1706" i="4"/>
  <c r="C1705" i="4"/>
  <c r="B1914" i="5" l="1"/>
  <c r="C1913" i="5"/>
  <c r="B2403" i="5"/>
  <c r="B1707" i="4"/>
  <c r="C1706" i="4"/>
  <c r="B1915" i="5" l="1"/>
  <c r="C1914" i="5"/>
  <c r="B2404" i="5"/>
  <c r="P2403" i="5"/>
  <c r="H2403" i="5"/>
  <c r="I2403" i="5"/>
  <c r="G2403" i="5"/>
  <c r="F2403" i="5"/>
  <c r="K2403" i="5"/>
  <c r="J2403" i="5"/>
  <c r="O2403" i="5"/>
  <c r="Q2403" i="5"/>
  <c r="L2403" i="5"/>
  <c r="N2403" i="5"/>
  <c r="M2403" i="5"/>
  <c r="E2403" i="5"/>
  <c r="B1708" i="4"/>
  <c r="C1707" i="4"/>
  <c r="C1915" i="5" l="1"/>
  <c r="B1916" i="5"/>
  <c r="B2405" i="5"/>
  <c r="B1709" i="4"/>
  <c r="C1708" i="4"/>
  <c r="B1917" i="5" l="1"/>
  <c r="C1916" i="5"/>
  <c r="B2406" i="5"/>
  <c r="O2405" i="5"/>
  <c r="M2405" i="5"/>
  <c r="P2405" i="5"/>
  <c r="H2405" i="5"/>
  <c r="G2405" i="5"/>
  <c r="E2405" i="5"/>
  <c r="I2405" i="5"/>
  <c r="N2405" i="5"/>
  <c r="J2405" i="5"/>
  <c r="Q2405" i="5"/>
  <c r="F2405" i="5"/>
  <c r="L2405" i="5"/>
  <c r="K2405" i="5"/>
  <c r="B1710" i="4"/>
  <c r="C1709" i="4"/>
  <c r="C1917" i="5" l="1"/>
  <c r="B1918" i="5"/>
  <c r="B2407" i="5"/>
  <c r="H2406" i="5"/>
  <c r="N2406" i="5"/>
  <c r="J2406" i="5"/>
  <c r="G2406" i="5"/>
  <c r="Q2406" i="5"/>
  <c r="I2406" i="5"/>
  <c r="F2406" i="5"/>
  <c r="O2406" i="5"/>
  <c r="M2406" i="5"/>
  <c r="P2406" i="5"/>
  <c r="E2406" i="5"/>
  <c r="L2406" i="5"/>
  <c r="K2406" i="5"/>
  <c r="B1711" i="4"/>
  <c r="C1710" i="4"/>
  <c r="C1918" i="5" l="1"/>
  <c r="B1919" i="5"/>
  <c r="B2408" i="5"/>
  <c r="Q2407" i="5"/>
  <c r="F2407" i="5"/>
  <c r="O2407" i="5"/>
  <c r="N2407" i="5"/>
  <c r="M2407" i="5"/>
  <c r="G2407" i="5"/>
  <c r="E2407" i="5"/>
  <c r="K2407" i="5"/>
  <c r="H2407" i="5"/>
  <c r="L2407" i="5"/>
  <c r="J2407" i="5"/>
  <c r="P2407" i="5"/>
  <c r="I2407" i="5"/>
  <c r="B1712" i="4"/>
  <c r="C1711" i="4"/>
  <c r="B1920" i="5" l="1"/>
  <c r="C1919" i="5"/>
  <c r="B2409" i="5"/>
  <c r="B1713" i="4"/>
  <c r="C1712" i="4"/>
  <c r="C1920" i="5" l="1"/>
  <c r="B1921" i="5"/>
  <c r="B2410" i="5"/>
  <c r="B1714" i="4"/>
  <c r="C1713" i="4"/>
  <c r="B1922" i="5" l="1"/>
  <c r="C1921" i="5"/>
  <c r="B2411" i="5"/>
  <c r="B1715" i="4"/>
  <c r="C1714" i="4"/>
  <c r="C1922" i="5" l="1"/>
  <c r="B1923" i="5"/>
  <c r="B2412" i="5"/>
  <c r="B1716" i="4"/>
  <c r="C1715" i="4"/>
  <c r="C1923" i="5" l="1"/>
  <c r="B1924" i="5"/>
  <c r="B2413" i="5"/>
  <c r="G2412" i="5"/>
  <c r="O2412" i="5"/>
  <c r="L2412" i="5"/>
  <c r="N2412" i="5"/>
  <c r="P2412" i="5"/>
  <c r="E2412" i="5"/>
  <c r="Q2412" i="5"/>
  <c r="I2412" i="5"/>
  <c r="F2412" i="5"/>
  <c r="K2412" i="5"/>
  <c r="J2412" i="5"/>
  <c r="M2412" i="5"/>
  <c r="H2412" i="5"/>
  <c r="B1717" i="4"/>
  <c r="C1716" i="4"/>
  <c r="C1924" i="5" l="1"/>
  <c r="B1925" i="5"/>
  <c r="B2414" i="5"/>
  <c r="B1718" i="4"/>
  <c r="C1717" i="4"/>
  <c r="C1925" i="5" l="1"/>
  <c r="B1926" i="5"/>
  <c r="B2415" i="5"/>
  <c r="E2414" i="5"/>
  <c r="K2414" i="5"/>
  <c r="L2414" i="5"/>
  <c r="O2414" i="5"/>
  <c r="F2414" i="5"/>
  <c r="G2414" i="5"/>
  <c r="P2414" i="5"/>
  <c r="J2414" i="5"/>
  <c r="H2414" i="5"/>
  <c r="N2414" i="5"/>
  <c r="Q2414" i="5"/>
  <c r="I2414" i="5"/>
  <c r="M2414" i="5"/>
  <c r="B1719" i="4"/>
  <c r="C1718" i="4"/>
  <c r="B1927" i="5" l="1"/>
  <c r="C1926" i="5"/>
  <c r="B2416" i="5"/>
  <c r="L2415" i="5"/>
  <c r="H2415" i="5"/>
  <c r="J2415" i="5"/>
  <c r="N2415" i="5"/>
  <c r="I2415" i="5"/>
  <c r="K2415" i="5"/>
  <c r="M2415" i="5"/>
  <c r="O2415" i="5"/>
  <c r="F2415" i="5"/>
  <c r="Q2415" i="5"/>
  <c r="G2415" i="5"/>
  <c r="E2415" i="5"/>
  <c r="P2415" i="5"/>
  <c r="B1720" i="4"/>
  <c r="C1719" i="4"/>
  <c r="C1927" i="5" l="1"/>
  <c r="B1928" i="5"/>
  <c r="B2417" i="5"/>
  <c r="O2416" i="5"/>
  <c r="E2416" i="5"/>
  <c r="L2416" i="5"/>
  <c r="M2416" i="5"/>
  <c r="P2416" i="5"/>
  <c r="G2416" i="5"/>
  <c r="F2416" i="5"/>
  <c r="H2416" i="5"/>
  <c r="N2416" i="5"/>
  <c r="I2416" i="5"/>
  <c r="J2416" i="5"/>
  <c r="Q2416" i="5"/>
  <c r="K2416" i="5"/>
  <c r="B1721" i="4"/>
  <c r="C1720" i="4"/>
  <c r="B1929" i="5" l="1"/>
  <c r="C1928" i="5"/>
  <c r="B2418" i="5"/>
  <c r="B1722" i="4"/>
  <c r="C1721" i="4"/>
  <c r="C1929" i="5" l="1"/>
  <c r="B1930" i="5"/>
  <c r="B2419" i="5"/>
  <c r="B1723" i="4"/>
  <c r="C1722" i="4"/>
  <c r="B1931" i="5" l="1"/>
  <c r="C1930" i="5"/>
  <c r="B2420" i="5"/>
  <c r="B1724" i="4"/>
  <c r="C1723" i="4"/>
  <c r="C1931" i="5" l="1"/>
  <c r="B1932" i="5"/>
  <c r="B2421" i="5"/>
  <c r="B1725" i="4"/>
  <c r="C1724" i="4"/>
  <c r="C1932" i="5" l="1"/>
  <c r="B1933" i="5"/>
  <c r="B2422" i="5"/>
  <c r="M2421" i="5"/>
  <c r="K2421" i="5"/>
  <c r="E2421" i="5"/>
  <c r="J2421" i="5"/>
  <c r="N2421" i="5"/>
  <c r="I2421" i="5"/>
  <c r="Q2421" i="5"/>
  <c r="L2421" i="5"/>
  <c r="F2421" i="5"/>
  <c r="H2421" i="5"/>
  <c r="G2421" i="5"/>
  <c r="P2421" i="5"/>
  <c r="O2421" i="5"/>
  <c r="B1726" i="4"/>
  <c r="C1725" i="4"/>
  <c r="B1934" i="5" l="1"/>
  <c r="C1933" i="5"/>
  <c r="B2423" i="5"/>
  <c r="B1727" i="4"/>
  <c r="C1726" i="4"/>
  <c r="B1935" i="5" l="1"/>
  <c r="C1934" i="5"/>
  <c r="B2424" i="5"/>
  <c r="I2423" i="5"/>
  <c r="M2423" i="5"/>
  <c r="G2423" i="5"/>
  <c r="N2423" i="5"/>
  <c r="H2423" i="5"/>
  <c r="O2423" i="5"/>
  <c r="F2423" i="5"/>
  <c r="J2423" i="5"/>
  <c r="P2423" i="5"/>
  <c r="E2423" i="5"/>
  <c r="Q2423" i="5"/>
  <c r="L2423" i="5"/>
  <c r="K2423" i="5"/>
  <c r="B1728" i="4"/>
  <c r="C1727" i="4"/>
  <c r="B1936" i="5" l="1"/>
  <c r="C1935" i="5"/>
  <c r="B2425" i="5"/>
  <c r="P2424" i="5"/>
  <c r="F2424" i="5"/>
  <c r="N2424" i="5"/>
  <c r="L2424" i="5"/>
  <c r="J2424" i="5"/>
  <c r="G2424" i="5"/>
  <c r="M2424" i="5"/>
  <c r="H2424" i="5"/>
  <c r="E2424" i="5"/>
  <c r="O2424" i="5"/>
  <c r="Q2424" i="5"/>
  <c r="I2424" i="5"/>
  <c r="K2424" i="5"/>
  <c r="B1729" i="4"/>
  <c r="C1728" i="4"/>
  <c r="C1936" i="5" l="1"/>
  <c r="B1937" i="5"/>
  <c r="B2426" i="5"/>
  <c r="P2425" i="5"/>
  <c r="F2425" i="5"/>
  <c r="Q2425" i="5"/>
  <c r="G2425" i="5"/>
  <c r="J2425" i="5"/>
  <c r="I2425" i="5"/>
  <c r="O2425" i="5"/>
  <c r="N2425" i="5"/>
  <c r="K2425" i="5"/>
  <c r="H2425" i="5"/>
  <c r="E2425" i="5"/>
  <c r="M2425" i="5"/>
  <c r="L2425" i="5"/>
  <c r="B1730" i="4"/>
  <c r="C1729" i="4"/>
  <c r="B1938" i="5" l="1"/>
  <c r="C1937" i="5"/>
  <c r="B2427" i="5"/>
  <c r="B1731" i="4"/>
  <c r="C1730" i="4"/>
  <c r="B1939" i="5" l="1"/>
  <c r="C1938" i="5"/>
  <c r="B2428" i="5"/>
  <c r="B1732" i="4"/>
  <c r="C1731" i="4"/>
  <c r="C1939" i="5" l="1"/>
  <c r="B1940" i="5"/>
  <c r="B2429" i="5"/>
  <c r="B1733" i="4"/>
  <c r="C1732" i="4"/>
  <c r="B1941" i="5" l="1"/>
  <c r="C1940" i="5"/>
  <c r="B2430" i="5"/>
  <c r="B1734" i="4"/>
  <c r="C1733" i="4"/>
  <c r="C1941" i="5" l="1"/>
  <c r="B1942" i="5"/>
  <c r="B2431" i="5"/>
  <c r="E2430" i="5"/>
  <c r="F2430" i="5"/>
  <c r="L2430" i="5"/>
  <c r="H2430" i="5"/>
  <c r="M2430" i="5"/>
  <c r="Q2430" i="5"/>
  <c r="O2430" i="5"/>
  <c r="J2430" i="5"/>
  <c r="K2430" i="5"/>
  <c r="I2430" i="5"/>
  <c r="G2430" i="5"/>
  <c r="P2430" i="5"/>
  <c r="N2430" i="5"/>
  <c r="B1735" i="4"/>
  <c r="C1734" i="4"/>
  <c r="C1942" i="5" l="1"/>
  <c r="B1943" i="5"/>
  <c r="B2432" i="5"/>
  <c r="B1736" i="4"/>
  <c r="C1735" i="4"/>
  <c r="B1944" i="5" l="1"/>
  <c r="C1943" i="5"/>
  <c r="B2433" i="5"/>
  <c r="L2432" i="5"/>
  <c r="I2432" i="5"/>
  <c r="K2432" i="5"/>
  <c r="Q2432" i="5"/>
  <c r="F2432" i="5"/>
  <c r="O2432" i="5"/>
  <c r="E2432" i="5"/>
  <c r="H2432" i="5"/>
  <c r="G2432" i="5"/>
  <c r="P2432" i="5"/>
  <c r="N2432" i="5"/>
  <c r="M2432" i="5"/>
  <c r="J2432" i="5"/>
  <c r="B1737" i="4"/>
  <c r="C1736" i="4"/>
  <c r="C1944" i="5" l="1"/>
  <c r="B1945" i="5"/>
  <c r="B2434" i="5"/>
  <c r="J2433" i="5"/>
  <c r="N2433" i="5"/>
  <c r="K2433" i="5"/>
  <c r="H2433" i="5"/>
  <c r="Q2433" i="5"/>
  <c r="P2433" i="5"/>
  <c r="G2433" i="5"/>
  <c r="O2433" i="5"/>
  <c r="F2433" i="5"/>
  <c r="E2433" i="5"/>
  <c r="L2433" i="5"/>
  <c r="I2433" i="5"/>
  <c r="M2433" i="5"/>
  <c r="B1738" i="4"/>
  <c r="C1737" i="4"/>
  <c r="C1945" i="5" l="1"/>
  <c r="B1946" i="5"/>
  <c r="B2435" i="5"/>
  <c r="K2434" i="5"/>
  <c r="N2434" i="5"/>
  <c r="O2434" i="5"/>
  <c r="J2434" i="5"/>
  <c r="I2434" i="5"/>
  <c r="H2434" i="5"/>
  <c r="Q2434" i="5"/>
  <c r="P2434" i="5"/>
  <c r="E2434" i="5"/>
  <c r="L2434" i="5"/>
  <c r="G2434" i="5"/>
  <c r="F2434" i="5"/>
  <c r="M2434" i="5"/>
  <c r="C1738" i="4"/>
  <c r="B1739" i="4"/>
  <c r="C1946" i="5" l="1"/>
  <c r="B1947" i="5"/>
  <c r="B2436" i="5"/>
  <c r="B1740" i="4"/>
  <c r="C1739" i="4"/>
  <c r="B1948" i="5" l="1"/>
  <c r="C1947" i="5"/>
  <c r="B2437" i="5"/>
  <c r="B1741" i="4"/>
  <c r="C1740" i="4"/>
  <c r="B1949" i="5" l="1"/>
  <c r="C1948" i="5"/>
  <c r="B2438" i="5"/>
  <c r="B1742" i="4"/>
  <c r="C1741" i="4"/>
  <c r="C1949" i="5" l="1"/>
  <c r="B1950" i="5"/>
  <c r="B2439" i="5"/>
  <c r="B1743" i="4"/>
  <c r="C1742" i="4"/>
  <c r="C1950" i="5" l="1"/>
  <c r="B1951" i="5"/>
  <c r="B2440" i="5"/>
  <c r="K2439" i="5"/>
  <c r="L2439" i="5"/>
  <c r="P2439" i="5"/>
  <c r="N2439" i="5"/>
  <c r="E2439" i="5"/>
  <c r="H2439" i="5"/>
  <c r="G2439" i="5"/>
  <c r="O2439" i="5"/>
  <c r="F2439" i="5"/>
  <c r="J2439" i="5"/>
  <c r="I2439" i="5"/>
  <c r="M2439" i="5"/>
  <c r="Q2439" i="5"/>
  <c r="B1744" i="4"/>
  <c r="C1743" i="4"/>
  <c r="B1952" i="5" l="1"/>
  <c r="C1951" i="5"/>
  <c r="B2441" i="5"/>
  <c r="B1745" i="4"/>
  <c r="C1744" i="4"/>
  <c r="C1952" i="5" l="1"/>
  <c r="B1953" i="5"/>
  <c r="B2442" i="5"/>
  <c r="H2441" i="5"/>
  <c r="P2441" i="5"/>
  <c r="L2441" i="5"/>
  <c r="G2441" i="5"/>
  <c r="I2441" i="5"/>
  <c r="Q2441" i="5"/>
  <c r="E2441" i="5"/>
  <c r="F2441" i="5"/>
  <c r="M2441" i="5"/>
  <c r="K2441" i="5"/>
  <c r="O2441" i="5"/>
  <c r="N2441" i="5"/>
  <c r="J2441" i="5"/>
  <c r="B1746" i="4"/>
  <c r="C1745" i="4"/>
  <c r="B1954" i="5" l="1"/>
  <c r="C1953" i="5"/>
  <c r="B2443" i="5"/>
  <c r="I2442" i="5"/>
  <c r="H2442" i="5"/>
  <c r="J2442" i="5"/>
  <c r="F2442" i="5"/>
  <c r="E2442" i="5"/>
  <c r="G2442" i="5"/>
  <c r="K2442" i="5"/>
  <c r="P2442" i="5"/>
  <c r="Q2442" i="5"/>
  <c r="L2442" i="5"/>
  <c r="O2442" i="5"/>
  <c r="M2442" i="5"/>
  <c r="N2442" i="5"/>
  <c r="B1747" i="4"/>
  <c r="C1746" i="4"/>
  <c r="B1955" i="5" l="1"/>
  <c r="C1954" i="5"/>
  <c r="B2444" i="5"/>
  <c r="M2443" i="5"/>
  <c r="Q2443" i="5"/>
  <c r="N2443" i="5"/>
  <c r="H2443" i="5"/>
  <c r="O2443" i="5"/>
  <c r="E2443" i="5"/>
  <c r="F2443" i="5"/>
  <c r="K2443" i="5"/>
  <c r="J2443" i="5"/>
  <c r="I2443" i="5"/>
  <c r="G2443" i="5"/>
  <c r="L2443" i="5"/>
  <c r="P2443" i="5"/>
  <c r="B1748" i="4"/>
  <c r="C1747" i="4"/>
  <c r="C1955" i="5" l="1"/>
  <c r="B1956" i="5"/>
  <c r="B2445" i="5"/>
  <c r="B1749" i="4"/>
  <c r="C1748" i="4"/>
  <c r="B1957" i="5" l="1"/>
  <c r="C1956" i="5"/>
  <c r="B2446" i="5"/>
  <c r="B1750" i="4"/>
  <c r="C1749" i="4"/>
  <c r="B1958" i="5" l="1"/>
  <c r="C1957" i="5"/>
  <c r="B2447" i="5"/>
  <c r="B1751" i="4"/>
  <c r="C1750" i="4"/>
  <c r="B1959" i="5" l="1"/>
  <c r="C1958" i="5"/>
  <c r="B2448" i="5"/>
  <c r="B1752" i="4"/>
  <c r="C1751" i="4"/>
  <c r="B1960" i="5" l="1"/>
  <c r="C1959" i="5"/>
  <c r="B2449" i="5"/>
  <c r="K2448" i="5"/>
  <c r="J2448" i="5"/>
  <c r="E2448" i="5"/>
  <c r="M2448" i="5"/>
  <c r="G2448" i="5"/>
  <c r="Q2448" i="5"/>
  <c r="P2448" i="5"/>
  <c r="L2448" i="5"/>
  <c r="O2448" i="5"/>
  <c r="N2448" i="5"/>
  <c r="F2448" i="5"/>
  <c r="I2448" i="5"/>
  <c r="H2448" i="5"/>
  <c r="B1753" i="4"/>
  <c r="C1752" i="4"/>
  <c r="B1961" i="5" l="1"/>
  <c r="C1960" i="5"/>
  <c r="B2450" i="5"/>
  <c r="B1754" i="4"/>
  <c r="C1753" i="4"/>
  <c r="B1962" i="5" l="1"/>
  <c r="C1961" i="5"/>
  <c r="B2451" i="5"/>
  <c r="I2450" i="5"/>
  <c r="Q2450" i="5"/>
  <c r="N2450" i="5"/>
  <c r="P2450" i="5"/>
  <c r="F2450" i="5"/>
  <c r="M2450" i="5"/>
  <c r="G2450" i="5"/>
  <c r="H2450" i="5"/>
  <c r="K2450" i="5"/>
  <c r="O2450" i="5"/>
  <c r="J2450" i="5"/>
  <c r="L2450" i="5"/>
  <c r="E2450" i="5"/>
  <c r="B1755" i="4"/>
  <c r="C1754" i="4"/>
  <c r="B1963" i="5" l="1"/>
  <c r="C1962" i="5"/>
  <c r="B2452" i="5"/>
  <c r="K2451" i="5"/>
  <c r="J2451" i="5"/>
  <c r="H2451" i="5"/>
  <c r="I2451" i="5"/>
  <c r="E2451" i="5"/>
  <c r="M2451" i="5"/>
  <c r="G2451" i="5"/>
  <c r="Q2451" i="5"/>
  <c r="O2451" i="5"/>
  <c r="L2451" i="5"/>
  <c r="F2451" i="5"/>
  <c r="N2451" i="5"/>
  <c r="P2451" i="5"/>
  <c r="B1756" i="4"/>
  <c r="C1755" i="4"/>
  <c r="C1963" i="5" l="1"/>
  <c r="B1964" i="5"/>
  <c r="B2453" i="5"/>
  <c r="H2452" i="5"/>
  <c r="L2452" i="5"/>
  <c r="I2452" i="5"/>
  <c r="K2452" i="5"/>
  <c r="J2452" i="5"/>
  <c r="O2452" i="5"/>
  <c r="N2452" i="5"/>
  <c r="M2452" i="5"/>
  <c r="E2452" i="5"/>
  <c r="P2452" i="5"/>
  <c r="G2452" i="5"/>
  <c r="F2452" i="5"/>
  <c r="Q2452" i="5"/>
  <c r="B1757" i="4"/>
  <c r="C1756" i="4"/>
  <c r="C1964" i="5" l="1"/>
  <c r="B1965" i="5"/>
  <c r="B2454" i="5"/>
  <c r="B1758" i="4"/>
  <c r="C1757" i="4"/>
  <c r="B1966" i="5" l="1"/>
  <c r="C1965" i="5"/>
  <c r="B2455" i="5"/>
  <c r="B1759" i="4"/>
  <c r="C1758" i="4"/>
  <c r="B1967" i="5" l="1"/>
  <c r="C1966" i="5"/>
  <c r="B2456" i="5"/>
  <c r="B1760" i="4"/>
  <c r="C1759" i="4"/>
  <c r="B1968" i="5" l="1"/>
  <c r="C1967" i="5"/>
  <c r="B2457" i="5"/>
  <c r="B1761" i="4"/>
  <c r="C1760" i="4"/>
  <c r="B1969" i="5" l="1"/>
  <c r="C1968" i="5"/>
  <c r="B2458" i="5"/>
  <c r="G2457" i="5"/>
  <c r="J2457" i="5"/>
  <c r="F2457" i="5"/>
  <c r="I2457" i="5"/>
  <c r="K2457" i="5"/>
  <c r="O2457" i="5"/>
  <c r="N2457" i="5"/>
  <c r="Q2457" i="5"/>
  <c r="P2457" i="5"/>
  <c r="L2457" i="5"/>
  <c r="M2457" i="5"/>
  <c r="E2457" i="5"/>
  <c r="H2457" i="5"/>
  <c r="B1762" i="4"/>
  <c r="C1761" i="4"/>
  <c r="B1970" i="5" l="1"/>
  <c r="C1969" i="5"/>
  <c r="B2459" i="5"/>
  <c r="B1763" i="4"/>
  <c r="C1762" i="4"/>
  <c r="B1971" i="5" l="1"/>
  <c r="C1970" i="5"/>
  <c r="B2460" i="5"/>
  <c r="I2459" i="5"/>
  <c r="E2459" i="5"/>
  <c r="M2459" i="5"/>
  <c r="J2459" i="5"/>
  <c r="N2459" i="5"/>
  <c r="O2459" i="5"/>
  <c r="F2459" i="5"/>
  <c r="P2459" i="5"/>
  <c r="K2459" i="5"/>
  <c r="G2459" i="5"/>
  <c r="H2459" i="5"/>
  <c r="L2459" i="5"/>
  <c r="Q2459" i="5"/>
  <c r="B1764" i="4"/>
  <c r="C1763" i="4"/>
  <c r="C1971" i="5" l="1"/>
  <c r="B1972" i="5"/>
  <c r="B2461" i="5"/>
  <c r="O2460" i="5"/>
  <c r="L2460" i="5"/>
  <c r="M2460" i="5"/>
  <c r="N2460" i="5"/>
  <c r="I2460" i="5"/>
  <c r="H2460" i="5"/>
  <c r="K2460" i="5"/>
  <c r="Q2460" i="5"/>
  <c r="F2460" i="5"/>
  <c r="P2460" i="5"/>
  <c r="G2460" i="5"/>
  <c r="E2460" i="5"/>
  <c r="J2460" i="5"/>
  <c r="B1765" i="4"/>
  <c r="C1764" i="4"/>
  <c r="B1973" i="5" l="1"/>
  <c r="C1972" i="5"/>
  <c r="B2462" i="5"/>
  <c r="F2461" i="5"/>
  <c r="M2461" i="5"/>
  <c r="N2461" i="5"/>
  <c r="I2461" i="5"/>
  <c r="H2461" i="5"/>
  <c r="E2461" i="5"/>
  <c r="O2461" i="5"/>
  <c r="L2461" i="5"/>
  <c r="J2461" i="5"/>
  <c r="P2461" i="5"/>
  <c r="Q2461" i="5"/>
  <c r="K2461" i="5"/>
  <c r="G2461" i="5"/>
  <c r="B1766" i="4"/>
  <c r="C1765" i="4"/>
  <c r="B1974" i="5" l="1"/>
  <c r="C1973" i="5"/>
  <c r="B2463" i="5"/>
  <c r="B1767" i="4"/>
  <c r="C1766" i="4"/>
  <c r="C1974" i="5" l="1"/>
  <c r="B1975" i="5"/>
  <c r="B2464" i="5"/>
  <c r="B1768" i="4"/>
  <c r="C1767" i="4"/>
  <c r="C1975" i="5" l="1"/>
  <c r="B1976" i="5"/>
  <c r="B2465" i="5"/>
  <c r="B1769" i="4"/>
  <c r="C1768" i="4"/>
  <c r="B1977" i="5" l="1"/>
  <c r="C1976" i="5"/>
  <c r="B2466" i="5"/>
  <c r="B1770" i="4"/>
  <c r="C1769" i="4"/>
  <c r="C1977" i="5" l="1"/>
  <c r="B1978" i="5"/>
  <c r="B2467" i="5"/>
  <c r="P2466" i="5"/>
  <c r="G2466" i="5"/>
  <c r="H2466" i="5"/>
  <c r="N2466" i="5"/>
  <c r="K2466" i="5"/>
  <c r="J2466" i="5"/>
  <c r="I2466" i="5"/>
  <c r="M2466" i="5"/>
  <c r="Q2466" i="5"/>
  <c r="E2466" i="5"/>
  <c r="L2466" i="5"/>
  <c r="O2466" i="5"/>
  <c r="F2466" i="5"/>
  <c r="B1771" i="4"/>
  <c r="C1770" i="4"/>
  <c r="B1979" i="5" l="1"/>
  <c r="C1978" i="5"/>
  <c r="B2468" i="5"/>
  <c r="B1772" i="4"/>
  <c r="C1771" i="4"/>
  <c r="C1979" i="5" l="1"/>
  <c r="B1980" i="5"/>
  <c r="B2469" i="5"/>
  <c r="Q2468" i="5"/>
  <c r="J2468" i="5"/>
  <c r="H2468" i="5"/>
  <c r="P2468" i="5"/>
  <c r="N2468" i="5"/>
  <c r="G2468" i="5"/>
  <c r="L2468" i="5"/>
  <c r="O2468" i="5"/>
  <c r="F2468" i="5"/>
  <c r="I2468" i="5"/>
  <c r="K2468" i="5"/>
  <c r="E2468" i="5"/>
  <c r="M2468" i="5"/>
  <c r="B1773" i="4"/>
  <c r="C1772" i="4"/>
  <c r="B1981" i="5" l="1"/>
  <c r="C1980" i="5"/>
  <c r="B2470" i="5"/>
  <c r="H2469" i="5"/>
  <c r="M2469" i="5"/>
  <c r="J2469" i="5"/>
  <c r="Q2469" i="5"/>
  <c r="E2469" i="5"/>
  <c r="L2469" i="5"/>
  <c r="N2469" i="5"/>
  <c r="I2469" i="5"/>
  <c r="P2469" i="5"/>
  <c r="O2469" i="5"/>
  <c r="K2469" i="5"/>
  <c r="G2469" i="5"/>
  <c r="F2469" i="5"/>
  <c r="B1774" i="4"/>
  <c r="C1773" i="4"/>
  <c r="C1981" i="5" l="1"/>
  <c r="B1982" i="5"/>
  <c r="B2471" i="5"/>
  <c r="G2470" i="5"/>
  <c r="H2470" i="5"/>
  <c r="M2470" i="5"/>
  <c r="N2470" i="5"/>
  <c r="O2470" i="5"/>
  <c r="K2470" i="5"/>
  <c r="E2470" i="5"/>
  <c r="L2470" i="5"/>
  <c r="Q2470" i="5"/>
  <c r="I2470" i="5"/>
  <c r="P2470" i="5"/>
  <c r="J2470" i="5"/>
  <c r="F2470" i="5"/>
  <c r="B1775" i="4"/>
  <c r="C1774" i="4"/>
  <c r="B1983" i="5" l="1"/>
  <c r="C1982" i="5"/>
  <c r="B2472" i="5"/>
  <c r="B1776" i="4"/>
  <c r="C1775" i="4"/>
  <c r="B1984" i="5" l="1"/>
  <c r="C1983" i="5"/>
  <c r="B2473" i="5"/>
  <c r="B1777" i="4"/>
  <c r="C1776" i="4"/>
  <c r="B1985" i="5" l="1"/>
  <c r="C1984" i="5"/>
  <c r="B2474" i="5"/>
  <c r="B1778" i="4"/>
  <c r="C1777" i="4"/>
  <c r="C1985" i="5" l="1"/>
  <c r="B1986" i="5"/>
  <c r="B2475" i="5"/>
  <c r="B1779" i="4"/>
  <c r="C1778" i="4"/>
  <c r="B1987" i="5" l="1"/>
  <c r="C1986" i="5"/>
  <c r="B2476" i="5"/>
  <c r="M2475" i="5"/>
  <c r="G2475" i="5"/>
  <c r="K2475" i="5"/>
  <c r="F2475" i="5"/>
  <c r="H2475" i="5"/>
  <c r="J2475" i="5"/>
  <c r="O2475" i="5"/>
  <c r="I2475" i="5"/>
  <c r="N2475" i="5"/>
  <c r="Q2475" i="5"/>
  <c r="P2475" i="5"/>
  <c r="E2475" i="5"/>
  <c r="L2475" i="5"/>
  <c r="B1780" i="4"/>
  <c r="C1779" i="4"/>
  <c r="C1987" i="5" l="1"/>
  <c r="B1988" i="5"/>
  <c r="B2477" i="5"/>
  <c r="B1781" i="4"/>
  <c r="C1780" i="4"/>
  <c r="C1988" i="5" l="1"/>
  <c r="B1989" i="5"/>
  <c r="B2478" i="5"/>
  <c r="J2477" i="5"/>
  <c r="P2477" i="5"/>
  <c r="M2477" i="5"/>
  <c r="G2477" i="5"/>
  <c r="K2477" i="5"/>
  <c r="O2477" i="5"/>
  <c r="Q2477" i="5"/>
  <c r="F2477" i="5"/>
  <c r="N2477" i="5"/>
  <c r="L2477" i="5"/>
  <c r="E2477" i="5"/>
  <c r="H2477" i="5"/>
  <c r="I2477" i="5"/>
  <c r="B1782" i="4"/>
  <c r="C1781" i="4"/>
  <c r="B1990" i="5" l="1"/>
  <c r="C1989" i="5"/>
  <c r="B2479" i="5"/>
  <c r="I2478" i="5"/>
  <c r="G2478" i="5"/>
  <c r="J2478" i="5"/>
  <c r="Q2478" i="5"/>
  <c r="P2478" i="5"/>
  <c r="E2478" i="5"/>
  <c r="O2478" i="5"/>
  <c r="K2478" i="5"/>
  <c r="N2478" i="5"/>
  <c r="L2478" i="5"/>
  <c r="H2478" i="5"/>
  <c r="M2478" i="5"/>
  <c r="F2478" i="5"/>
  <c r="B1783" i="4"/>
  <c r="C1782" i="4"/>
  <c r="B1991" i="5" l="1"/>
  <c r="C1990" i="5"/>
  <c r="B2480" i="5"/>
  <c r="M2479" i="5"/>
  <c r="H2479" i="5"/>
  <c r="F2479" i="5"/>
  <c r="Q2479" i="5"/>
  <c r="I2479" i="5"/>
  <c r="P2479" i="5"/>
  <c r="G2479" i="5"/>
  <c r="J2479" i="5"/>
  <c r="E2479" i="5"/>
  <c r="N2479" i="5"/>
  <c r="K2479" i="5"/>
  <c r="O2479" i="5"/>
  <c r="L2479" i="5"/>
  <c r="B1784" i="4"/>
  <c r="C1783" i="4"/>
  <c r="C1991" i="5" l="1"/>
  <c r="B1992" i="5"/>
  <c r="B2481" i="5"/>
  <c r="B1785" i="4"/>
  <c r="C1784" i="4"/>
  <c r="C1992" i="5" l="1"/>
  <c r="B1993" i="5"/>
  <c r="B2482" i="5"/>
  <c r="B1786" i="4"/>
  <c r="C1785" i="4"/>
  <c r="B1994" i="5" l="1"/>
  <c r="C1993" i="5"/>
  <c r="B2483" i="5"/>
  <c r="B1787" i="4"/>
  <c r="C1786" i="4"/>
  <c r="B1995" i="5" l="1"/>
  <c r="C1994" i="5"/>
  <c r="B2484" i="5"/>
  <c r="B1788" i="4"/>
  <c r="C1787" i="4"/>
  <c r="B1996" i="5" l="1"/>
  <c r="C1995" i="5"/>
  <c r="B2485" i="5"/>
  <c r="M2484" i="5"/>
  <c r="O2484" i="5"/>
  <c r="I2484" i="5"/>
  <c r="N2484" i="5"/>
  <c r="L2484" i="5"/>
  <c r="G2484" i="5"/>
  <c r="F2484" i="5"/>
  <c r="E2484" i="5"/>
  <c r="J2484" i="5"/>
  <c r="K2484" i="5"/>
  <c r="P2484" i="5"/>
  <c r="Q2484" i="5"/>
  <c r="H2484" i="5"/>
  <c r="B1789" i="4"/>
  <c r="C1788" i="4"/>
  <c r="C1996" i="5" l="1"/>
  <c r="B1997" i="5"/>
  <c r="B2486" i="5"/>
  <c r="B1790" i="4"/>
  <c r="C1789" i="4"/>
  <c r="B1998" i="5" l="1"/>
  <c r="C1997" i="5"/>
  <c r="B2487" i="5"/>
  <c r="Q2486" i="5"/>
  <c r="O2486" i="5"/>
  <c r="L2486" i="5"/>
  <c r="M2486" i="5"/>
  <c r="P2486" i="5"/>
  <c r="G2486" i="5"/>
  <c r="I2486" i="5"/>
  <c r="J2486" i="5"/>
  <c r="N2486" i="5"/>
  <c r="H2486" i="5"/>
  <c r="F2486" i="5"/>
  <c r="E2486" i="5"/>
  <c r="K2486" i="5"/>
  <c r="B1791" i="4"/>
  <c r="C1790" i="4"/>
  <c r="B1999" i="5" l="1"/>
  <c r="C1998" i="5"/>
  <c r="B2488" i="5"/>
  <c r="N2487" i="5"/>
  <c r="G2487" i="5"/>
  <c r="E2487" i="5"/>
  <c r="I2487" i="5"/>
  <c r="F2487" i="5"/>
  <c r="H2487" i="5"/>
  <c r="L2487" i="5"/>
  <c r="P2487" i="5"/>
  <c r="Q2487" i="5"/>
  <c r="J2487" i="5"/>
  <c r="O2487" i="5"/>
  <c r="K2487" i="5"/>
  <c r="M2487" i="5"/>
  <c r="B1792" i="4"/>
  <c r="C1791" i="4"/>
  <c r="B2000" i="5" l="1"/>
  <c r="C1999" i="5"/>
  <c r="B2489" i="5"/>
  <c r="G2488" i="5"/>
  <c r="P2488" i="5"/>
  <c r="M2488" i="5"/>
  <c r="K2488" i="5"/>
  <c r="Q2488" i="5"/>
  <c r="J2488" i="5"/>
  <c r="O2488" i="5"/>
  <c r="H2488" i="5"/>
  <c r="E2488" i="5"/>
  <c r="I2488" i="5"/>
  <c r="F2488" i="5"/>
  <c r="L2488" i="5"/>
  <c r="N2488" i="5"/>
  <c r="B1793" i="4"/>
  <c r="C1792" i="4"/>
  <c r="C2000" i="5" l="1"/>
  <c r="B2001" i="5"/>
  <c r="B2490" i="5"/>
  <c r="B1794" i="4"/>
  <c r="C1793" i="4"/>
  <c r="C2001" i="5" l="1"/>
  <c r="B2002" i="5"/>
  <c r="B2491" i="5"/>
  <c r="B1795" i="4"/>
  <c r="C1794" i="4"/>
  <c r="B2003" i="5" l="1"/>
  <c r="C2002" i="5"/>
  <c r="B2492" i="5"/>
  <c r="B1796" i="4"/>
  <c r="C1795" i="4"/>
  <c r="B2004" i="5" l="1"/>
  <c r="C2003" i="5"/>
  <c r="B2493" i="5"/>
  <c r="B1797" i="4"/>
  <c r="C1796" i="4"/>
  <c r="C2004" i="5" l="1"/>
  <c r="B2005" i="5"/>
  <c r="B2494" i="5"/>
  <c r="H2493" i="5"/>
  <c r="O2493" i="5"/>
  <c r="M2493" i="5"/>
  <c r="G2493" i="5"/>
  <c r="Q2493" i="5"/>
  <c r="E2493" i="5"/>
  <c r="J2493" i="5"/>
  <c r="F2493" i="5"/>
  <c r="P2493" i="5"/>
  <c r="L2493" i="5"/>
  <c r="I2493" i="5"/>
  <c r="K2493" i="5"/>
  <c r="N2493" i="5"/>
  <c r="B1798" i="4"/>
  <c r="C1797" i="4"/>
  <c r="B2006" i="5" l="1"/>
  <c r="C2005" i="5"/>
  <c r="B2495" i="5"/>
  <c r="B1799" i="4"/>
  <c r="C1798" i="4"/>
  <c r="B2007" i="5" l="1"/>
  <c r="C2006" i="5"/>
  <c r="B2496" i="5"/>
  <c r="H2495" i="5"/>
  <c r="P2495" i="5"/>
  <c r="L2495" i="5"/>
  <c r="F2495" i="5"/>
  <c r="M2495" i="5"/>
  <c r="I2495" i="5"/>
  <c r="O2495" i="5"/>
  <c r="Q2495" i="5"/>
  <c r="K2495" i="5"/>
  <c r="G2495" i="5"/>
  <c r="J2495" i="5"/>
  <c r="E2495" i="5"/>
  <c r="N2495" i="5"/>
  <c r="B1800" i="4"/>
  <c r="C1799" i="4"/>
  <c r="C2007" i="5" l="1"/>
  <c r="B2008" i="5"/>
  <c r="B2497" i="5"/>
  <c r="P2496" i="5"/>
  <c r="J2496" i="5"/>
  <c r="O2496" i="5"/>
  <c r="Q2496" i="5"/>
  <c r="I2496" i="5"/>
  <c r="N2496" i="5"/>
  <c r="E2496" i="5"/>
  <c r="G2496" i="5"/>
  <c r="H2496" i="5"/>
  <c r="M2496" i="5"/>
  <c r="L2496" i="5"/>
  <c r="F2496" i="5"/>
  <c r="K2496" i="5"/>
  <c r="B1801" i="4"/>
  <c r="C1800" i="4"/>
  <c r="B2009" i="5" l="1"/>
  <c r="C2008" i="5"/>
  <c r="B2498" i="5"/>
  <c r="E2497" i="5"/>
  <c r="M2497" i="5"/>
  <c r="O2497" i="5"/>
  <c r="P2497" i="5"/>
  <c r="Q2497" i="5"/>
  <c r="G2497" i="5"/>
  <c r="K2497" i="5"/>
  <c r="J2497" i="5"/>
  <c r="L2497" i="5"/>
  <c r="I2497" i="5"/>
  <c r="N2497" i="5"/>
  <c r="H2497" i="5"/>
  <c r="F2497" i="5"/>
  <c r="B1802" i="4"/>
  <c r="C1801" i="4"/>
  <c r="B2010" i="5" l="1"/>
  <c r="C2009" i="5"/>
  <c r="B2499" i="5"/>
  <c r="B1803" i="4"/>
  <c r="C1802" i="4"/>
  <c r="C2010" i="5" l="1"/>
  <c r="B2011" i="5"/>
  <c r="B2500" i="5"/>
  <c r="B1804" i="4"/>
  <c r="C1803" i="4"/>
  <c r="B2012" i="5" l="1"/>
  <c r="C2011" i="5"/>
  <c r="B2501" i="5"/>
  <c r="B1805" i="4"/>
  <c r="C1804" i="4"/>
  <c r="C2012" i="5" l="1"/>
  <c r="B2013" i="5"/>
  <c r="B2502" i="5"/>
  <c r="B1806" i="4"/>
  <c r="C1805" i="4"/>
  <c r="C2013" i="5" l="1"/>
  <c r="B2014" i="5"/>
  <c r="B2503" i="5"/>
  <c r="F2502" i="5"/>
  <c r="I2502" i="5"/>
  <c r="M2502" i="5"/>
  <c r="H2502" i="5"/>
  <c r="K2502" i="5"/>
  <c r="E2502" i="5"/>
  <c r="L2502" i="5"/>
  <c r="O2502" i="5"/>
  <c r="G2502" i="5"/>
  <c r="N2502" i="5"/>
  <c r="Q2502" i="5"/>
  <c r="P2502" i="5"/>
  <c r="J2502" i="5"/>
  <c r="B1807" i="4"/>
  <c r="C1806" i="4"/>
  <c r="B2015" i="5" l="1"/>
  <c r="C2014" i="5"/>
  <c r="B2504" i="5"/>
  <c r="B1808" i="4"/>
  <c r="C1807" i="4"/>
  <c r="C2015" i="5" l="1"/>
  <c r="B2016" i="5"/>
  <c r="B2505" i="5"/>
  <c r="N2504" i="5"/>
  <c r="E2504" i="5"/>
  <c r="M2504" i="5"/>
  <c r="L2504" i="5"/>
  <c r="Q2504" i="5"/>
  <c r="J2504" i="5"/>
  <c r="K2504" i="5"/>
  <c r="H2504" i="5"/>
  <c r="F2504" i="5"/>
  <c r="I2504" i="5"/>
  <c r="P2504" i="5"/>
  <c r="O2504" i="5"/>
  <c r="G2504" i="5"/>
  <c r="B1809" i="4"/>
  <c r="C1808" i="4"/>
  <c r="B2017" i="5" l="1"/>
  <c r="C2016" i="5"/>
  <c r="B2506" i="5"/>
  <c r="K2505" i="5"/>
  <c r="M2505" i="5"/>
  <c r="E2505" i="5"/>
  <c r="P2505" i="5"/>
  <c r="F2505" i="5"/>
  <c r="Q2505" i="5"/>
  <c r="L2505" i="5"/>
  <c r="H2505" i="5"/>
  <c r="N2505" i="5"/>
  <c r="G2505" i="5"/>
  <c r="O2505" i="5"/>
  <c r="J2505" i="5"/>
  <c r="I2505" i="5"/>
  <c r="B1810" i="4"/>
  <c r="C1809" i="4"/>
  <c r="C2017" i="5" l="1"/>
  <c r="B2018" i="5"/>
  <c r="B2507" i="5"/>
  <c r="G2506" i="5"/>
  <c r="K2506" i="5"/>
  <c r="N2506" i="5"/>
  <c r="I2506" i="5"/>
  <c r="M2506" i="5"/>
  <c r="H2506" i="5"/>
  <c r="P2506" i="5"/>
  <c r="O2506" i="5"/>
  <c r="F2506" i="5"/>
  <c r="J2506" i="5"/>
  <c r="E2506" i="5"/>
  <c r="Q2506" i="5"/>
  <c r="L2506" i="5"/>
  <c r="B1811" i="4"/>
  <c r="C1810" i="4"/>
  <c r="B2019" i="5" l="1"/>
  <c r="C2018" i="5"/>
  <c r="B2508" i="5"/>
  <c r="B1812" i="4"/>
  <c r="C1811" i="4"/>
  <c r="C2019" i="5" l="1"/>
  <c r="B2020" i="5"/>
  <c r="B2509" i="5"/>
  <c r="B1813" i="4"/>
  <c r="C1812" i="4"/>
  <c r="B2021" i="5" l="1"/>
  <c r="C2020" i="5"/>
  <c r="B2510" i="5"/>
  <c r="B1814" i="4"/>
  <c r="C1813" i="4"/>
  <c r="B2022" i="5" l="1"/>
  <c r="C2021" i="5"/>
  <c r="B2511" i="5"/>
  <c r="B1815" i="4"/>
  <c r="C1814" i="4"/>
  <c r="B2023" i="5" l="1"/>
  <c r="C2022" i="5"/>
  <c r="B2512" i="5"/>
  <c r="M2511" i="5"/>
  <c r="H2511" i="5"/>
  <c r="N2511" i="5"/>
  <c r="E2511" i="5"/>
  <c r="O2511" i="5"/>
  <c r="Q2511" i="5"/>
  <c r="J2511" i="5"/>
  <c r="I2511" i="5"/>
  <c r="P2511" i="5"/>
  <c r="F2511" i="5"/>
  <c r="L2511" i="5"/>
  <c r="G2511" i="5"/>
  <c r="K2511" i="5"/>
  <c r="B1816" i="4"/>
  <c r="C1815" i="4"/>
  <c r="C2023" i="5" l="1"/>
  <c r="B2024" i="5"/>
  <c r="B2513" i="5"/>
  <c r="B1817" i="4"/>
  <c r="C1816" i="4"/>
  <c r="B2025" i="5" l="1"/>
  <c r="C2024" i="5"/>
  <c r="B2514" i="5"/>
  <c r="E2513" i="5"/>
  <c r="G2513" i="5"/>
  <c r="L2513" i="5"/>
  <c r="K2513" i="5"/>
  <c r="I2513" i="5"/>
  <c r="N2513" i="5"/>
  <c r="J2513" i="5"/>
  <c r="F2513" i="5"/>
  <c r="Q2513" i="5"/>
  <c r="O2513" i="5"/>
  <c r="P2513" i="5"/>
  <c r="M2513" i="5"/>
  <c r="H2513" i="5"/>
  <c r="B1818" i="4"/>
  <c r="C1817" i="4"/>
  <c r="C2025" i="5" l="1"/>
  <c r="B2026" i="5"/>
  <c r="B2515" i="5"/>
  <c r="P2514" i="5"/>
  <c r="G2514" i="5"/>
  <c r="L2514" i="5"/>
  <c r="Q2514" i="5"/>
  <c r="N2514" i="5"/>
  <c r="M2514" i="5"/>
  <c r="I2514" i="5"/>
  <c r="J2514" i="5"/>
  <c r="H2514" i="5"/>
  <c r="K2514" i="5"/>
  <c r="F2514" i="5"/>
  <c r="O2514" i="5"/>
  <c r="E2514" i="5"/>
  <c r="B1819" i="4"/>
  <c r="C1818" i="4"/>
  <c r="C2026" i="5" l="1"/>
  <c r="B2027" i="5"/>
  <c r="B2516" i="5"/>
  <c r="I2515" i="5"/>
  <c r="Q2515" i="5"/>
  <c r="N2515" i="5"/>
  <c r="O2515" i="5"/>
  <c r="P2515" i="5"/>
  <c r="F2515" i="5"/>
  <c r="H2515" i="5"/>
  <c r="G2515" i="5"/>
  <c r="E2515" i="5"/>
  <c r="J2515" i="5"/>
  <c r="M2515" i="5"/>
  <c r="L2515" i="5"/>
  <c r="K2515" i="5"/>
  <c r="B1820" i="4"/>
  <c r="C1819" i="4"/>
  <c r="C2027" i="5" l="1"/>
  <c r="B2028" i="5"/>
  <c r="B2517" i="5"/>
  <c r="B1821" i="4"/>
  <c r="C1820" i="4"/>
  <c r="B2029" i="5" l="1"/>
  <c r="C2028" i="5"/>
  <c r="B2518" i="5"/>
  <c r="B1822" i="4"/>
  <c r="C1821" i="4"/>
  <c r="B2030" i="5" l="1"/>
  <c r="C2029" i="5"/>
  <c r="B2519" i="5"/>
  <c r="B1823" i="4"/>
  <c r="C1822" i="4"/>
  <c r="C2030" i="5" l="1"/>
  <c r="B2031" i="5"/>
  <c r="B2520" i="5"/>
  <c r="B1824" i="4"/>
  <c r="C1823" i="4"/>
  <c r="B2032" i="5" l="1"/>
  <c r="C2031" i="5"/>
  <c r="B2521" i="5"/>
  <c r="F2520" i="5"/>
  <c r="E2520" i="5"/>
  <c r="L2520" i="5"/>
  <c r="I2520" i="5"/>
  <c r="P2520" i="5"/>
  <c r="M2520" i="5"/>
  <c r="N2520" i="5"/>
  <c r="G2520" i="5"/>
  <c r="Q2520" i="5"/>
  <c r="H2520" i="5"/>
  <c r="O2520" i="5"/>
  <c r="J2520" i="5"/>
  <c r="K2520" i="5"/>
  <c r="B1825" i="4"/>
  <c r="C1824" i="4"/>
  <c r="B2033" i="5" l="1"/>
  <c r="C2032" i="5"/>
  <c r="B2522" i="5"/>
  <c r="B1826" i="4"/>
  <c r="C1825" i="4"/>
  <c r="C2033" i="5" l="1"/>
  <c r="B2034" i="5"/>
  <c r="B2523" i="5"/>
  <c r="Q2522" i="5"/>
  <c r="K2522" i="5"/>
  <c r="P2522" i="5"/>
  <c r="E2522" i="5"/>
  <c r="G2522" i="5"/>
  <c r="N2522" i="5"/>
  <c r="O2522" i="5"/>
  <c r="J2522" i="5"/>
  <c r="L2522" i="5"/>
  <c r="I2522" i="5"/>
  <c r="M2522" i="5"/>
  <c r="F2522" i="5"/>
  <c r="H2522" i="5"/>
  <c r="B1827" i="4"/>
  <c r="C1826" i="4"/>
  <c r="C2034" i="5" l="1"/>
  <c r="B2035" i="5"/>
  <c r="B2524" i="5"/>
  <c r="P2523" i="5"/>
  <c r="M2523" i="5"/>
  <c r="O2523" i="5"/>
  <c r="Q2523" i="5"/>
  <c r="H2523" i="5"/>
  <c r="G2523" i="5"/>
  <c r="N2523" i="5"/>
  <c r="K2523" i="5"/>
  <c r="F2523" i="5"/>
  <c r="L2523" i="5"/>
  <c r="E2523" i="5"/>
  <c r="I2523" i="5"/>
  <c r="J2523" i="5"/>
  <c r="B1828" i="4"/>
  <c r="C1827" i="4"/>
  <c r="B2036" i="5" l="1"/>
  <c r="C2035" i="5"/>
  <c r="B2525" i="5"/>
  <c r="H2524" i="5"/>
  <c r="G2524" i="5"/>
  <c r="J2524" i="5"/>
  <c r="K2524" i="5"/>
  <c r="Q2524" i="5"/>
  <c r="M2524" i="5"/>
  <c r="L2524" i="5"/>
  <c r="P2524" i="5"/>
  <c r="I2524" i="5"/>
  <c r="F2524" i="5"/>
  <c r="N2524" i="5"/>
  <c r="O2524" i="5"/>
  <c r="E2524" i="5"/>
  <c r="B1829" i="4"/>
  <c r="C1828" i="4"/>
  <c r="C2036" i="5" l="1"/>
  <c r="B2037" i="5"/>
  <c r="B2526" i="5"/>
  <c r="B1830" i="4"/>
  <c r="C1829" i="4"/>
  <c r="C2037" i="5" l="1"/>
  <c r="B2038" i="5"/>
  <c r="B2527" i="5"/>
  <c r="B1831" i="4"/>
  <c r="C1830" i="4"/>
  <c r="B2039" i="5" l="1"/>
  <c r="C2038" i="5"/>
  <c r="B2528" i="5"/>
  <c r="B1832" i="4"/>
  <c r="C1831" i="4"/>
  <c r="C2039" i="5" l="1"/>
  <c r="B2040" i="5"/>
  <c r="B2529" i="5"/>
  <c r="B1833" i="4"/>
  <c r="C1832" i="4"/>
  <c r="B2041" i="5" l="1"/>
  <c r="C2040" i="5"/>
  <c r="B2530" i="5"/>
  <c r="Q2529" i="5"/>
  <c r="H2529" i="5"/>
  <c r="K2529" i="5"/>
  <c r="I2529" i="5"/>
  <c r="E2529" i="5"/>
  <c r="F2529" i="5"/>
  <c r="G2529" i="5"/>
  <c r="M2529" i="5"/>
  <c r="O2529" i="5"/>
  <c r="J2529" i="5"/>
  <c r="L2529" i="5"/>
  <c r="P2529" i="5"/>
  <c r="N2529" i="5"/>
  <c r="B1834" i="4"/>
  <c r="C1833" i="4"/>
  <c r="B2042" i="5" l="1"/>
  <c r="C2041" i="5"/>
  <c r="B2531" i="5"/>
  <c r="B1835" i="4"/>
  <c r="C1834" i="4"/>
  <c r="C2042" i="5" l="1"/>
  <c r="B2043" i="5"/>
  <c r="B2532" i="5"/>
  <c r="M2531" i="5"/>
  <c r="Q2531" i="5"/>
  <c r="G2531" i="5"/>
  <c r="E2531" i="5"/>
  <c r="O2531" i="5"/>
  <c r="H2531" i="5"/>
  <c r="L2531" i="5"/>
  <c r="K2531" i="5"/>
  <c r="N2531" i="5"/>
  <c r="F2531" i="5"/>
  <c r="P2531" i="5"/>
  <c r="J2531" i="5"/>
  <c r="I2531" i="5"/>
  <c r="B1836" i="4"/>
  <c r="C1835" i="4"/>
  <c r="B2044" i="5" l="1"/>
  <c r="C2043" i="5"/>
  <c r="B2533" i="5"/>
  <c r="F2532" i="5"/>
  <c r="P2532" i="5"/>
  <c r="I2532" i="5"/>
  <c r="E2532" i="5"/>
  <c r="N2532" i="5"/>
  <c r="L2532" i="5"/>
  <c r="H2532" i="5"/>
  <c r="J2532" i="5"/>
  <c r="G2532" i="5"/>
  <c r="M2532" i="5"/>
  <c r="K2532" i="5"/>
  <c r="O2532" i="5"/>
  <c r="Q2532" i="5"/>
  <c r="B1837" i="4"/>
  <c r="C1836" i="4"/>
  <c r="B2045" i="5" l="1"/>
  <c r="C2044" i="5"/>
  <c r="B2534" i="5"/>
  <c r="G2533" i="5"/>
  <c r="M2533" i="5"/>
  <c r="I2533" i="5"/>
  <c r="P2533" i="5"/>
  <c r="F2533" i="5"/>
  <c r="H2533" i="5"/>
  <c r="K2533" i="5"/>
  <c r="N2533" i="5"/>
  <c r="L2533" i="5"/>
  <c r="J2533" i="5"/>
  <c r="Q2533" i="5"/>
  <c r="O2533" i="5"/>
  <c r="E2533" i="5"/>
  <c r="B1838" i="4"/>
  <c r="C1837" i="4"/>
  <c r="B2046" i="5" l="1"/>
  <c r="C2045" i="5"/>
  <c r="B2535" i="5"/>
  <c r="B1839" i="4"/>
  <c r="C1838" i="4"/>
  <c r="B2047" i="5" l="1"/>
  <c r="C2046" i="5"/>
  <c r="B2536" i="5"/>
  <c r="B1840" i="4"/>
  <c r="C1839" i="4"/>
  <c r="C2047" i="5" l="1"/>
  <c r="B2048" i="5"/>
  <c r="B2537" i="5"/>
  <c r="B1841" i="4"/>
  <c r="C1840" i="4"/>
  <c r="C2048" i="5" l="1"/>
  <c r="B2049" i="5"/>
  <c r="B2538" i="5"/>
  <c r="B1842" i="4"/>
  <c r="C1841" i="4"/>
  <c r="B2050" i="5" l="1"/>
  <c r="C2049" i="5"/>
  <c r="O2538" i="5"/>
  <c r="E2538" i="5"/>
  <c r="I2538" i="5"/>
  <c r="P2538" i="5"/>
  <c r="K2538" i="5"/>
  <c r="M2538" i="5"/>
  <c r="Q2538" i="5"/>
  <c r="J2538" i="5"/>
  <c r="L2538" i="5"/>
  <c r="H2538" i="5"/>
  <c r="N2538" i="5"/>
  <c r="F2538" i="5"/>
  <c r="G2538" i="5"/>
  <c r="B1843" i="4"/>
  <c r="C1842" i="4"/>
  <c r="C2050" i="5" l="1"/>
  <c r="B2051" i="5"/>
  <c r="B1844" i="4"/>
  <c r="C1843" i="4"/>
  <c r="C2051" i="5" l="1"/>
  <c r="B2052" i="5"/>
  <c r="B1845" i="4"/>
  <c r="C1844" i="4"/>
  <c r="C2052" i="5" l="1"/>
  <c r="B2053" i="5"/>
  <c r="B1846" i="4"/>
  <c r="C1845" i="4"/>
  <c r="C2053" i="5" l="1"/>
  <c r="B2054" i="5"/>
  <c r="B1847" i="4"/>
  <c r="C1846" i="4"/>
  <c r="C2054" i="5" l="1"/>
  <c r="B2055" i="5"/>
  <c r="B1848" i="4"/>
  <c r="C1847" i="4"/>
  <c r="B2056" i="5" l="1"/>
  <c r="C2055" i="5"/>
  <c r="B1849" i="4"/>
  <c r="C1848" i="4"/>
  <c r="C2056" i="5" l="1"/>
  <c r="B2057" i="5"/>
  <c r="B1850" i="4"/>
  <c r="C1849" i="4"/>
  <c r="C2057" i="5" l="1"/>
  <c r="B2058" i="5"/>
  <c r="B1851" i="4"/>
  <c r="C1850" i="4"/>
  <c r="B2059" i="5" l="1"/>
  <c r="C2058" i="5"/>
  <c r="B1852" i="4"/>
  <c r="C1851" i="4"/>
  <c r="B2060" i="5" l="1"/>
  <c r="C2059" i="5"/>
  <c r="B1853" i="4"/>
  <c r="C1852" i="4"/>
  <c r="C2060" i="5" l="1"/>
  <c r="B2061" i="5"/>
  <c r="B1854" i="4"/>
  <c r="C1853" i="4"/>
  <c r="B2062" i="5" l="1"/>
  <c r="C2061" i="5"/>
  <c r="B1855" i="4"/>
  <c r="C1854" i="4"/>
  <c r="C2062" i="5" l="1"/>
  <c r="B2063" i="5"/>
  <c r="B1856" i="4"/>
  <c r="C1855" i="4"/>
  <c r="B2064" i="5" l="1"/>
  <c r="C2063" i="5"/>
  <c r="B1857" i="4"/>
  <c r="C1856" i="4"/>
  <c r="B2065" i="5" l="1"/>
  <c r="C2064" i="5"/>
  <c r="B1858" i="4"/>
  <c r="C1857" i="4"/>
  <c r="C2065" i="5" l="1"/>
  <c r="B2066" i="5"/>
  <c r="B1859" i="4"/>
  <c r="C1858" i="4"/>
  <c r="B2067" i="5" l="1"/>
  <c r="C2066" i="5"/>
  <c r="B1860" i="4"/>
  <c r="C1859" i="4"/>
  <c r="B2068" i="5" l="1"/>
  <c r="C2067" i="5"/>
  <c r="B1861" i="4"/>
  <c r="C1860" i="4"/>
  <c r="B2069" i="5" l="1"/>
  <c r="C2068" i="5"/>
  <c r="B1862" i="4"/>
  <c r="C1861" i="4"/>
  <c r="C2069" i="5" l="1"/>
  <c r="B2070" i="5"/>
  <c r="B1863" i="4"/>
  <c r="C1862" i="4"/>
  <c r="C2070" i="5" l="1"/>
  <c r="B2071" i="5"/>
  <c r="B1864" i="4"/>
  <c r="C1863" i="4"/>
  <c r="B2072" i="5" l="1"/>
  <c r="C2071" i="5"/>
  <c r="B1865" i="4"/>
  <c r="C1864" i="4"/>
  <c r="B2073" i="5" l="1"/>
  <c r="C2072" i="5"/>
  <c r="B1866" i="4"/>
  <c r="C1865" i="4"/>
  <c r="B2074" i="5" l="1"/>
  <c r="C2073" i="5"/>
  <c r="B1867" i="4"/>
  <c r="C1866" i="4"/>
  <c r="B2075" i="5" l="1"/>
  <c r="C2074" i="5"/>
  <c r="B1868" i="4"/>
  <c r="C1867" i="4"/>
  <c r="B2076" i="5" l="1"/>
  <c r="C2075" i="5"/>
  <c r="B1869" i="4"/>
  <c r="C1868" i="4"/>
  <c r="C2076" i="5" l="1"/>
  <c r="B2077" i="5"/>
  <c r="B1870" i="4"/>
  <c r="C1869" i="4"/>
  <c r="C2077" i="5" l="1"/>
  <c r="B2078" i="5"/>
  <c r="B1871" i="4"/>
  <c r="C1870" i="4"/>
  <c r="B2079" i="5" l="1"/>
  <c r="C2078" i="5"/>
  <c r="B1872" i="4"/>
  <c r="C1871" i="4"/>
  <c r="C2079" i="5" l="1"/>
  <c r="B2080" i="5"/>
  <c r="B1873" i="4"/>
  <c r="C1872" i="4"/>
  <c r="C2080" i="5" l="1"/>
  <c r="B2081" i="5"/>
  <c r="B1874" i="4"/>
  <c r="C1873" i="4"/>
  <c r="C2081" i="5" l="1"/>
  <c r="B2082" i="5"/>
  <c r="B1875" i="4"/>
  <c r="C1874" i="4"/>
  <c r="C2082" i="5" l="1"/>
  <c r="B2083" i="5"/>
  <c r="B1876" i="4"/>
  <c r="C1875" i="4"/>
  <c r="B2084" i="5" l="1"/>
  <c r="C2083" i="5"/>
  <c r="B1877" i="4"/>
  <c r="C1876" i="4"/>
  <c r="B2085" i="5" l="1"/>
  <c r="C2084" i="5"/>
  <c r="B1878" i="4"/>
  <c r="C1877" i="4"/>
  <c r="B2086" i="5" l="1"/>
  <c r="C2085" i="5"/>
  <c r="B1879" i="4"/>
  <c r="C1878" i="4"/>
  <c r="C2086" i="5" l="1"/>
  <c r="B2087" i="5"/>
  <c r="B1880" i="4"/>
  <c r="C1879" i="4"/>
  <c r="C2087" i="5" l="1"/>
  <c r="B2088" i="5"/>
  <c r="B1881" i="4"/>
  <c r="C1880" i="4"/>
  <c r="B2089" i="5" l="1"/>
  <c r="C2088" i="5"/>
  <c r="B1882" i="4"/>
  <c r="C1881" i="4"/>
  <c r="B2090" i="5" l="1"/>
  <c r="C2089" i="5"/>
  <c r="B1883" i="4"/>
  <c r="C1882" i="4"/>
  <c r="B2091" i="5" l="1"/>
  <c r="C2090" i="5"/>
  <c r="B1884" i="4"/>
  <c r="C1883" i="4"/>
  <c r="B2092" i="5" l="1"/>
  <c r="C2091" i="5"/>
  <c r="B1885" i="4"/>
  <c r="C1884" i="4"/>
  <c r="B2093" i="5" l="1"/>
  <c r="C2092" i="5"/>
  <c r="B1886" i="4"/>
  <c r="C1885" i="4"/>
  <c r="B2094" i="5" l="1"/>
  <c r="C2093" i="5"/>
  <c r="B1887" i="4"/>
  <c r="C1886" i="4"/>
  <c r="C2094" i="5" l="1"/>
  <c r="B2095" i="5"/>
  <c r="B1888" i="4"/>
  <c r="C1887" i="4"/>
  <c r="B2096" i="5" l="1"/>
  <c r="C2095" i="5"/>
  <c r="B1889" i="4"/>
  <c r="C1888" i="4"/>
  <c r="C2096" i="5" l="1"/>
  <c r="B2097" i="5"/>
  <c r="B1890" i="4"/>
  <c r="C1889" i="4"/>
  <c r="B2098" i="5" l="1"/>
  <c r="C2097" i="5"/>
  <c r="B1891" i="4"/>
  <c r="C1890" i="4"/>
  <c r="C2098" i="5" l="1"/>
  <c r="B2099" i="5"/>
  <c r="B1892" i="4"/>
  <c r="C1891" i="4"/>
  <c r="B2100" i="5" l="1"/>
  <c r="C2099" i="5"/>
  <c r="B1893" i="4"/>
  <c r="C1892" i="4"/>
  <c r="C2100" i="5" l="1"/>
  <c r="B2101" i="5"/>
  <c r="B1894" i="4"/>
  <c r="C1893" i="4"/>
  <c r="B2102" i="5" l="1"/>
  <c r="C2101" i="5"/>
  <c r="B1895" i="4"/>
  <c r="C1894" i="4"/>
  <c r="C2102" i="5" l="1"/>
  <c r="B2103" i="5"/>
  <c r="B1896" i="4"/>
  <c r="C1895" i="4"/>
  <c r="C2103" i="5" l="1"/>
  <c r="B2104" i="5"/>
  <c r="B1897" i="4"/>
  <c r="C1896" i="4"/>
  <c r="C2104" i="5" l="1"/>
  <c r="B2105" i="5"/>
  <c r="B1898" i="4"/>
  <c r="C1897" i="4"/>
  <c r="C2105" i="5" l="1"/>
  <c r="B2106" i="5"/>
  <c r="B1899" i="4"/>
  <c r="C1898" i="4"/>
  <c r="B2107" i="5" l="1"/>
  <c r="C2106" i="5"/>
  <c r="B1900" i="4"/>
  <c r="C1899" i="4"/>
  <c r="B2108" i="5" l="1"/>
  <c r="C2107" i="5"/>
  <c r="B1901" i="4"/>
  <c r="C1900" i="4"/>
  <c r="B2109" i="5" l="1"/>
  <c r="C2108" i="5"/>
  <c r="B1902" i="4"/>
  <c r="C1901" i="4"/>
  <c r="B2110" i="5" l="1"/>
  <c r="C2109" i="5"/>
  <c r="B1903" i="4"/>
  <c r="C1902" i="4"/>
  <c r="B2111" i="5" l="1"/>
  <c r="C2110" i="5"/>
  <c r="B1904" i="4"/>
  <c r="C1903" i="4"/>
  <c r="B2112" i="5" l="1"/>
  <c r="C2111" i="5"/>
  <c r="B1905" i="4"/>
  <c r="C1904" i="4"/>
  <c r="C2112" i="5" l="1"/>
  <c r="B2113" i="5"/>
  <c r="B1906" i="4"/>
  <c r="C1905" i="4"/>
  <c r="B2114" i="5" l="1"/>
  <c r="C2113" i="5"/>
  <c r="B1907" i="4"/>
  <c r="C1906" i="4"/>
  <c r="B2115" i="5" l="1"/>
  <c r="C2114" i="5"/>
  <c r="B1908" i="4"/>
  <c r="C1907" i="4"/>
  <c r="B2116" i="5" l="1"/>
  <c r="C2115" i="5"/>
  <c r="B1909" i="4"/>
  <c r="C1908" i="4"/>
  <c r="B2117" i="5" l="1"/>
  <c r="C2116" i="5"/>
  <c r="B1910" i="4"/>
  <c r="C1909" i="4"/>
  <c r="B2118" i="5" l="1"/>
  <c r="C2117" i="5"/>
  <c r="B1911" i="4"/>
  <c r="C1910" i="4"/>
  <c r="B2119" i="5" l="1"/>
  <c r="C2118" i="5"/>
  <c r="B1912" i="4"/>
  <c r="C1911" i="4"/>
  <c r="B2120" i="5" l="1"/>
  <c r="C2119" i="5"/>
  <c r="B1913" i="4"/>
  <c r="C1912" i="4"/>
  <c r="B2121" i="5" l="1"/>
  <c r="C2120" i="5"/>
  <c r="B1914" i="4"/>
  <c r="C1913" i="4"/>
  <c r="B2122" i="5" l="1"/>
  <c r="C2121" i="5"/>
  <c r="B1915" i="4"/>
  <c r="C1914" i="4"/>
  <c r="C2122" i="5" l="1"/>
  <c r="B2123" i="5"/>
  <c r="B1916" i="4"/>
  <c r="C1915" i="4"/>
  <c r="C2123" i="5" l="1"/>
  <c r="B2124" i="5"/>
  <c r="B1917" i="4"/>
  <c r="C1916" i="4"/>
  <c r="B2125" i="5" l="1"/>
  <c r="C2124" i="5"/>
  <c r="B1918" i="4"/>
  <c r="C1917" i="4"/>
  <c r="B2126" i="5" l="1"/>
  <c r="C2125" i="5"/>
  <c r="B1919" i="4"/>
  <c r="C1918" i="4"/>
  <c r="C2126" i="5" l="1"/>
  <c r="B2127" i="5"/>
  <c r="B1920" i="4"/>
  <c r="C1919" i="4"/>
  <c r="C2127" i="5" l="1"/>
  <c r="B2128" i="5"/>
  <c r="B1921" i="4"/>
  <c r="C1920" i="4"/>
  <c r="B2129" i="5" l="1"/>
  <c r="C2128" i="5"/>
  <c r="B1922" i="4"/>
  <c r="C1921" i="4"/>
  <c r="B2130" i="5" l="1"/>
  <c r="C2129" i="5"/>
  <c r="B1923" i="4"/>
  <c r="C1922" i="4"/>
  <c r="C2130" i="5" l="1"/>
  <c r="B2131" i="5"/>
  <c r="B1924" i="4"/>
  <c r="C1923" i="4"/>
  <c r="B2132" i="5" l="1"/>
  <c r="C2131" i="5"/>
  <c r="B1925" i="4"/>
  <c r="C1924" i="4"/>
  <c r="C2132" i="5" l="1"/>
  <c r="B2133" i="5"/>
  <c r="B1926" i="4"/>
  <c r="C1925" i="4"/>
  <c r="B2134" i="5" l="1"/>
  <c r="C2133" i="5"/>
  <c r="B1927" i="4"/>
  <c r="C1926" i="4"/>
  <c r="C2134" i="5" l="1"/>
  <c r="B2135" i="5"/>
  <c r="B1928" i="4"/>
  <c r="C1927" i="4"/>
  <c r="B2136" i="5" l="1"/>
  <c r="C2135" i="5"/>
  <c r="B1929" i="4"/>
  <c r="C1928" i="4"/>
  <c r="B2137" i="5" l="1"/>
  <c r="C2136" i="5"/>
  <c r="B1930" i="4"/>
  <c r="C1929" i="4"/>
  <c r="B2138" i="5" l="1"/>
  <c r="C2137" i="5"/>
  <c r="B1931" i="4"/>
  <c r="C1930" i="4"/>
  <c r="C2138" i="5" l="1"/>
  <c r="B2139" i="5"/>
  <c r="B1932" i="4"/>
  <c r="C1931" i="4"/>
  <c r="C2139" i="5" l="1"/>
  <c r="B2140" i="5"/>
  <c r="B1933" i="4"/>
  <c r="C1932" i="4"/>
  <c r="B2141" i="5" l="1"/>
  <c r="C2140" i="5"/>
  <c r="B1934" i="4"/>
  <c r="C1933" i="4"/>
  <c r="B2142" i="5" l="1"/>
  <c r="C2141" i="5"/>
  <c r="B1935" i="4"/>
  <c r="C1934" i="4"/>
  <c r="C2142" i="5" l="1"/>
  <c r="B2143" i="5"/>
  <c r="B1936" i="4"/>
  <c r="C1935" i="4"/>
  <c r="B2144" i="5" l="1"/>
  <c r="C2143" i="5"/>
  <c r="B1937" i="4"/>
  <c r="C1936" i="4"/>
  <c r="B2145" i="5" l="1"/>
  <c r="C2144" i="5"/>
  <c r="B1938" i="4"/>
  <c r="C1937" i="4"/>
  <c r="C2145" i="5" l="1"/>
  <c r="B2146" i="5"/>
  <c r="B1939" i="4"/>
  <c r="C1938" i="4"/>
  <c r="C2146" i="5" l="1"/>
  <c r="B2147" i="5"/>
  <c r="B1940" i="4"/>
  <c r="C1939" i="4"/>
  <c r="C2147" i="5" l="1"/>
  <c r="B2148" i="5"/>
  <c r="B1941" i="4"/>
  <c r="C1940" i="4"/>
  <c r="C2148" i="5" l="1"/>
  <c r="B2149" i="5"/>
  <c r="B1942" i="4"/>
  <c r="C1941" i="4"/>
  <c r="C2149" i="5" l="1"/>
  <c r="B2150" i="5"/>
  <c r="B1943" i="4"/>
  <c r="C1942" i="4"/>
  <c r="C2150" i="5" l="1"/>
  <c r="B2151" i="5"/>
  <c r="B1944" i="4"/>
  <c r="C1943" i="4"/>
  <c r="C2151" i="5" l="1"/>
  <c r="B2152" i="5"/>
  <c r="B1945" i="4"/>
  <c r="C1944" i="4"/>
  <c r="B2153" i="5" l="1"/>
  <c r="C2152" i="5"/>
  <c r="B1946" i="4"/>
  <c r="C1945" i="4"/>
  <c r="C2153" i="5" l="1"/>
  <c r="B2154" i="5"/>
  <c r="B1947" i="4"/>
  <c r="C1946" i="4"/>
  <c r="B2155" i="5" l="1"/>
  <c r="C2154" i="5"/>
  <c r="B1948" i="4"/>
  <c r="C1947" i="4"/>
  <c r="B2156" i="5" l="1"/>
  <c r="C2155" i="5"/>
  <c r="B1949" i="4"/>
  <c r="C1948" i="4"/>
  <c r="C2156" i="5" l="1"/>
  <c r="B2157" i="5"/>
  <c r="B1950" i="4"/>
  <c r="C1949" i="4"/>
  <c r="B2158" i="5" l="1"/>
  <c r="C2157" i="5"/>
  <c r="B1951" i="4"/>
  <c r="C1950" i="4"/>
  <c r="C2158" i="5" l="1"/>
  <c r="B2159" i="5"/>
  <c r="B1952" i="4"/>
  <c r="C1951" i="4"/>
  <c r="B2160" i="5" l="1"/>
  <c r="C2159" i="5"/>
  <c r="B1953" i="4"/>
  <c r="C1952" i="4"/>
  <c r="C2160" i="5" l="1"/>
  <c r="B2161" i="5"/>
  <c r="B1954" i="4"/>
  <c r="C1953" i="4"/>
  <c r="C2161" i="5" l="1"/>
  <c r="B2162" i="5"/>
  <c r="B1955" i="4"/>
  <c r="C1954" i="4"/>
  <c r="C2162" i="5" l="1"/>
  <c r="B2163" i="5"/>
  <c r="B1956" i="4"/>
  <c r="C1955" i="4"/>
  <c r="B2164" i="5" l="1"/>
  <c r="C2163" i="5"/>
  <c r="B1957" i="4"/>
  <c r="C1956" i="4"/>
  <c r="C2164" i="5" l="1"/>
  <c r="B2165" i="5"/>
  <c r="B1958" i="4"/>
  <c r="C1957" i="4"/>
  <c r="B2166" i="5" l="1"/>
  <c r="C2165" i="5"/>
  <c r="B1959" i="4"/>
  <c r="C1958" i="4"/>
  <c r="C2166" i="5" l="1"/>
  <c r="B2167" i="5"/>
  <c r="B1960" i="4"/>
  <c r="C1959" i="4"/>
  <c r="C2167" i="5" l="1"/>
  <c r="B2168" i="5"/>
  <c r="B1961" i="4"/>
  <c r="C1960" i="4"/>
  <c r="C2168" i="5" l="1"/>
  <c r="B2169" i="5"/>
  <c r="B1962" i="4"/>
  <c r="C1961" i="4"/>
  <c r="C2169" i="5" l="1"/>
  <c r="B2170" i="5"/>
  <c r="B1963" i="4"/>
  <c r="C1962" i="4"/>
  <c r="C2170" i="5" l="1"/>
  <c r="B2171" i="5"/>
  <c r="B1964" i="4"/>
  <c r="C1963" i="4"/>
  <c r="C2171" i="5" l="1"/>
  <c r="B2172" i="5"/>
  <c r="B1965" i="4"/>
  <c r="C1964" i="4"/>
  <c r="C2172" i="5" l="1"/>
  <c r="B2173" i="5"/>
  <c r="B1966" i="4"/>
  <c r="C1965" i="4"/>
  <c r="B2174" i="5" l="1"/>
  <c r="C2173" i="5"/>
  <c r="B1967" i="4"/>
  <c r="C1966" i="4"/>
  <c r="B2175" i="5" l="1"/>
  <c r="C2174" i="5"/>
  <c r="B1968" i="4"/>
  <c r="C1967" i="4"/>
  <c r="B2176" i="5" l="1"/>
  <c r="C2175" i="5"/>
  <c r="B1969" i="4"/>
  <c r="C1968" i="4"/>
  <c r="B2177" i="5" l="1"/>
  <c r="C2176" i="5"/>
  <c r="B1970" i="4"/>
  <c r="C1969" i="4"/>
  <c r="C2177" i="5" l="1"/>
  <c r="B2178" i="5"/>
  <c r="B1971" i="4"/>
  <c r="C1970" i="4"/>
  <c r="C2178" i="5" l="1"/>
  <c r="B2179" i="5"/>
  <c r="B1972" i="4"/>
  <c r="C1971" i="4"/>
  <c r="C2179" i="5" l="1"/>
  <c r="B2180" i="5"/>
  <c r="B1973" i="4"/>
  <c r="C1972" i="4"/>
  <c r="B2181" i="5" l="1"/>
  <c r="C2180" i="5"/>
  <c r="B1974" i="4"/>
  <c r="C1973" i="4"/>
  <c r="B2182" i="5" l="1"/>
  <c r="C2181" i="5"/>
  <c r="B1975" i="4"/>
  <c r="C1974" i="4"/>
  <c r="C2182" i="5" l="1"/>
  <c r="B2183" i="5"/>
  <c r="B1976" i="4"/>
  <c r="C1975" i="4"/>
  <c r="B2184" i="5" l="1"/>
  <c r="C2183" i="5"/>
  <c r="B1977" i="4"/>
  <c r="C1976" i="4"/>
  <c r="B2185" i="5" l="1"/>
  <c r="C2184" i="5"/>
  <c r="B1978" i="4"/>
  <c r="C1977" i="4"/>
  <c r="B2186" i="5" l="1"/>
  <c r="C2185" i="5"/>
  <c r="B1979" i="4"/>
  <c r="C1978" i="4"/>
  <c r="B2187" i="5" l="1"/>
  <c r="C2186" i="5"/>
  <c r="B1980" i="4"/>
  <c r="C1979" i="4"/>
  <c r="C2187" i="5" l="1"/>
  <c r="B2188" i="5"/>
  <c r="B1981" i="4"/>
  <c r="C1980" i="4"/>
  <c r="C2188" i="5" l="1"/>
  <c r="B2189" i="5"/>
  <c r="B1982" i="4"/>
  <c r="C1981" i="4"/>
  <c r="B2190" i="5" l="1"/>
  <c r="C2189" i="5"/>
  <c r="B1983" i="4"/>
  <c r="C1982" i="4"/>
  <c r="C2190" i="5" l="1"/>
  <c r="B2191" i="5"/>
  <c r="B1984" i="4"/>
  <c r="C1983" i="4"/>
  <c r="C2191" i="5" l="1"/>
  <c r="B2192" i="5"/>
  <c r="B1985" i="4"/>
  <c r="C1984" i="4"/>
  <c r="B2193" i="5" l="1"/>
  <c r="C2192" i="5"/>
  <c r="B1986" i="4"/>
  <c r="C1985" i="4"/>
  <c r="C2193" i="5" l="1"/>
  <c r="B2194" i="5"/>
  <c r="B1987" i="4"/>
  <c r="C1986" i="4"/>
  <c r="B2195" i="5" l="1"/>
  <c r="C2194" i="5"/>
  <c r="B1988" i="4"/>
  <c r="C1987" i="4"/>
  <c r="C2195" i="5" l="1"/>
  <c r="B2196" i="5"/>
  <c r="B1989" i="4"/>
  <c r="C1988" i="4"/>
  <c r="B2197" i="5" l="1"/>
  <c r="C2196" i="5"/>
  <c r="B1990" i="4"/>
  <c r="C1989" i="4"/>
  <c r="B2198" i="5" l="1"/>
  <c r="C2197" i="5"/>
  <c r="B1991" i="4"/>
  <c r="C1990" i="4"/>
  <c r="C2198" i="5" l="1"/>
  <c r="B2199" i="5"/>
  <c r="B1992" i="4"/>
  <c r="C1991" i="4"/>
  <c r="B2200" i="5" l="1"/>
  <c r="C2199" i="5"/>
  <c r="B1993" i="4"/>
  <c r="C1992" i="4"/>
  <c r="O2257" i="5"/>
  <c r="E2535" i="5"/>
  <c r="I2517" i="5"/>
  <c r="L2508" i="5"/>
  <c r="E2517" i="5"/>
  <c r="J2526" i="5"/>
  <c r="H2517" i="5"/>
  <c r="K2499" i="5"/>
  <c r="G2499" i="5"/>
  <c r="G2535" i="5"/>
  <c r="K2508" i="5"/>
  <c r="G2490" i="5"/>
  <c r="I2499" i="5"/>
  <c r="H2526" i="5"/>
  <c r="Q2499" i="5"/>
  <c r="N2535" i="5"/>
  <c r="I2526" i="5"/>
  <c r="P2517" i="5"/>
  <c r="N2517" i="5"/>
  <c r="L2526" i="5"/>
  <c r="Q2535" i="5"/>
  <c r="O2508" i="5"/>
  <c r="M2535" i="5"/>
  <c r="L2535" i="5"/>
  <c r="N2490" i="5"/>
  <c r="P2535" i="5"/>
  <c r="K2526" i="5"/>
  <c r="J2508" i="5"/>
  <c r="G2517" i="5"/>
  <c r="O2535" i="5"/>
  <c r="F2535" i="5"/>
  <c r="O2517" i="5"/>
  <c r="E2508" i="5"/>
  <c r="M2508" i="5"/>
  <c r="Q2517" i="5"/>
  <c r="K2535" i="5"/>
  <c r="M2526" i="5"/>
  <c r="H2499" i="5"/>
  <c r="Q2490" i="5"/>
  <c r="F2517" i="5"/>
  <c r="M2302" i="5"/>
  <c r="P2239" i="5"/>
  <c r="I2437" i="5"/>
  <c r="N2401" i="5"/>
  <c r="M2275" i="5"/>
  <c r="O2536" i="5"/>
  <c r="E2284" i="5"/>
  <c r="L2392" i="5"/>
  <c r="P2230" i="5"/>
  <c r="F2257" i="5"/>
  <c r="G2374" i="5"/>
  <c r="I2491" i="5"/>
  <c r="Q2239" i="5"/>
  <c r="G2419" i="5"/>
  <c r="L2491" i="5"/>
  <c r="L2374" i="5"/>
  <c r="P2473" i="5"/>
  <c r="Q2455" i="5"/>
  <c r="F2464" i="5"/>
  <c r="G2284" i="5"/>
  <c r="G2536" i="5"/>
  <c r="I2293" i="5"/>
  <c r="E2482" i="5"/>
  <c r="I2518" i="5"/>
  <c r="G2302" i="5"/>
  <c r="E2320" i="5"/>
  <c r="G2500" i="5"/>
  <c r="P2410" i="5"/>
  <c r="M2482" i="5"/>
  <c r="N2248" i="5"/>
  <c r="N2392" i="5"/>
  <c r="I2509" i="5"/>
  <c r="M2365" i="5"/>
  <c r="F2500" i="5"/>
  <c r="J2365" i="5"/>
  <c r="G2266" i="5"/>
  <c r="H2311" i="5"/>
  <c r="E2428" i="5"/>
  <c r="H2374" i="5"/>
  <c r="G2356" i="5"/>
  <c r="E2374" i="5"/>
  <c r="N2356" i="5"/>
  <c r="I2266" i="5"/>
  <c r="M2419" i="5"/>
  <c r="K2401" i="5"/>
  <c r="M2293" i="5"/>
  <c r="Q2491" i="5"/>
  <c r="Q2509" i="5"/>
  <c r="J2284" i="5"/>
  <c r="K2428" i="5"/>
  <c r="O2446" i="5"/>
  <c r="H2383" i="5"/>
  <c r="E2221" i="5"/>
  <c r="K2455" i="5"/>
  <c r="J2383" i="5"/>
  <c r="I2311" i="5"/>
  <c r="Q2473" i="5"/>
  <c r="E2311" i="5"/>
  <c r="J2536" i="5"/>
  <c r="M2527" i="5"/>
  <c r="P2320" i="5"/>
  <c r="Q2536" i="5"/>
  <c r="K2284" i="5"/>
  <c r="H2527" i="5"/>
  <c r="E2473" i="5"/>
  <c r="I2419" i="5"/>
  <c r="F2356" i="5"/>
  <c r="I2500" i="5"/>
  <c r="F2347" i="5"/>
  <c r="Q2392" i="5"/>
  <c r="O2455" i="5"/>
  <c r="Q2374" i="5"/>
  <c r="Q2311" i="5"/>
  <c r="N2365" i="5"/>
  <c r="O2374" i="5"/>
  <c r="O2266" i="5"/>
  <c r="K2536" i="5"/>
  <c r="P2374" i="5"/>
  <c r="H2365" i="5"/>
  <c r="M2266" i="5"/>
  <c r="K2446" i="5"/>
  <c r="M2401" i="5"/>
  <c r="I2338" i="5"/>
  <c r="M2473" i="5"/>
  <c r="J2500" i="5"/>
  <c r="L2527" i="5"/>
  <c r="I2356" i="5"/>
  <c r="H2320" i="5"/>
  <c r="L2428" i="5"/>
  <c r="L2356" i="5"/>
  <c r="L2329" i="5"/>
  <c r="P2401" i="5"/>
  <c r="L2419" i="5"/>
  <c r="L2509" i="5"/>
  <c r="M2284" i="5"/>
  <c r="K2437" i="5"/>
  <c r="F2266" i="5"/>
  <c r="M2239" i="5"/>
  <c r="I2455" i="5"/>
  <c r="P2455" i="5"/>
  <c r="O2302" i="5"/>
  <c r="J2275" i="5"/>
  <c r="K2392" i="5"/>
  <c r="H2221" i="5"/>
  <c r="N2509" i="5"/>
  <c r="H2356" i="5"/>
  <c r="M2329" i="5"/>
  <c r="H2329" i="5"/>
  <c r="G2338" i="5"/>
  <c r="O2338" i="5"/>
  <c r="P2257" i="5"/>
  <c r="F2509" i="5"/>
  <c r="J2338" i="5"/>
  <c r="K2320" i="5"/>
  <c r="L2455" i="5"/>
  <c r="Q2446" i="5"/>
  <c r="E2239" i="5"/>
  <c r="F2230" i="5"/>
  <c r="N2230" i="5"/>
  <c r="H2347" i="5"/>
  <c r="K2383" i="5"/>
  <c r="K2482" i="5"/>
  <c r="G2293" i="5"/>
  <c r="N2338" i="5"/>
  <c r="M2500" i="5"/>
  <c r="O2329" i="5"/>
  <c r="L2446" i="5"/>
  <c r="L2338" i="5"/>
  <c r="H2428" i="5"/>
  <c r="N2446" i="5"/>
  <c r="N2239" i="5"/>
  <c r="K2302" i="5"/>
  <c r="H2239" i="5"/>
  <c r="I2536" i="5"/>
  <c r="L2401" i="5"/>
  <c r="K2293" i="5"/>
  <c r="O2221" i="5"/>
  <c r="H2446" i="5"/>
  <c r="P2284" i="5"/>
  <c r="Q2275" i="5"/>
  <c r="I2320" i="5"/>
  <c r="P2356" i="5"/>
  <c r="E2446" i="5"/>
  <c r="I2257" i="5"/>
  <c r="Q2482" i="5"/>
  <c r="L2536" i="5"/>
  <c r="L2464" i="5"/>
  <c r="J2527" i="5"/>
  <c r="J2239" i="5"/>
  <c r="F2383" i="5"/>
  <c r="P2428" i="5"/>
  <c r="M2437" i="5"/>
  <c r="O2419" i="5"/>
  <c r="K2239" i="5"/>
  <c r="F2410" i="5"/>
  <c r="L2221" i="5"/>
  <c r="E2248" i="5"/>
  <c r="H2437" i="5"/>
  <c r="J2392" i="5"/>
  <c r="O2284" i="5"/>
  <c r="N2491" i="5"/>
  <c r="G2275" i="5"/>
  <c r="N2473" i="5"/>
  <c r="N2257" i="5"/>
  <c r="E2518" i="5"/>
  <c r="E2455" i="5"/>
  <c r="E2329" i="5"/>
  <c r="K2311" i="5"/>
  <c r="H2500" i="5"/>
  <c r="G2410" i="5"/>
  <c r="M2509" i="5"/>
  <c r="Q2410" i="5"/>
  <c r="G2392" i="5"/>
  <c r="J2374" i="5"/>
  <c r="M2455" i="5"/>
  <c r="F2392" i="5"/>
  <c r="J2455" i="5"/>
  <c r="O2356" i="5"/>
  <c r="I2347" i="5"/>
  <c r="I2482" i="5"/>
  <c r="P2500" i="5"/>
  <c r="O2230" i="5"/>
  <c r="L2257" i="5"/>
  <c r="J2311" i="5"/>
  <c r="H2302" i="5"/>
  <c r="L2347" i="5"/>
  <c r="G2401" i="5"/>
  <c r="H2482" i="5"/>
  <c r="N2518" i="5"/>
  <c r="F2518" i="5"/>
  <c r="H2509" i="5"/>
  <c r="K2419" i="5"/>
  <c r="I2230" i="5"/>
  <c r="L2437" i="5"/>
  <c r="K2365" i="5"/>
  <c r="H2284" i="5"/>
  <c r="K2500" i="5"/>
  <c r="O2293" i="5"/>
  <c r="F2437" i="5"/>
  <c r="M2518" i="5"/>
  <c r="F2401" i="5"/>
  <c r="H2392" i="5"/>
  <c r="F2329" i="5"/>
  <c r="O2320" i="5"/>
  <c r="M2230" i="5"/>
  <c r="G2239" i="5"/>
  <c r="K2257" i="5"/>
  <c r="Q2419" i="5"/>
  <c r="H2401" i="5"/>
  <c r="F2491" i="5"/>
  <c r="G2473" i="5"/>
  <c r="E2419" i="5"/>
  <c r="E2347" i="5"/>
  <c r="K2329" i="5"/>
  <c r="K2230" i="5"/>
  <c r="L2383" i="5"/>
  <c r="H2257" i="5"/>
  <c r="L2248" i="5"/>
  <c r="E2365" i="5"/>
  <c r="Q2437" i="5"/>
  <c r="G2437" i="5"/>
  <c r="G2311" i="5"/>
  <c r="E2464" i="5"/>
  <c r="N2302" i="5"/>
  <c r="E2509" i="5"/>
  <c r="O2311" i="5"/>
  <c r="K2509" i="5"/>
  <c r="P2293" i="5"/>
  <c r="K2275" i="5"/>
  <c r="F2419" i="5"/>
  <c r="F2536" i="5"/>
  <c r="O2464" i="5"/>
  <c r="K2374" i="5"/>
  <c r="Q2284" i="5"/>
  <c r="O2392" i="5"/>
  <c r="N2284" i="5"/>
  <c r="K2491" i="5"/>
  <c r="O2239" i="5"/>
  <c r="L2518" i="5"/>
  <c r="P2365" i="5"/>
  <c r="H2338" i="5"/>
  <c r="K2347" i="5"/>
  <c r="Q2347" i="5"/>
  <c r="H2419" i="5"/>
  <c r="J2473" i="5"/>
  <c r="I2239" i="5"/>
  <c r="H2464" i="5"/>
  <c r="I2365" i="5"/>
  <c r="H2275" i="5"/>
  <c r="E2383" i="5"/>
  <c r="J2482" i="5"/>
  <c r="L2482" i="5"/>
  <c r="O2365" i="5"/>
  <c r="P2464" i="5"/>
  <c r="E2527" i="5"/>
  <c r="P2248" i="5"/>
  <c r="I2392" i="5"/>
  <c r="L2473" i="5"/>
  <c r="G2491" i="5"/>
  <c r="L2500" i="5"/>
  <c r="I2464" i="5"/>
  <c r="M2491" i="5"/>
  <c r="J2293" i="5"/>
  <c r="G2257" i="5"/>
  <c r="P2275" i="5"/>
  <c r="I2302" i="5"/>
  <c r="J2230" i="5"/>
  <c r="L2230" i="5"/>
  <c r="E2257" i="5"/>
  <c r="H2491" i="5"/>
  <c r="M2446" i="5"/>
  <c r="M2356" i="5"/>
  <c r="I2401" i="5"/>
  <c r="J2266" i="5"/>
  <c r="E2491" i="5"/>
  <c r="M2410" i="5"/>
  <c r="O2518" i="5"/>
  <c r="N2437" i="5"/>
  <c r="J2401" i="5"/>
  <c r="F2320" i="5"/>
  <c r="M2428" i="5"/>
  <c r="F2284" i="5"/>
  <c r="I2275" i="5"/>
  <c r="H2230" i="5"/>
  <c r="Q2302" i="5"/>
  <c r="L2284" i="5"/>
  <c r="Q2527" i="5"/>
  <c r="O2527" i="5"/>
  <c r="E2293" i="5"/>
  <c r="H2518" i="5"/>
  <c r="H2293" i="5"/>
  <c r="L2302" i="5"/>
  <c r="F2248" i="5"/>
  <c r="Q2248" i="5"/>
  <c r="K2266" i="5"/>
  <c r="N2266" i="5"/>
  <c r="O2383" i="5"/>
  <c r="M2383" i="5"/>
  <c r="F2428" i="5"/>
  <c r="P2491" i="5"/>
  <c r="G2428" i="5"/>
  <c r="N2500" i="5"/>
  <c r="L2320" i="5"/>
  <c r="E2401" i="5"/>
  <c r="J2464" i="5"/>
  <c r="N2329" i="5"/>
  <c r="E2302" i="5"/>
  <c r="I2221" i="5"/>
  <c r="G2509" i="5"/>
  <c r="I2383" i="5"/>
  <c r="N2320" i="5"/>
  <c r="I2248" i="5"/>
  <c r="N2527" i="5"/>
  <c r="K2473" i="5"/>
  <c r="G2320" i="5"/>
  <c r="N2419" i="5"/>
  <c r="F2239" i="5"/>
  <c r="N2455" i="5"/>
  <c r="O2491" i="5"/>
  <c r="F2374" i="5"/>
  <c r="F2338" i="5"/>
  <c r="L2293" i="5"/>
  <c r="N2428" i="5"/>
  <c r="Q2383" i="5"/>
  <c r="E2230" i="5"/>
  <c r="G2230" i="5"/>
  <c r="G2455" i="5"/>
  <c r="P2392" i="5"/>
  <c r="G2482" i="5"/>
  <c r="J2320" i="5"/>
  <c r="H2455" i="5"/>
  <c r="P2266" i="5"/>
  <c r="N2293" i="5"/>
  <c r="Q2293" i="5"/>
  <c r="N2275" i="5"/>
  <c r="N2311" i="5"/>
  <c r="Q2266" i="5"/>
  <c r="F2482" i="5"/>
  <c r="O2410" i="5"/>
  <c r="L2410" i="5"/>
  <c r="J2347" i="5"/>
  <c r="Q2338" i="5"/>
  <c r="Q2257" i="5"/>
  <c r="L2365" i="5"/>
  <c r="K2464" i="5"/>
  <c r="I2428" i="5"/>
  <c r="Q2320" i="5"/>
  <c r="L2239" i="5"/>
  <c r="H2473" i="5"/>
  <c r="M2248" i="5"/>
  <c r="J2446" i="5"/>
  <c r="O2275" i="5"/>
  <c r="I2329" i="5"/>
  <c r="K2527" i="5"/>
  <c r="Q2428" i="5"/>
  <c r="P2437" i="5"/>
  <c r="P2302" i="5"/>
  <c r="E2410" i="5"/>
  <c r="J2518" i="5"/>
  <c r="I2374" i="5"/>
  <c r="H2410" i="5"/>
  <c r="H2248" i="5"/>
  <c r="O2428" i="5"/>
  <c r="N2482" i="5"/>
  <c r="G2347" i="5"/>
  <c r="F2293" i="5"/>
  <c r="I2446" i="5"/>
  <c r="M2338" i="5"/>
  <c r="P2419" i="5"/>
  <c r="J2509" i="5"/>
  <c r="P2329" i="5"/>
  <c r="K2410" i="5"/>
  <c r="M2347" i="5"/>
  <c r="J2428" i="5"/>
  <c r="P2509" i="5"/>
  <c r="E2500" i="5"/>
  <c r="G2446" i="5"/>
  <c r="O2509" i="5"/>
  <c r="J2491" i="5"/>
  <c r="O2401" i="5"/>
  <c r="G2221" i="5"/>
  <c r="O2437" i="5"/>
  <c r="F2527" i="5"/>
  <c r="J2410" i="5"/>
  <c r="Q2464" i="5"/>
  <c r="M2392" i="5"/>
  <c r="M2311" i="5"/>
  <c r="J2437" i="5"/>
  <c r="N2536" i="5"/>
  <c r="O2347" i="5"/>
  <c r="F2446" i="5"/>
  <c r="K2338" i="5"/>
  <c r="I2527" i="5"/>
  <c r="E2275" i="5"/>
  <c r="F2455" i="5"/>
  <c r="K2356" i="5"/>
  <c r="G2329" i="5"/>
  <c r="N2410" i="5"/>
  <c r="I2410" i="5"/>
  <c r="J2248" i="5"/>
  <c r="J2356" i="5"/>
  <c r="K2248" i="5"/>
  <c r="K2518" i="5"/>
  <c r="F2311" i="5"/>
  <c r="P2527" i="5"/>
  <c r="G2527" i="5"/>
  <c r="E2356" i="5"/>
  <c r="F2275" i="5"/>
  <c r="Q2518" i="5"/>
  <c r="G2464" i="5"/>
  <c r="M2536" i="5"/>
  <c r="E2392" i="5"/>
  <c r="J2329" i="5"/>
  <c r="P2482" i="5"/>
  <c r="P2446" i="5"/>
  <c r="G2383" i="5"/>
  <c r="O2500" i="5"/>
  <c r="L2266" i="5"/>
  <c r="M2320" i="5"/>
  <c r="E2536" i="5"/>
  <c r="N2383" i="5"/>
  <c r="Q2365" i="5"/>
  <c r="E2266" i="5"/>
  <c r="N2464" i="5"/>
  <c r="F2302" i="5"/>
  <c r="J2257" i="5"/>
  <c r="F2365" i="5"/>
  <c r="P2383" i="5"/>
  <c r="G2248" i="5"/>
  <c r="Q2230" i="5"/>
  <c r="Q2221" i="5"/>
  <c r="N2374" i="5"/>
  <c r="K2221" i="5"/>
  <c r="P2518" i="5"/>
  <c r="P2347" i="5"/>
  <c r="J2419" i="5"/>
  <c r="L2275" i="5"/>
  <c r="Q2401" i="5"/>
  <c r="M2464" i="5"/>
  <c r="E2338" i="5"/>
  <c r="P2536" i="5"/>
  <c r="H2536" i="5"/>
  <c r="I2284" i="5"/>
  <c r="M2374" i="5"/>
  <c r="J2302" i="5"/>
  <c r="G2518" i="5"/>
  <c r="M2257" i="5"/>
  <c r="I2473" i="5"/>
  <c r="G2365" i="5"/>
  <c r="O2248" i="5"/>
  <c r="E2437" i="5"/>
  <c r="Q2356" i="5"/>
  <c r="H2266" i="5"/>
  <c r="Q2329" i="5"/>
  <c r="N2347" i="5"/>
  <c r="F2473" i="5"/>
  <c r="P2311" i="5"/>
  <c r="Q2500" i="5"/>
  <c r="L2311" i="5"/>
  <c r="O2482" i="5"/>
  <c r="O2473" i="5"/>
  <c r="P2338" i="5"/>
  <c r="P2221" i="5"/>
  <c r="J2221" i="5"/>
  <c r="M2221" i="5"/>
  <c r="F2221" i="5"/>
  <c r="N2221" i="5"/>
  <c r="F2530" i="5"/>
  <c r="I2512" i="5"/>
  <c r="J2323" i="5"/>
  <c r="K2269" i="5"/>
  <c r="P2224" i="5"/>
  <c r="L2485" i="5"/>
  <c r="Q2233" i="5"/>
  <c r="L2269" i="5"/>
  <c r="L2440" i="5"/>
  <c r="E2431" i="5"/>
  <c r="E2503" i="5"/>
  <c r="M2413" i="5"/>
  <c r="I2251" i="5"/>
  <c r="H2521" i="5"/>
  <c r="F2494" i="5"/>
  <c r="I2359" i="5"/>
  <c r="H2224" i="5"/>
  <c r="E2341" i="5"/>
  <c r="L2413" i="5"/>
  <c r="N2368" i="5"/>
  <c r="L2260" i="5"/>
  <c r="L2404" i="5"/>
  <c r="E2512" i="5"/>
  <c r="O2242" i="5"/>
  <c r="F2404" i="5"/>
  <c r="H2512" i="5"/>
  <c r="H2530" i="5"/>
  <c r="E2359" i="5"/>
  <c r="G2458" i="5"/>
  <c r="M2521" i="5"/>
  <c r="M2296" i="5"/>
  <c r="F2431" i="5"/>
  <c r="I2422" i="5"/>
  <c r="K2413" i="5"/>
  <c r="O2368" i="5"/>
  <c r="K2485" i="5"/>
  <c r="O2314" i="5"/>
  <c r="I2485" i="5"/>
  <c r="H2305" i="5"/>
  <c r="M2359" i="5"/>
  <c r="H2269" i="5"/>
  <c r="N2395" i="5"/>
  <c r="P2377" i="5"/>
  <c r="H2377" i="5"/>
  <c r="J2503" i="5"/>
  <c r="M2440" i="5"/>
  <c r="P2278" i="5"/>
  <c r="N2530" i="5"/>
  <c r="G2467" i="5"/>
  <c r="H2404" i="5"/>
  <c r="E2404" i="5"/>
  <c r="O2485" i="5"/>
  <c r="E2350" i="5"/>
  <c r="O2395" i="5"/>
  <c r="L2278" i="5"/>
  <c r="M2386" i="5"/>
  <c r="Q2404" i="5"/>
  <c r="K2458" i="5"/>
  <c r="Q2431" i="5"/>
  <c r="O2332" i="5"/>
  <c r="N2251" i="5"/>
  <c r="G2368" i="5"/>
  <c r="L2314" i="5"/>
  <c r="E2305" i="5"/>
  <c r="H2323" i="5"/>
  <c r="K2404" i="5"/>
  <c r="P2287" i="5"/>
  <c r="F2422" i="5"/>
  <c r="O2512" i="5"/>
  <c r="L2395" i="5"/>
  <c r="Q2458" i="5"/>
  <c r="Q2305" i="5"/>
  <c r="P2530" i="5"/>
  <c r="P2323" i="5"/>
  <c r="H2449" i="5"/>
  <c r="G2296" i="5"/>
  <c r="H2296" i="5"/>
  <c r="P2296" i="5"/>
  <c r="O2269" i="5"/>
  <c r="I2530" i="5"/>
  <c r="K2314" i="5"/>
  <c r="H2242" i="5"/>
  <c r="H2350" i="5"/>
  <c r="J2422" i="5"/>
  <c r="P2458" i="5"/>
  <c r="K2476" i="5"/>
  <c r="Q2512" i="5"/>
  <c r="G2386" i="5"/>
  <c r="F2512" i="5"/>
  <c r="G2503" i="5"/>
  <c r="G2476" i="5"/>
  <c r="I2377" i="5"/>
  <c r="G2521" i="5"/>
  <c r="O2350" i="5"/>
  <c r="F2521" i="5"/>
  <c r="M2323" i="5"/>
  <c r="L2377" i="5"/>
  <c r="J2485" i="5"/>
  <c r="N2386" i="5"/>
  <c r="N2278" i="5"/>
  <c r="E2413" i="5"/>
  <c r="L2296" i="5"/>
  <c r="P2440" i="5"/>
  <c r="I2323" i="5"/>
  <c r="M2350" i="5"/>
  <c r="E2323" i="5"/>
  <c r="L2332" i="5"/>
  <c r="O2359" i="5"/>
  <c r="G2431" i="5"/>
  <c r="L2458" i="5"/>
  <c r="I2314" i="5"/>
  <c r="Q2521" i="5"/>
  <c r="M2233" i="5"/>
  <c r="P2305" i="5"/>
  <c r="E2287" i="5"/>
  <c r="E2521" i="5"/>
  <c r="F2413" i="5"/>
  <c r="P2404" i="5"/>
  <c r="I2269" i="5"/>
  <c r="I2458" i="5"/>
  <c r="K2359" i="5"/>
  <c r="F2350" i="5"/>
  <c r="M2503" i="5"/>
  <c r="F2305" i="5"/>
  <c r="L2512" i="5"/>
  <c r="E2467" i="5"/>
  <c r="J2269" i="5"/>
  <c r="N2440" i="5"/>
  <c r="K2287" i="5"/>
  <c r="J2224" i="5"/>
  <c r="I2431" i="5"/>
  <c r="P2359" i="5"/>
  <c r="P2350" i="5"/>
  <c r="F2503" i="5"/>
  <c r="E2260" i="5"/>
  <c r="P2260" i="5"/>
  <c r="L2476" i="5"/>
  <c r="L2431" i="5"/>
  <c r="E2224" i="5"/>
  <c r="O2521" i="5"/>
  <c r="L2386" i="5"/>
  <c r="G2350" i="5"/>
  <c r="G2485" i="5"/>
  <c r="O2260" i="5"/>
  <c r="K2530" i="5"/>
  <c r="G2449" i="5"/>
  <c r="H2476" i="5"/>
  <c r="P2422" i="5"/>
  <c r="E2458" i="5"/>
  <c r="P2521" i="5"/>
  <c r="M2251" i="5"/>
  <c r="F2287" i="5"/>
  <c r="I2440" i="5"/>
  <c r="N2485" i="5"/>
  <c r="J2359" i="5"/>
  <c r="N2350" i="5"/>
  <c r="E2485" i="5"/>
  <c r="E2278" i="5"/>
  <c r="K2422" i="5"/>
  <c r="P2269" i="5"/>
  <c r="H2278" i="5"/>
  <c r="J2233" i="5"/>
  <c r="H2368" i="5"/>
  <c r="M2341" i="5"/>
  <c r="J2413" i="5"/>
  <c r="H2395" i="5"/>
  <c r="N2413" i="5"/>
  <c r="J2476" i="5"/>
  <c r="I2332" i="5"/>
  <c r="K2395" i="5"/>
  <c r="Q2386" i="5"/>
  <c r="M2368" i="5"/>
  <c r="P2413" i="5"/>
  <c r="Q2269" i="5"/>
  <c r="O2413" i="5"/>
  <c r="Q2503" i="5"/>
  <c r="F2377" i="5"/>
  <c r="J2530" i="5"/>
  <c r="N2332" i="5"/>
  <c r="F2386" i="5"/>
  <c r="G2233" i="5"/>
  <c r="G2404" i="5"/>
  <c r="J2431" i="5"/>
  <c r="L2251" i="5"/>
  <c r="J2521" i="5"/>
  <c r="M2422" i="5"/>
  <c r="H2332" i="5"/>
  <c r="I2233" i="5"/>
  <c r="P2251" i="5"/>
  <c r="K2449" i="5"/>
  <c r="H2503" i="5"/>
  <c r="O2431" i="5"/>
  <c r="I2224" i="5"/>
  <c r="E2476" i="5"/>
  <c r="G2530" i="5"/>
  <c r="H2431" i="5"/>
  <c r="F2278" i="5"/>
  <c r="M2395" i="5"/>
  <c r="Q2314" i="5"/>
  <c r="F2233" i="5"/>
  <c r="L2350" i="5"/>
  <c r="G2440" i="5"/>
  <c r="L2224" i="5"/>
  <c r="O2287" i="5"/>
  <c r="M2512" i="5"/>
  <c r="F2458" i="5"/>
  <c r="I2449" i="5"/>
  <c r="Q2332" i="5"/>
  <c r="M2242" i="5"/>
  <c r="F2395" i="5"/>
  <c r="L2287" i="5"/>
  <c r="J2332" i="5"/>
  <c r="O2530" i="5"/>
  <c r="Q2350" i="5"/>
  <c r="G2413" i="5"/>
  <c r="O2494" i="5"/>
  <c r="F2251" i="5"/>
  <c r="N2458" i="5"/>
  <c r="J2305" i="5"/>
  <c r="F2296" i="5"/>
  <c r="E2296" i="5"/>
  <c r="N2512" i="5"/>
  <c r="O2422" i="5"/>
  <c r="N2296" i="5"/>
  <c r="K2467" i="5"/>
  <c r="I2242" i="5"/>
  <c r="H2260" i="5"/>
  <c r="G2341" i="5"/>
  <c r="J2341" i="5"/>
  <c r="I2368" i="5"/>
  <c r="E2368" i="5"/>
  <c r="K2350" i="5"/>
  <c r="K2386" i="5"/>
  <c r="P2368" i="5"/>
  <c r="K2305" i="5"/>
  <c r="N2224" i="5"/>
  <c r="F2314" i="5"/>
  <c r="O2296" i="5"/>
  <c r="M2278" i="5"/>
  <c r="M2332" i="5"/>
  <c r="Q2224" i="5"/>
  <c r="N2305" i="5"/>
  <c r="E2377" i="5"/>
  <c r="Q2296" i="5"/>
  <c r="E2449" i="5"/>
  <c r="E2269" i="5"/>
  <c r="P2503" i="5"/>
  <c r="I2395" i="5"/>
  <c r="N2242" i="5"/>
  <c r="P2314" i="5"/>
  <c r="M2224" i="5"/>
  <c r="F2269" i="5"/>
  <c r="G2512" i="5"/>
  <c r="M2269" i="5"/>
  <c r="Q2359" i="5"/>
  <c r="H2458" i="5"/>
  <c r="N2260" i="5"/>
  <c r="O2386" i="5"/>
  <c r="K2431" i="5"/>
  <c r="Q2395" i="5"/>
  <c r="L2521" i="5"/>
  <c r="I2341" i="5"/>
  <c r="L2341" i="5"/>
  <c r="L2494" i="5"/>
  <c r="Q2341" i="5"/>
  <c r="P2332" i="5"/>
  <c r="J2449" i="5"/>
  <c r="I2278" i="5"/>
  <c r="P2395" i="5"/>
  <c r="Q2530" i="5"/>
  <c r="J2278" i="5"/>
  <c r="J2512" i="5"/>
  <c r="Q2260" i="5"/>
  <c r="J2404" i="5"/>
  <c r="L2467" i="5"/>
  <c r="J2458" i="5"/>
  <c r="G2323" i="5"/>
  <c r="M2485" i="5"/>
  <c r="Q2242" i="5"/>
  <c r="N2521" i="5"/>
  <c r="M2530" i="5"/>
  <c r="P2233" i="5"/>
  <c r="Q2278" i="5"/>
  <c r="J2467" i="5"/>
  <c r="F2224" i="5"/>
  <c r="H2359" i="5"/>
  <c r="K2323" i="5"/>
  <c r="I2287" i="5"/>
  <c r="Q2413" i="5"/>
  <c r="H2314" i="5"/>
  <c r="F2323" i="5"/>
  <c r="N2494" i="5"/>
  <c r="K2368" i="5"/>
  <c r="J2314" i="5"/>
  <c r="E2440" i="5"/>
  <c r="N2314" i="5"/>
  <c r="G2422" i="5"/>
  <c r="E2251" i="5"/>
  <c r="K2440" i="5"/>
  <c r="I2503" i="5"/>
  <c r="G2494" i="5"/>
  <c r="M2494" i="5"/>
  <c r="N2431" i="5"/>
  <c r="N2233" i="5"/>
  <c r="N2503" i="5"/>
  <c r="I2296" i="5"/>
  <c r="K2521" i="5"/>
  <c r="Q2449" i="5"/>
  <c r="H2341" i="5"/>
  <c r="G2395" i="5"/>
  <c r="G2314" i="5"/>
  <c r="E2422" i="5"/>
  <c r="F2341" i="5"/>
  <c r="F2440" i="5"/>
  <c r="G2305" i="5"/>
  <c r="H2494" i="5"/>
  <c r="P2494" i="5"/>
  <c r="M2449" i="5"/>
  <c r="J2395" i="5"/>
  <c r="M2431" i="5"/>
  <c r="K2512" i="5"/>
  <c r="L2422" i="5"/>
  <c r="J2287" i="5"/>
  <c r="L2233" i="5"/>
  <c r="G2224" i="5"/>
  <c r="F2359" i="5"/>
  <c r="G2359" i="5"/>
  <c r="G2251" i="5"/>
  <c r="O2251" i="5"/>
  <c r="H2422" i="5"/>
  <c r="L2530" i="5"/>
  <c r="J2440" i="5"/>
  <c r="G2278" i="5"/>
  <c r="J2242" i="5"/>
  <c r="O2233" i="5"/>
  <c r="L2323" i="5"/>
  <c r="I2476" i="5"/>
  <c r="M2476" i="5"/>
  <c r="O2440" i="5"/>
  <c r="O2467" i="5"/>
  <c r="I2404" i="5"/>
  <c r="L2359" i="5"/>
  <c r="O2323" i="5"/>
  <c r="N2269" i="5"/>
  <c r="I2350" i="5"/>
  <c r="O2224" i="5"/>
  <c r="K2377" i="5"/>
  <c r="Q2323" i="5"/>
  <c r="M2377" i="5"/>
  <c r="M2404" i="5"/>
  <c r="J2350" i="5"/>
  <c r="E2530" i="5"/>
  <c r="K2296" i="5"/>
  <c r="J2377" i="5"/>
  <c r="I2521" i="5"/>
  <c r="O2449" i="5"/>
  <c r="L2305" i="5"/>
  <c r="H2233" i="5"/>
  <c r="K2233" i="5"/>
  <c r="N2377" i="5"/>
  <c r="K2242" i="5"/>
  <c r="K2341" i="5"/>
  <c r="O2503" i="5"/>
  <c r="Q2494" i="5"/>
  <c r="G2260" i="5"/>
  <c r="O2377" i="5"/>
  <c r="N2449" i="5"/>
  <c r="Q2368" i="5"/>
  <c r="O2476" i="5"/>
  <c r="E2332" i="5"/>
  <c r="L2449" i="5"/>
  <c r="K2494" i="5"/>
  <c r="E2395" i="5"/>
  <c r="K2503" i="5"/>
  <c r="O2305" i="5"/>
  <c r="H2467" i="5"/>
  <c r="I2305" i="5"/>
  <c r="O2404" i="5"/>
  <c r="M2287" i="5"/>
  <c r="N2323" i="5"/>
  <c r="N2287" i="5"/>
  <c r="P2467" i="5"/>
  <c r="H2386" i="5"/>
  <c r="O2458" i="5"/>
  <c r="P2431" i="5"/>
  <c r="Q2467" i="5"/>
  <c r="F2449" i="5"/>
  <c r="N2422" i="5"/>
  <c r="H2287" i="5"/>
  <c r="Q2251" i="5"/>
  <c r="P2242" i="5"/>
  <c r="L2503" i="5"/>
  <c r="P2476" i="5"/>
  <c r="I2260" i="5"/>
  <c r="J2296" i="5"/>
  <c r="P2512" i="5"/>
  <c r="E2233" i="5"/>
  <c r="K2224" i="5"/>
  <c r="Q2377" i="5"/>
  <c r="K2278" i="5"/>
  <c r="Q2476" i="5"/>
  <c r="G2269" i="5"/>
  <c r="I2413" i="5"/>
  <c r="P2485" i="5"/>
  <c r="E2386" i="5"/>
  <c r="G2242" i="5"/>
  <c r="N2476" i="5"/>
  <c r="F2485" i="5"/>
  <c r="M2260" i="5"/>
  <c r="H2413" i="5"/>
  <c r="M2458" i="5"/>
  <c r="N2467" i="5"/>
  <c r="I2386" i="5"/>
  <c r="Q2440" i="5"/>
  <c r="G2332" i="5"/>
  <c r="K2260" i="5"/>
  <c r="H2251" i="5"/>
  <c r="N2359" i="5"/>
  <c r="J2368" i="5"/>
  <c r="J2386" i="5"/>
  <c r="O2278" i="5"/>
  <c r="K2332" i="5"/>
  <c r="F2476" i="5"/>
  <c r="F2368" i="5"/>
  <c r="Q2485" i="5"/>
  <c r="E2242" i="5"/>
  <c r="H2440" i="5"/>
  <c r="N2404" i="5"/>
  <c r="L2242" i="5"/>
  <c r="M2314" i="5"/>
  <c r="J2494" i="5"/>
  <c r="Q2287" i="5"/>
  <c r="M2467" i="5"/>
  <c r="I2494" i="5"/>
  <c r="J2260" i="5"/>
  <c r="M2305" i="5"/>
  <c r="G2377" i="5"/>
  <c r="H2485" i="5"/>
  <c r="G2287" i="5"/>
  <c r="F2467" i="5"/>
  <c r="E2494" i="5"/>
  <c r="P2386" i="5"/>
  <c r="N2341" i="5"/>
  <c r="P2449" i="5"/>
  <c r="O2341" i="5"/>
  <c r="E2314" i="5"/>
  <c r="Q2422" i="5"/>
  <c r="I2467" i="5"/>
  <c r="L2368" i="5"/>
  <c r="J2251" i="5"/>
  <c r="P2341" i="5"/>
  <c r="F2332" i="5"/>
  <c r="K2251" i="5"/>
  <c r="F2260" i="5"/>
  <c r="F2242" i="5"/>
  <c r="M2501" i="5"/>
  <c r="P2492" i="5"/>
  <c r="E2528" i="5"/>
  <c r="L2483" i="5"/>
  <c r="O2528" i="5"/>
  <c r="Q2537" i="5"/>
  <c r="N2510" i="5"/>
  <c r="J2501" i="5"/>
  <c r="F2492" i="5"/>
  <c r="H2537" i="5"/>
  <c r="J2528" i="5"/>
  <c r="Q2510" i="5"/>
  <c r="I2492" i="5"/>
  <c r="I2519" i="5"/>
  <c r="O2492" i="5"/>
  <c r="P2519" i="5"/>
  <c r="I2537" i="5"/>
  <c r="P2537" i="5"/>
  <c r="G2537" i="5"/>
  <c r="M2510" i="5"/>
  <c r="N2528" i="5"/>
  <c r="N2537" i="5"/>
  <c r="G2519" i="5"/>
  <c r="E2537" i="5"/>
  <c r="K2519" i="5"/>
  <c r="O2510" i="5"/>
  <c r="E2510" i="5"/>
  <c r="G2510" i="5"/>
  <c r="I2501" i="5"/>
  <c r="J2519" i="5"/>
  <c r="F2519" i="5"/>
  <c r="K2528" i="5"/>
  <c r="M2537" i="5"/>
  <c r="L2510" i="5"/>
  <c r="K2501" i="5"/>
  <c r="I2528" i="5"/>
  <c r="L2528" i="5"/>
  <c r="O2537" i="5"/>
  <c r="M2528" i="5"/>
  <c r="Q2519" i="5"/>
  <c r="H2519" i="5"/>
  <c r="F2537" i="5"/>
  <c r="J2483" i="5"/>
  <c r="P2357" i="5"/>
  <c r="G2303" i="5"/>
  <c r="G2249" i="5"/>
  <c r="M2420" i="5"/>
  <c r="Q2231" i="5"/>
  <c r="E2240" i="5"/>
  <c r="E2366" i="5"/>
  <c r="J2294" i="5"/>
  <c r="F2528" i="5"/>
  <c r="K2465" i="5"/>
  <c r="L2321" i="5"/>
  <c r="K2375" i="5"/>
  <c r="H2339" i="5"/>
  <c r="I2294" i="5"/>
  <c r="P2429" i="5"/>
  <c r="F2249" i="5"/>
  <c r="G2438" i="5"/>
  <c r="I2240" i="5"/>
  <c r="G2402" i="5"/>
  <c r="J2366" i="5"/>
  <c r="K2222" i="5"/>
  <c r="M2492" i="5"/>
  <c r="P2240" i="5"/>
  <c r="H2447" i="5"/>
  <c r="G2411" i="5"/>
  <c r="O2393" i="5"/>
  <c r="L2393" i="5"/>
  <c r="E2249" i="5"/>
  <c r="K2429" i="5"/>
  <c r="H2438" i="5"/>
  <c r="P2348" i="5"/>
  <c r="O2303" i="5"/>
  <c r="Q2249" i="5"/>
  <c r="M2474" i="5"/>
  <c r="O2357" i="5"/>
  <c r="M2312" i="5"/>
  <c r="H2267" i="5"/>
  <c r="F2330" i="5"/>
  <c r="Q2285" i="5"/>
  <c r="O2420" i="5"/>
  <c r="E2483" i="5"/>
  <c r="I2330" i="5"/>
  <c r="K2447" i="5"/>
  <c r="L2402" i="5"/>
  <c r="H2231" i="5"/>
  <c r="H2222" i="5"/>
  <c r="G2384" i="5"/>
  <c r="M2429" i="5"/>
  <c r="H2411" i="5"/>
  <c r="P2321" i="5"/>
  <c r="H2240" i="5"/>
  <c r="N2258" i="5"/>
  <c r="K2402" i="5"/>
  <c r="M2366" i="5"/>
  <c r="N2240" i="5"/>
  <c r="F2267" i="5"/>
  <c r="K2303" i="5"/>
  <c r="F2402" i="5"/>
  <c r="I2375" i="5"/>
  <c r="N2456" i="5"/>
  <c r="P2249" i="5"/>
  <c r="O2375" i="5"/>
  <c r="G2366" i="5"/>
  <c r="H2456" i="5"/>
  <c r="J2267" i="5"/>
  <c r="O2465" i="5"/>
  <c r="O2321" i="5"/>
  <c r="M2447" i="5"/>
  <c r="E2447" i="5"/>
  <c r="N2483" i="5"/>
  <c r="K2240" i="5"/>
  <c r="Q2339" i="5"/>
  <c r="F2393" i="5"/>
  <c r="N2276" i="5"/>
  <c r="F2294" i="5"/>
  <c r="M2438" i="5"/>
  <c r="H2285" i="5"/>
  <c r="J2384" i="5"/>
  <c r="G2258" i="5"/>
  <c r="N2384" i="5"/>
  <c r="I2510" i="5"/>
  <c r="N2411" i="5"/>
  <c r="M2222" i="5"/>
  <c r="N2303" i="5"/>
  <c r="J2285" i="5"/>
  <c r="E2267" i="5"/>
  <c r="N2375" i="5"/>
  <c r="P2438" i="5"/>
  <c r="I2285" i="5"/>
  <c r="P2258" i="5"/>
  <c r="J2312" i="5"/>
  <c r="E2294" i="5"/>
  <c r="L2465" i="5"/>
  <c r="J2420" i="5"/>
  <c r="H2294" i="5"/>
  <c r="L2519" i="5"/>
  <c r="F2357" i="5"/>
  <c r="H2312" i="5"/>
  <c r="F2510" i="5"/>
  <c r="M2303" i="5"/>
  <c r="K2510" i="5"/>
  <c r="J2393" i="5"/>
  <c r="G2492" i="5"/>
  <c r="Q2528" i="5"/>
  <c r="E2429" i="5"/>
  <c r="F2312" i="5"/>
  <c r="K2438" i="5"/>
  <c r="P2339" i="5"/>
  <c r="Q2456" i="5"/>
  <c r="O2456" i="5"/>
  <c r="M2231" i="5"/>
  <c r="J2258" i="5"/>
  <c r="J2465" i="5"/>
  <c r="N2420" i="5"/>
  <c r="F2411" i="5"/>
  <c r="J2537" i="5"/>
  <c r="M2258" i="5"/>
  <c r="K2285" i="5"/>
  <c r="F2420" i="5"/>
  <c r="P2402" i="5"/>
  <c r="E2303" i="5"/>
  <c r="K2393" i="5"/>
  <c r="G2420" i="5"/>
  <c r="J2339" i="5"/>
  <c r="K2321" i="5"/>
  <c r="I2465" i="5"/>
  <c r="E2393" i="5"/>
  <c r="F2465" i="5"/>
  <c r="L2258" i="5"/>
  <c r="E2276" i="5"/>
  <c r="E2438" i="5"/>
  <c r="K2330" i="5"/>
  <c r="J2411" i="5"/>
  <c r="H2366" i="5"/>
  <c r="P2366" i="5"/>
  <c r="H2348" i="5"/>
  <c r="N2402" i="5"/>
  <c r="M2285" i="5"/>
  <c r="J2375" i="5"/>
  <c r="P2312" i="5"/>
  <c r="M2519" i="5"/>
  <c r="Q2492" i="5"/>
  <c r="I2303" i="5"/>
  <c r="Q2258" i="5"/>
  <c r="Q2321" i="5"/>
  <c r="K2231" i="5"/>
  <c r="G2528" i="5"/>
  <c r="P2456" i="5"/>
  <c r="I2402" i="5"/>
  <c r="N2249" i="5"/>
  <c r="E2384" i="5"/>
  <c r="H2321" i="5"/>
  <c r="G2483" i="5"/>
  <c r="N2222" i="5"/>
  <c r="P2285" i="5"/>
  <c r="O2285" i="5"/>
  <c r="M2375" i="5"/>
  <c r="L2492" i="5"/>
  <c r="H2429" i="5"/>
  <c r="G2465" i="5"/>
  <c r="P2528" i="5"/>
  <c r="H2465" i="5"/>
  <c r="M2357" i="5"/>
  <c r="P2330" i="5"/>
  <c r="F2285" i="5"/>
  <c r="E2285" i="5"/>
  <c r="L2330" i="5"/>
  <c r="J2222" i="5"/>
  <c r="Q2330" i="5"/>
  <c r="O2249" i="5"/>
  <c r="I2357" i="5"/>
  <c r="O2402" i="5"/>
  <c r="L2348" i="5"/>
  <c r="F2339" i="5"/>
  <c r="N2339" i="5"/>
  <c r="J2474" i="5"/>
  <c r="F2303" i="5"/>
  <c r="Q2375" i="5"/>
  <c r="I2411" i="5"/>
  <c r="G2456" i="5"/>
  <c r="I2429" i="5"/>
  <c r="E2258" i="5"/>
  <c r="M2276" i="5"/>
  <c r="K2537" i="5"/>
  <c r="J2510" i="5"/>
  <c r="M2249" i="5"/>
  <c r="F2384" i="5"/>
  <c r="F2222" i="5"/>
  <c r="G2330" i="5"/>
  <c r="O2384" i="5"/>
  <c r="I2276" i="5"/>
  <c r="E2312" i="5"/>
  <c r="J2303" i="5"/>
  <c r="Q2474" i="5"/>
  <c r="P2447" i="5"/>
  <c r="M2240" i="5"/>
  <c r="L2456" i="5"/>
  <c r="O2447" i="5"/>
  <c r="F2258" i="5"/>
  <c r="P2231" i="5"/>
  <c r="H2249" i="5"/>
  <c r="E2420" i="5"/>
  <c r="L2303" i="5"/>
  <c r="F2474" i="5"/>
  <c r="M2348" i="5"/>
  <c r="E2231" i="5"/>
  <c r="Q2402" i="5"/>
  <c r="G2321" i="5"/>
  <c r="E2348" i="5"/>
  <c r="I2222" i="5"/>
  <c r="I2312" i="5"/>
  <c r="Q2357" i="5"/>
  <c r="E2411" i="5"/>
  <c r="L2285" i="5"/>
  <c r="J2321" i="5"/>
  <c r="O2474" i="5"/>
  <c r="F2348" i="5"/>
  <c r="O2519" i="5"/>
  <c r="H2420" i="5"/>
  <c r="K2411" i="5"/>
  <c r="F2276" i="5"/>
  <c r="P2276" i="5"/>
  <c r="Q2312" i="5"/>
  <c r="N2447" i="5"/>
  <c r="L2222" i="5"/>
  <c r="I2483" i="5"/>
  <c r="G2501" i="5"/>
  <c r="G2222" i="5"/>
  <c r="E2222" i="5"/>
  <c r="I2438" i="5"/>
  <c r="K2492" i="5"/>
  <c r="K2249" i="5"/>
  <c r="E2474" i="5"/>
  <c r="H2501" i="5"/>
  <c r="Q2465" i="5"/>
  <c r="Q2366" i="5"/>
  <c r="O2276" i="5"/>
  <c r="Q2303" i="5"/>
  <c r="I2339" i="5"/>
  <c r="L2537" i="5"/>
  <c r="L2357" i="5"/>
  <c r="N2231" i="5"/>
  <c r="F2321" i="5"/>
  <c r="G2294" i="5"/>
  <c r="E2456" i="5"/>
  <c r="P2411" i="5"/>
  <c r="F2429" i="5"/>
  <c r="P2384" i="5"/>
  <c r="O2267" i="5"/>
  <c r="H2402" i="5"/>
  <c r="P2501" i="5"/>
  <c r="F2375" i="5"/>
  <c r="L2339" i="5"/>
  <c r="P2222" i="5"/>
  <c r="H2303" i="5"/>
  <c r="E2357" i="5"/>
  <c r="I2321" i="5"/>
  <c r="K2267" i="5"/>
  <c r="J2429" i="5"/>
  <c r="O2330" i="5"/>
  <c r="K2348" i="5"/>
  <c r="O2339" i="5"/>
  <c r="O2222" i="5"/>
  <c r="H2492" i="5"/>
  <c r="G2447" i="5"/>
  <c r="G2231" i="5"/>
  <c r="P2393" i="5"/>
  <c r="K2258" i="5"/>
  <c r="M2411" i="5"/>
  <c r="L2438" i="5"/>
  <c r="M2294" i="5"/>
  <c r="E2492" i="5"/>
  <c r="K2294" i="5"/>
  <c r="I2249" i="5"/>
  <c r="Q2348" i="5"/>
  <c r="M2465" i="5"/>
  <c r="P2465" i="5"/>
  <c r="H2357" i="5"/>
  <c r="O2231" i="5"/>
  <c r="F2483" i="5"/>
  <c r="K2474" i="5"/>
  <c r="G2393" i="5"/>
  <c r="L2312" i="5"/>
  <c r="I2231" i="5"/>
  <c r="I2384" i="5"/>
  <c r="G2339" i="5"/>
  <c r="Q2483" i="5"/>
  <c r="L2384" i="5"/>
  <c r="J2456" i="5"/>
  <c r="H2276" i="5"/>
  <c r="P2294" i="5"/>
  <c r="J2240" i="5"/>
  <c r="H2384" i="5"/>
  <c r="O2294" i="5"/>
  <c r="O2483" i="5"/>
  <c r="J2357" i="5"/>
  <c r="F2447" i="5"/>
  <c r="K2312" i="5"/>
  <c r="L2231" i="5"/>
  <c r="I2258" i="5"/>
  <c r="N2438" i="5"/>
  <c r="H2393" i="5"/>
  <c r="O2438" i="5"/>
  <c r="G2348" i="5"/>
  <c r="M2267" i="5"/>
  <c r="Q2294" i="5"/>
  <c r="N2366" i="5"/>
  <c r="N2267" i="5"/>
  <c r="J2249" i="5"/>
  <c r="M2339" i="5"/>
  <c r="E2339" i="5"/>
  <c r="M2330" i="5"/>
  <c r="N2474" i="5"/>
  <c r="F2501" i="5"/>
  <c r="E2375" i="5"/>
  <c r="Q2276" i="5"/>
  <c r="P2483" i="5"/>
  <c r="Q2393" i="5"/>
  <c r="L2411" i="5"/>
  <c r="H2483" i="5"/>
  <c r="E2519" i="5"/>
  <c r="Q2429" i="5"/>
  <c r="O2312" i="5"/>
  <c r="E2501" i="5"/>
  <c r="I2348" i="5"/>
  <c r="J2231" i="5"/>
  <c r="J2276" i="5"/>
  <c r="M2483" i="5"/>
  <c r="F2456" i="5"/>
  <c r="L2240" i="5"/>
  <c r="N2330" i="5"/>
  <c r="H2330" i="5"/>
  <c r="F2438" i="5"/>
  <c r="N2357" i="5"/>
  <c r="I2420" i="5"/>
  <c r="J2438" i="5"/>
  <c r="K2384" i="5"/>
  <c r="Q2438" i="5"/>
  <c r="L2420" i="5"/>
  <c r="L2429" i="5"/>
  <c r="J2492" i="5"/>
  <c r="L2294" i="5"/>
  <c r="J2348" i="5"/>
  <c r="N2492" i="5"/>
  <c r="K2357" i="5"/>
  <c r="I2447" i="5"/>
  <c r="L2501" i="5"/>
  <c r="G2267" i="5"/>
  <c r="H2528" i="5"/>
  <c r="H2258" i="5"/>
  <c r="F2240" i="5"/>
  <c r="L2474" i="5"/>
  <c r="I2474" i="5"/>
  <c r="N2501" i="5"/>
  <c r="J2447" i="5"/>
  <c r="O2366" i="5"/>
  <c r="Q2420" i="5"/>
  <c r="I2456" i="5"/>
  <c r="Q2447" i="5"/>
  <c r="L2249" i="5"/>
  <c r="J2402" i="5"/>
  <c r="N2294" i="5"/>
  <c r="L2447" i="5"/>
  <c r="M2384" i="5"/>
  <c r="G2276" i="5"/>
  <c r="F2366" i="5"/>
  <c r="P2375" i="5"/>
  <c r="O2429" i="5"/>
  <c r="H2510" i="5"/>
  <c r="E2402" i="5"/>
  <c r="Q2240" i="5"/>
  <c r="G2429" i="5"/>
  <c r="J2330" i="5"/>
  <c r="O2258" i="5"/>
  <c r="K2456" i="5"/>
  <c r="Q2267" i="5"/>
  <c r="M2456" i="5"/>
  <c r="K2420" i="5"/>
  <c r="Q2222" i="5"/>
  <c r="L2276" i="5"/>
  <c r="P2510" i="5"/>
  <c r="P2267" i="5"/>
  <c r="P2420" i="5"/>
  <c r="O2501" i="5"/>
  <c r="N2393" i="5"/>
  <c r="G2240" i="5"/>
  <c r="G2312" i="5"/>
  <c r="I2393" i="5"/>
  <c r="F2231" i="5"/>
  <c r="N2321" i="5"/>
  <c r="K2339" i="5"/>
  <c r="H2375" i="5"/>
  <c r="H2474" i="5"/>
  <c r="I2267" i="5"/>
  <c r="O2411" i="5"/>
  <c r="M2393" i="5"/>
  <c r="P2303" i="5"/>
  <c r="L2267" i="5"/>
  <c r="G2474" i="5"/>
  <c r="Q2501" i="5"/>
  <c r="N2285" i="5"/>
  <c r="K2366" i="5"/>
  <c r="E2321" i="5"/>
  <c r="N2465" i="5"/>
  <c r="P2474" i="5"/>
  <c r="N2348" i="5"/>
  <c r="N2519" i="5"/>
  <c r="I2366" i="5"/>
  <c r="N2429" i="5"/>
  <c r="L2366" i="5"/>
  <c r="Q2384" i="5"/>
  <c r="G2357" i="5"/>
  <c r="E2465" i="5"/>
  <c r="G2285" i="5"/>
  <c r="O2240" i="5"/>
  <c r="N2312" i="5"/>
  <c r="E2330" i="5"/>
  <c r="K2483" i="5"/>
  <c r="L2375" i="5"/>
  <c r="O2348" i="5"/>
  <c r="K2276" i="5"/>
  <c r="M2321" i="5"/>
  <c r="G2375" i="5"/>
  <c r="Q2411" i="5"/>
  <c r="M2402" i="5"/>
  <c r="L2499" i="5"/>
  <c r="O2364" i="5"/>
  <c r="E2490" i="5"/>
  <c r="I2364" i="5"/>
  <c r="L2481" i="5"/>
  <c r="K2364" i="5"/>
  <c r="G2382" i="5"/>
  <c r="G2274" i="5"/>
  <c r="J2418" i="5"/>
  <c r="K2400" i="5"/>
  <c r="N2355" i="5"/>
  <c r="Q2283" i="5"/>
  <c r="E2220" i="5"/>
  <c r="L2319" i="5"/>
  <c r="E2247" i="5"/>
  <c r="F2463" i="5"/>
  <c r="G2229" i="5"/>
  <c r="F2310" i="5"/>
  <c r="O2283" i="5"/>
  <c r="O2490" i="5"/>
  <c r="H2400" i="5"/>
  <c r="E2445" i="5"/>
  <c r="P2265" i="5"/>
  <c r="M2400" i="5"/>
  <c r="P2427" i="5"/>
  <c r="N2265" i="5"/>
  <c r="P2373" i="5"/>
  <c r="K2283" i="5"/>
  <c r="E2238" i="5"/>
  <c r="O2382" i="5"/>
  <c r="J2310" i="5"/>
  <c r="Q2355" i="5"/>
  <c r="H2265" i="5"/>
  <c r="N2310" i="5"/>
  <c r="Q2247" i="5"/>
  <c r="N2256" i="5"/>
  <c r="G2463" i="5"/>
  <c r="L2220" i="5"/>
  <c r="N2247" i="5"/>
  <c r="M2472" i="5"/>
  <c r="L2436" i="5"/>
  <c r="E2373" i="5"/>
  <c r="H2292" i="5"/>
  <c r="K2328" i="5"/>
  <c r="G2526" i="5"/>
  <c r="G2256" i="5"/>
  <c r="I2265" i="5"/>
  <c r="M2256" i="5"/>
  <c r="M2409" i="5"/>
  <c r="Q2436" i="5"/>
  <c r="M2301" i="5"/>
  <c r="J2481" i="5"/>
  <c r="I2247" i="5"/>
  <c r="I2382" i="5"/>
  <c r="E2400" i="5"/>
  <c r="F2328" i="5"/>
  <c r="O2292" i="5"/>
  <c r="Q2220" i="5"/>
  <c r="L2472" i="5"/>
  <c r="O2526" i="5"/>
  <c r="H2346" i="5"/>
  <c r="F2274" i="5"/>
  <c r="F2454" i="5"/>
  <c r="E2454" i="5"/>
  <c r="K2355" i="5"/>
  <c r="L2247" i="5"/>
  <c r="P2436" i="5"/>
  <c r="Q2256" i="5"/>
  <c r="M2238" i="5"/>
  <c r="N2499" i="5"/>
  <c r="H2301" i="5"/>
  <c r="P2238" i="5"/>
  <c r="J2355" i="5"/>
  <c r="N2400" i="5"/>
  <c r="E2427" i="5"/>
  <c r="E2409" i="5"/>
  <c r="H2445" i="5"/>
  <c r="K2265" i="5"/>
  <c r="I2391" i="5"/>
  <c r="N2472" i="5"/>
  <c r="Q2238" i="5"/>
  <c r="P2355" i="5"/>
  <c r="E2436" i="5"/>
  <c r="K2463" i="5"/>
  <c r="M2337" i="5"/>
  <c r="O2463" i="5"/>
  <c r="I2355" i="5"/>
  <c r="F2319" i="5"/>
  <c r="N2319" i="5"/>
  <c r="Q2292" i="5"/>
  <c r="N2238" i="5"/>
  <c r="M2418" i="5"/>
  <c r="M2346" i="5"/>
  <c r="Q2418" i="5"/>
  <c r="E2382" i="5"/>
  <c r="H2535" i="5"/>
  <c r="Q2373" i="5"/>
  <c r="O2391" i="5"/>
  <c r="H2247" i="5"/>
  <c r="J2301" i="5"/>
  <c r="K2310" i="5"/>
  <c r="Q2409" i="5"/>
  <c r="G2409" i="5"/>
  <c r="P2418" i="5"/>
  <c r="J2499" i="5"/>
  <c r="I2472" i="5"/>
  <c r="F2229" i="5"/>
  <c r="M2427" i="5"/>
  <c r="L2283" i="5"/>
  <c r="M2463" i="5"/>
  <c r="E2472" i="5"/>
  <c r="J2238" i="5"/>
  <c r="Q2346" i="5"/>
  <c r="L2517" i="5"/>
  <c r="I2238" i="5"/>
  <c r="K2427" i="5"/>
  <c r="J2292" i="5"/>
  <c r="I2373" i="5"/>
  <c r="I2283" i="5"/>
  <c r="L2346" i="5"/>
  <c r="P2526" i="5"/>
  <c r="N2445" i="5"/>
  <c r="Q2328" i="5"/>
  <c r="M2436" i="5"/>
  <c r="N2409" i="5"/>
  <c r="M2274" i="5"/>
  <c r="E2301" i="5"/>
  <c r="H2256" i="5"/>
  <c r="G2283" i="5"/>
  <c r="K2454" i="5"/>
  <c r="K2238" i="5"/>
  <c r="G2373" i="5"/>
  <c r="L2310" i="5"/>
  <c r="E2481" i="5"/>
  <c r="P2472" i="5"/>
  <c r="G2508" i="5"/>
  <c r="N2463" i="5"/>
  <c r="P2508" i="5"/>
  <c r="L2274" i="5"/>
  <c r="M2499" i="5"/>
  <c r="G2481" i="5"/>
  <c r="F2526" i="5"/>
  <c r="O2328" i="5"/>
  <c r="O2418" i="5"/>
  <c r="K2247" i="5"/>
  <c r="N2328" i="5"/>
  <c r="G2337" i="5"/>
  <c r="K2274" i="5"/>
  <c r="L2409" i="5"/>
  <c r="G2391" i="5"/>
  <c r="F2409" i="5"/>
  <c r="O2400" i="5"/>
  <c r="Q2229" i="5"/>
  <c r="O2373" i="5"/>
  <c r="K2382" i="5"/>
  <c r="Q2301" i="5"/>
  <c r="E2364" i="5"/>
  <c r="K2301" i="5"/>
  <c r="I2310" i="5"/>
  <c r="N2301" i="5"/>
  <c r="I2535" i="5"/>
  <c r="G2472" i="5"/>
  <c r="I2400" i="5"/>
  <c r="J2382" i="5"/>
  <c r="E2283" i="5"/>
  <c r="K2229" i="5"/>
  <c r="H2274" i="5"/>
  <c r="G2319" i="5"/>
  <c r="K2490" i="5"/>
  <c r="I2508" i="5"/>
  <c r="P2274" i="5"/>
  <c r="H2463" i="5"/>
  <c r="H2508" i="5"/>
  <c r="J2391" i="5"/>
  <c r="I2229" i="5"/>
  <c r="P2256" i="5"/>
  <c r="M2382" i="5"/>
  <c r="K2409" i="5"/>
  <c r="O2445" i="5"/>
  <c r="I2256" i="5"/>
  <c r="E2526" i="5"/>
  <c r="J2472" i="5"/>
  <c r="L2301" i="5"/>
  <c r="M2310" i="5"/>
  <c r="I2436" i="5"/>
  <c r="I2319" i="5"/>
  <c r="O2337" i="5"/>
  <c r="G2301" i="5"/>
  <c r="P2499" i="5"/>
  <c r="K2445" i="5"/>
  <c r="J2328" i="5"/>
  <c r="J2409" i="5"/>
  <c r="F2445" i="5"/>
  <c r="Q2481" i="5"/>
  <c r="F2355" i="5"/>
  <c r="N2346" i="5"/>
  <c r="K2319" i="5"/>
  <c r="P2301" i="5"/>
  <c r="F2481" i="5"/>
  <c r="J2427" i="5"/>
  <c r="P2346" i="5"/>
  <c r="F2400" i="5"/>
  <c r="F2427" i="5"/>
  <c r="H2328" i="5"/>
  <c r="Q2526" i="5"/>
  <c r="P2400" i="5"/>
  <c r="M2265" i="5"/>
  <c r="P2220" i="5"/>
  <c r="E2328" i="5"/>
  <c r="N2427" i="5"/>
  <c r="F2364" i="5"/>
  <c r="Q2445" i="5"/>
  <c r="G2220" i="5"/>
  <c r="Q2265" i="5"/>
  <c r="L2418" i="5"/>
  <c r="E2292" i="5"/>
  <c r="H2229" i="5"/>
  <c r="E2337" i="5"/>
  <c r="N2382" i="5"/>
  <c r="H2373" i="5"/>
  <c r="J2220" i="5"/>
  <c r="G2427" i="5"/>
  <c r="P2382" i="5"/>
  <c r="P2445" i="5"/>
  <c r="L2337" i="5"/>
  <c r="L2238" i="5"/>
  <c r="Q2472" i="5"/>
  <c r="E2274" i="5"/>
  <c r="M2517" i="5"/>
  <c r="O2220" i="5"/>
  <c r="N2337" i="5"/>
  <c r="E2310" i="5"/>
  <c r="G2238" i="5"/>
  <c r="H2427" i="5"/>
  <c r="G2247" i="5"/>
  <c r="N2274" i="5"/>
  <c r="Q2364" i="5"/>
  <c r="H2319" i="5"/>
  <c r="N2373" i="5"/>
  <c r="H2481" i="5"/>
  <c r="G2454" i="5"/>
  <c r="K2418" i="5"/>
  <c r="I2409" i="5"/>
  <c r="H2220" i="5"/>
  <c r="M2283" i="5"/>
  <c r="J2283" i="5"/>
  <c r="L2364" i="5"/>
  <c r="F2247" i="5"/>
  <c r="F2346" i="5"/>
  <c r="M2292" i="5"/>
  <c r="F2238" i="5"/>
  <c r="J2445" i="5"/>
  <c r="P2454" i="5"/>
  <c r="O2310" i="5"/>
  <c r="L2391" i="5"/>
  <c r="J2400" i="5"/>
  <c r="O2481" i="5"/>
  <c r="P2292" i="5"/>
  <c r="M2247" i="5"/>
  <c r="J2490" i="5"/>
  <c r="L2454" i="5"/>
  <c r="J2229" i="5"/>
  <c r="N2364" i="5"/>
  <c r="H2454" i="5"/>
  <c r="I2337" i="5"/>
  <c r="J2256" i="5"/>
  <c r="M2355" i="5"/>
  <c r="O2247" i="5"/>
  <c r="J2265" i="5"/>
  <c r="J2247" i="5"/>
  <c r="Q2463" i="5"/>
  <c r="E2265" i="5"/>
  <c r="L2256" i="5"/>
  <c r="I2481" i="5"/>
  <c r="J2346" i="5"/>
  <c r="H2310" i="5"/>
  <c r="H2337" i="5"/>
  <c r="G2436" i="5"/>
  <c r="F2436" i="5"/>
  <c r="Q2427" i="5"/>
  <c r="Q2508" i="5"/>
  <c r="F2382" i="5"/>
  <c r="G2418" i="5"/>
  <c r="L2373" i="5"/>
  <c r="Q2391" i="5"/>
  <c r="O2256" i="5"/>
  <c r="L2382" i="5"/>
  <c r="O2499" i="5"/>
  <c r="Q2454" i="5"/>
  <c r="J2364" i="5"/>
  <c r="J2373" i="5"/>
  <c r="J2337" i="5"/>
  <c r="N2454" i="5"/>
  <c r="K2373" i="5"/>
  <c r="I2418" i="5"/>
  <c r="M2229" i="5"/>
  <c r="H2409" i="5"/>
  <c r="L2328" i="5"/>
  <c r="P2283" i="5"/>
  <c r="I2328" i="5"/>
  <c r="G2265" i="5"/>
  <c r="G2364" i="5"/>
  <c r="M2364" i="5"/>
  <c r="L2400" i="5"/>
  <c r="M2454" i="5"/>
  <c r="P2409" i="5"/>
  <c r="M2481" i="5"/>
  <c r="O2265" i="5"/>
  <c r="K2391" i="5"/>
  <c r="O2274" i="5"/>
  <c r="L2265" i="5"/>
  <c r="N2292" i="5"/>
  <c r="G2400" i="5"/>
  <c r="F2499" i="5"/>
  <c r="K2472" i="5"/>
  <c r="I2427" i="5"/>
  <c r="O2436" i="5"/>
  <c r="M2220" i="5"/>
  <c r="F2220" i="5"/>
  <c r="P2364" i="5"/>
  <c r="P2391" i="5"/>
  <c r="E2463" i="5"/>
  <c r="J2436" i="5"/>
  <c r="P2229" i="5"/>
  <c r="L2229" i="5"/>
  <c r="E2256" i="5"/>
  <c r="N2526" i="5"/>
  <c r="G2328" i="5"/>
  <c r="M2490" i="5"/>
  <c r="E2229" i="5"/>
  <c r="I2445" i="5"/>
  <c r="O2472" i="5"/>
  <c r="F2418" i="5"/>
  <c r="K2517" i="5"/>
  <c r="K2220" i="5"/>
  <c r="N2283" i="5"/>
  <c r="M2328" i="5"/>
  <c r="O2319" i="5"/>
  <c r="H2382" i="5"/>
  <c r="G2310" i="5"/>
  <c r="P2328" i="5"/>
  <c r="H2490" i="5"/>
  <c r="P2490" i="5"/>
  <c r="F2265" i="5"/>
  <c r="I2463" i="5"/>
  <c r="I2346" i="5"/>
  <c r="H2391" i="5"/>
  <c r="G2445" i="5"/>
  <c r="O2346" i="5"/>
  <c r="N2481" i="5"/>
  <c r="L2490" i="5"/>
  <c r="P2337" i="5"/>
  <c r="H2355" i="5"/>
  <c r="M2373" i="5"/>
  <c r="G2292" i="5"/>
  <c r="F2391" i="5"/>
  <c r="H2436" i="5"/>
  <c r="F2472" i="5"/>
  <c r="L2427" i="5"/>
  <c r="I2301" i="5"/>
  <c r="F2337" i="5"/>
  <c r="J2463" i="5"/>
  <c r="O2355" i="5"/>
  <c r="J2535" i="5"/>
  <c r="P2310" i="5"/>
  <c r="L2463" i="5"/>
  <c r="J2319" i="5"/>
  <c r="K2346" i="5"/>
  <c r="P2463" i="5"/>
  <c r="N2220" i="5"/>
  <c r="I2220" i="5"/>
  <c r="N2229" i="5"/>
  <c r="O2229" i="5"/>
  <c r="L2445" i="5"/>
  <c r="F2373" i="5"/>
  <c r="Q2274" i="5"/>
  <c r="H2472" i="5"/>
  <c r="Q2382" i="5"/>
  <c r="J2274" i="5"/>
  <c r="H2364" i="5"/>
  <c r="P2481" i="5"/>
  <c r="L2292" i="5"/>
  <c r="J2517" i="5"/>
  <c r="M2391" i="5"/>
  <c r="F2256" i="5"/>
  <c r="H2238" i="5"/>
  <c r="K2481" i="5"/>
  <c r="E2346" i="5"/>
  <c r="J2454" i="5"/>
  <c r="M2445" i="5"/>
  <c r="G2346" i="5"/>
  <c r="G2355" i="5"/>
  <c r="I2454" i="5"/>
  <c r="M2319" i="5"/>
  <c r="E2499" i="5"/>
  <c r="E2319" i="5"/>
  <c r="Q2319" i="5"/>
  <c r="O2409" i="5"/>
  <c r="K2436" i="5"/>
  <c r="L2355" i="5"/>
  <c r="K2256" i="5"/>
  <c r="O2427" i="5"/>
  <c r="Q2337" i="5"/>
  <c r="F2292" i="5"/>
  <c r="F2490" i="5"/>
  <c r="E2391" i="5"/>
  <c r="K2292" i="5"/>
  <c r="Q2310" i="5"/>
  <c r="O2238" i="5"/>
  <c r="E2355" i="5"/>
  <c r="N2418" i="5"/>
  <c r="I2292" i="5"/>
  <c r="N2436" i="5"/>
  <c r="N2508" i="5"/>
  <c r="F2508" i="5"/>
  <c r="H2418" i="5"/>
  <c r="I2490" i="5"/>
  <c r="F2283" i="5"/>
  <c r="O2454" i="5"/>
  <c r="O2301" i="5"/>
  <c r="I2274" i="5"/>
  <c r="F2301" i="5"/>
  <c r="Q2400" i="5"/>
  <c r="E2418" i="5"/>
  <c r="P2319" i="5"/>
  <c r="H2283" i="5"/>
  <c r="K2337" i="5"/>
  <c r="N2391" i="5"/>
  <c r="P2247" i="5"/>
  <c r="F2507" i="5"/>
  <c r="L2516" i="5"/>
  <c r="I2534" i="5"/>
  <c r="G2507" i="5"/>
  <c r="H2489" i="5"/>
  <c r="O2507" i="5"/>
  <c r="N2525" i="5"/>
  <c r="O2525" i="5"/>
  <c r="H2534" i="5"/>
  <c r="I2516" i="5"/>
  <c r="F2534" i="5"/>
  <c r="L2498" i="5"/>
  <c r="Q2507" i="5"/>
  <c r="E2534" i="5"/>
  <c r="G2525" i="5"/>
  <c r="F2525" i="5"/>
  <c r="P2507" i="5"/>
  <c r="E2525" i="5"/>
  <c r="O2498" i="5"/>
  <c r="O2534" i="5"/>
  <c r="P2534" i="5"/>
  <c r="Q2525" i="5"/>
  <c r="K2489" i="5"/>
  <c r="M2498" i="5"/>
  <c r="G2534" i="5"/>
  <c r="L2525" i="5"/>
  <c r="J2534" i="5"/>
  <c r="H2516" i="5"/>
  <c r="I2507" i="5"/>
  <c r="Q2534" i="5"/>
  <c r="P2525" i="5"/>
  <c r="N2507" i="5"/>
  <c r="E2498" i="5"/>
  <c r="M2516" i="5"/>
  <c r="K2498" i="5"/>
  <c r="E2507" i="5"/>
  <c r="M2525" i="5"/>
  <c r="K2516" i="5"/>
  <c r="K2534" i="5"/>
  <c r="J2516" i="5"/>
  <c r="M2345" i="5"/>
  <c r="O2228" i="5"/>
  <c r="J2399" i="5"/>
  <c r="M2417" i="5"/>
  <c r="H2273" i="5"/>
  <c r="Q2399" i="5"/>
  <c r="J2453" i="5"/>
  <c r="G2345" i="5"/>
  <c r="M2228" i="5"/>
  <c r="M2318" i="5"/>
  <c r="J2318" i="5"/>
  <c r="F2489" i="5"/>
  <c r="O2291" i="5"/>
  <c r="J2444" i="5"/>
  <c r="I2462" i="5"/>
  <c r="M2453" i="5"/>
  <c r="K2291" i="5"/>
  <c r="F2336" i="5"/>
  <c r="H2309" i="5"/>
  <c r="J2471" i="5"/>
  <c r="P2309" i="5"/>
  <c r="E2417" i="5"/>
  <c r="O2372" i="5"/>
  <c r="P2327" i="5"/>
  <c r="F2291" i="5"/>
  <c r="H2498" i="5"/>
  <c r="M2327" i="5"/>
  <c r="F2309" i="5"/>
  <c r="L2399" i="5"/>
  <c r="I2237" i="5"/>
  <c r="P2390" i="5"/>
  <c r="P2399" i="5"/>
  <c r="L2273" i="5"/>
  <c r="I2408" i="5"/>
  <c r="I2444" i="5"/>
  <c r="G2471" i="5"/>
  <c r="J2480" i="5"/>
  <c r="G2462" i="5"/>
  <c r="I2399" i="5"/>
  <c r="L2444" i="5"/>
  <c r="G2435" i="5"/>
  <c r="F2318" i="5"/>
  <c r="E2336" i="5"/>
  <c r="H2417" i="5"/>
  <c r="J2219" i="5"/>
  <c r="O2282" i="5"/>
  <c r="N2345" i="5"/>
  <c r="E2453" i="5"/>
  <c r="G2453" i="5"/>
  <c r="E2264" i="5"/>
  <c r="H2480" i="5"/>
  <c r="I2264" i="5"/>
  <c r="Q2255" i="5"/>
  <c r="F2417" i="5"/>
  <c r="L2255" i="5"/>
  <c r="E2390" i="5"/>
  <c r="H2219" i="5"/>
  <c r="F2345" i="5"/>
  <c r="E2282" i="5"/>
  <c r="N2255" i="5"/>
  <c r="E2471" i="5"/>
  <c r="L2534" i="5"/>
  <c r="E2255" i="5"/>
  <c r="O2453" i="5"/>
  <c r="F2381" i="5"/>
  <c r="J2228" i="5"/>
  <c r="K2228" i="5"/>
  <c r="Q2363" i="5"/>
  <c r="P2318" i="5"/>
  <c r="I2381" i="5"/>
  <c r="G2282" i="5"/>
  <c r="N2273" i="5"/>
  <c r="H2354" i="5"/>
  <c r="P2237" i="5"/>
  <c r="N2516" i="5"/>
  <c r="L2480" i="5"/>
  <c r="E2444" i="5"/>
  <c r="I2291" i="5"/>
  <c r="L2390" i="5"/>
  <c r="E2327" i="5"/>
  <c r="L2237" i="5"/>
  <c r="E2480" i="5"/>
  <c r="K2363" i="5"/>
  <c r="H2300" i="5"/>
  <c r="G2516" i="5"/>
  <c r="L2381" i="5"/>
  <c r="P2264" i="5"/>
  <c r="N2282" i="5"/>
  <c r="L2471" i="5"/>
  <c r="M2489" i="5"/>
  <c r="F2282" i="5"/>
  <c r="G2363" i="5"/>
  <c r="I2489" i="5"/>
  <c r="M2408" i="5"/>
  <c r="K2273" i="5"/>
  <c r="E2426" i="5"/>
  <c r="I2246" i="5"/>
  <c r="H2408" i="5"/>
  <c r="I2372" i="5"/>
  <c r="Q2516" i="5"/>
  <c r="J2489" i="5"/>
  <c r="M2273" i="5"/>
  <c r="Q2282" i="5"/>
  <c r="I2345" i="5"/>
  <c r="N2435" i="5"/>
  <c r="I2354" i="5"/>
  <c r="J2291" i="5"/>
  <c r="L2426" i="5"/>
  <c r="M2291" i="5"/>
  <c r="G2264" i="5"/>
  <c r="F2498" i="5"/>
  <c r="O2345" i="5"/>
  <c r="P2516" i="5"/>
  <c r="H2327" i="5"/>
  <c r="Q2354" i="5"/>
  <c r="J2507" i="5"/>
  <c r="Q2336" i="5"/>
  <c r="K2381" i="5"/>
  <c r="H2372" i="5"/>
  <c r="I2273" i="5"/>
  <c r="O2426" i="5"/>
  <c r="O2399" i="5"/>
  <c r="F2516" i="5"/>
  <c r="I2471" i="5"/>
  <c r="K2255" i="5"/>
  <c r="K2354" i="5"/>
  <c r="I2426" i="5"/>
  <c r="H2282" i="5"/>
  <c r="P2444" i="5"/>
  <c r="O2363" i="5"/>
  <c r="G2255" i="5"/>
  <c r="I2480" i="5"/>
  <c r="J2309" i="5"/>
  <c r="G2417" i="5"/>
  <c r="L2336" i="5"/>
  <c r="E2516" i="5"/>
  <c r="Q2291" i="5"/>
  <c r="P2246" i="5"/>
  <c r="L2435" i="5"/>
  <c r="J2255" i="5"/>
  <c r="Q2300" i="5"/>
  <c r="N2336" i="5"/>
  <c r="F2363" i="5"/>
  <c r="M2435" i="5"/>
  <c r="L2462" i="5"/>
  <c r="O2435" i="5"/>
  <c r="O2318" i="5"/>
  <c r="H2390" i="5"/>
  <c r="G2444" i="5"/>
  <c r="H2255" i="5"/>
  <c r="E2219" i="5"/>
  <c r="P2435" i="5"/>
  <c r="L2309" i="5"/>
  <c r="M2237" i="5"/>
  <c r="M2426" i="5"/>
  <c r="P2282" i="5"/>
  <c r="L2228" i="5"/>
  <c r="O2408" i="5"/>
  <c r="P2336" i="5"/>
  <c r="G2354" i="5"/>
  <c r="J2426" i="5"/>
  <c r="O2444" i="5"/>
  <c r="J2354" i="5"/>
  <c r="M2444" i="5"/>
  <c r="K2444" i="5"/>
  <c r="G2219" i="5"/>
  <c r="F2453" i="5"/>
  <c r="F2300" i="5"/>
  <c r="N2399" i="5"/>
  <c r="E2273" i="5"/>
  <c r="H2363" i="5"/>
  <c r="Q2426" i="5"/>
  <c r="G2489" i="5"/>
  <c r="Q2462" i="5"/>
  <c r="F2426" i="5"/>
  <c r="E2381" i="5"/>
  <c r="M2363" i="5"/>
  <c r="O2471" i="5"/>
  <c r="N2354" i="5"/>
  <c r="J2390" i="5"/>
  <c r="F2390" i="5"/>
  <c r="E2246" i="5"/>
  <c r="Q2390" i="5"/>
  <c r="G2498" i="5"/>
  <c r="H2246" i="5"/>
  <c r="J2381" i="5"/>
  <c r="O2390" i="5"/>
  <c r="N2228" i="5"/>
  <c r="G2246" i="5"/>
  <c r="H2345" i="5"/>
  <c r="N2534" i="5"/>
  <c r="O2255" i="5"/>
  <c r="J2264" i="5"/>
  <c r="N2480" i="5"/>
  <c r="Q2237" i="5"/>
  <c r="E2300" i="5"/>
  <c r="I2255" i="5"/>
  <c r="G2273" i="5"/>
  <c r="P2471" i="5"/>
  <c r="J2372" i="5"/>
  <c r="I2282" i="5"/>
  <c r="K2507" i="5"/>
  <c r="P2372" i="5"/>
  <c r="J2273" i="5"/>
  <c r="K2300" i="5"/>
  <c r="L2327" i="5"/>
  <c r="M2219" i="5"/>
  <c r="G2327" i="5"/>
  <c r="H2462" i="5"/>
  <c r="L2291" i="5"/>
  <c r="O2264" i="5"/>
  <c r="K2282" i="5"/>
  <c r="Q2453" i="5"/>
  <c r="I2219" i="5"/>
  <c r="J2237" i="5"/>
  <c r="L2345" i="5"/>
  <c r="K2471" i="5"/>
  <c r="Q2471" i="5"/>
  <c r="M2534" i="5"/>
  <c r="N2408" i="5"/>
  <c r="L2507" i="5"/>
  <c r="F2372" i="5"/>
  <c r="Q2228" i="5"/>
  <c r="Q2345" i="5"/>
  <c r="F2237" i="5"/>
  <c r="Q2264" i="5"/>
  <c r="I2318" i="5"/>
  <c r="L2489" i="5"/>
  <c r="E2354" i="5"/>
  <c r="F2255" i="5"/>
  <c r="P2381" i="5"/>
  <c r="F2444" i="5"/>
  <c r="L2318" i="5"/>
  <c r="N2237" i="5"/>
  <c r="K2453" i="5"/>
  <c r="G2336" i="5"/>
  <c r="H2318" i="5"/>
  <c r="N2462" i="5"/>
  <c r="N2471" i="5"/>
  <c r="I2327" i="5"/>
  <c r="P2480" i="5"/>
  <c r="J2462" i="5"/>
  <c r="G2399" i="5"/>
  <c r="I2228" i="5"/>
  <c r="G2408" i="5"/>
  <c r="N2300" i="5"/>
  <c r="Q2318" i="5"/>
  <c r="M2462" i="5"/>
  <c r="E2228" i="5"/>
  <c r="M2390" i="5"/>
  <c r="E2291" i="5"/>
  <c r="O2327" i="5"/>
  <c r="H2453" i="5"/>
  <c r="O2309" i="5"/>
  <c r="O2381" i="5"/>
  <c r="N2264" i="5"/>
  <c r="Q2246" i="5"/>
  <c r="N2453" i="5"/>
  <c r="G2309" i="5"/>
  <c r="J2417" i="5"/>
  <c r="P2345" i="5"/>
  <c r="J2300" i="5"/>
  <c r="N2390" i="5"/>
  <c r="K2399" i="5"/>
  <c r="J2327" i="5"/>
  <c r="P2273" i="5"/>
  <c r="H2381" i="5"/>
  <c r="P2462" i="5"/>
  <c r="F2435" i="5"/>
  <c r="M2471" i="5"/>
  <c r="G2237" i="5"/>
  <c r="J2408" i="5"/>
  <c r="F2228" i="5"/>
  <c r="L2408" i="5"/>
  <c r="O2354" i="5"/>
  <c r="G2291" i="5"/>
  <c r="M2399" i="5"/>
  <c r="H2435" i="5"/>
  <c r="N2291" i="5"/>
  <c r="K2336" i="5"/>
  <c r="N2381" i="5"/>
  <c r="Q2372" i="5"/>
  <c r="L2219" i="5"/>
  <c r="N2318" i="5"/>
  <c r="E2489" i="5"/>
  <c r="I2417" i="5"/>
  <c r="J2336" i="5"/>
  <c r="K2264" i="5"/>
  <c r="K2462" i="5"/>
  <c r="G2372" i="5"/>
  <c r="N2309" i="5"/>
  <c r="I2435" i="5"/>
  <c r="Q2327" i="5"/>
  <c r="F2327" i="5"/>
  <c r="I2390" i="5"/>
  <c r="P2228" i="5"/>
  <c r="K2480" i="5"/>
  <c r="N2426" i="5"/>
  <c r="I2453" i="5"/>
  <c r="K2525" i="5"/>
  <c r="P2291" i="5"/>
  <c r="H2507" i="5"/>
  <c r="N2372" i="5"/>
  <c r="K2372" i="5"/>
  <c r="I2309" i="5"/>
  <c r="F2264" i="5"/>
  <c r="O2417" i="5"/>
  <c r="P2489" i="5"/>
  <c r="O2237" i="5"/>
  <c r="M2246" i="5"/>
  <c r="L2453" i="5"/>
  <c r="P2426" i="5"/>
  <c r="N2363" i="5"/>
  <c r="L2300" i="5"/>
  <c r="M2480" i="5"/>
  <c r="F2408" i="5"/>
  <c r="M2282" i="5"/>
  <c r="H2264" i="5"/>
  <c r="Q2219" i="5"/>
  <c r="L2354" i="5"/>
  <c r="N2498" i="5"/>
  <c r="M2507" i="5"/>
  <c r="P2453" i="5"/>
  <c r="M2255" i="5"/>
  <c r="L2246" i="5"/>
  <c r="H2471" i="5"/>
  <c r="J2498" i="5"/>
  <c r="L2264" i="5"/>
  <c r="F2480" i="5"/>
  <c r="I2336" i="5"/>
  <c r="E2435" i="5"/>
  <c r="M2336" i="5"/>
  <c r="E2318" i="5"/>
  <c r="G2318" i="5"/>
  <c r="O2300" i="5"/>
  <c r="O2336" i="5"/>
  <c r="N2327" i="5"/>
  <c r="K2390" i="5"/>
  <c r="E2309" i="5"/>
  <c r="G2228" i="5"/>
  <c r="E2462" i="5"/>
  <c r="O2219" i="5"/>
  <c r="N2444" i="5"/>
  <c r="F2273" i="5"/>
  <c r="L2417" i="5"/>
  <c r="Q2498" i="5"/>
  <c r="K2426" i="5"/>
  <c r="O2489" i="5"/>
  <c r="E2372" i="5"/>
  <c r="H2399" i="5"/>
  <c r="M2354" i="5"/>
  <c r="H2228" i="5"/>
  <c r="G2426" i="5"/>
  <c r="G2480" i="5"/>
  <c r="F2399" i="5"/>
  <c r="P2354" i="5"/>
  <c r="K2219" i="5"/>
  <c r="P2219" i="5"/>
  <c r="Q2273" i="5"/>
  <c r="F2471" i="5"/>
  <c r="H2336" i="5"/>
  <c r="I2525" i="5"/>
  <c r="G2381" i="5"/>
  <c r="K2345" i="5"/>
  <c r="H2525" i="5"/>
  <c r="J2363" i="5"/>
  <c r="N2417" i="5"/>
  <c r="M2372" i="5"/>
  <c r="O2273" i="5"/>
  <c r="E2408" i="5"/>
  <c r="I2498" i="5"/>
  <c r="Q2309" i="5"/>
  <c r="K2309" i="5"/>
  <c r="L2372" i="5"/>
  <c r="Q2444" i="5"/>
  <c r="P2300" i="5"/>
  <c r="K2417" i="5"/>
  <c r="G2300" i="5"/>
  <c r="J2435" i="5"/>
  <c r="P2363" i="5"/>
  <c r="K2318" i="5"/>
  <c r="K2435" i="5"/>
  <c r="L2282" i="5"/>
  <c r="I2363" i="5"/>
  <c r="H2237" i="5"/>
  <c r="Q2408" i="5"/>
  <c r="F2246" i="5"/>
  <c r="J2525" i="5"/>
  <c r="J2345" i="5"/>
  <c r="H2444" i="5"/>
  <c r="P2255" i="5"/>
  <c r="N2246" i="5"/>
  <c r="Q2489" i="5"/>
  <c r="Q2480" i="5"/>
  <c r="E2399" i="5"/>
  <c r="O2462" i="5"/>
  <c r="Q2435" i="5"/>
  <c r="E2363" i="5"/>
  <c r="E2237" i="5"/>
  <c r="F2354" i="5"/>
  <c r="O2516" i="5"/>
  <c r="P2408" i="5"/>
  <c r="J2246" i="5"/>
  <c r="Q2381" i="5"/>
  <c r="K2237" i="5"/>
  <c r="P2498" i="5"/>
  <c r="M2309" i="5"/>
  <c r="F2462" i="5"/>
  <c r="K2408" i="5"/>
  <c r="M2300" i="5"/>
  <c r="K2246" i="5"/>
  <c r="I2300" i="5"/>
  <c r="E2345" i="5"/>
  <c r="O2246" i="5"/>
  <c r="G2390" i="5"/>
  <c r="N2489" i="5"/>
  <c r="K2327" i="5"/>
  <c r="O2480" i="5"/>
  <c r="P2417" i="5"/>
  <c r="M2264" i="5"/>
  <c r="Q2417" i="5"/>
  <c r="M2381" i="5"/>
  <c r="N2219" i="5"/>
  <c r="L2363" i="5"/>
  <c r="H2291" i="5"/>
  <c r="J2282" i="5"/>
  <c r="H2426" i="5"/>
  <c r="F2219" i="5"/>
  <c r="C2200" i="5" l="1"/>
  <c r="B2201" i="5"/>
  <c r="B1994" i="4"/>
  <c r="C1993" i="4"/>
  <c r="C2201" i="5" l="1"/>
  <c r="B2202" i="5"/>
  <c r="B1995" i="4"/>
  <c r="C1994" i="4"/>
  <c r="B2203" i="5" l="1"/>
  <c r="C2202" i="5"/>
  <c r="B1996" i="4"/>
  <c r="C1995" i="4"/>
  <c r="C2203" i="5" l="1"/>
  <c r="B2204" i="5"/>
  <c r="B1997" i="4"/>
  <c r="C1996" i="4"/>
  <c r="C2204" i="5" l="1"/>
  <c r="B2205" i="5"/>
  <c r="B1998" i="4"/>
  <c r="C1997" i="4"/>
  <c r="B2206" i="5" l="1"/>
  <c r="C2205" i="5"/>
  <c r="B1999" i="4"/>
  <c r="C1998" i="4"/>
  <c r="B2207" i="5" l="1"/>
  <c r="C2206" i="5"/>
  <c r="B2000" i="4"/>
  <c r="C1999" i="4"/>
  <c r="B2208" i="5" l="1"/>
  <c r="C2207" i="5"/>
  <c r="B2001" i="4"/>
  <c r="C2000" i="4"/>
  <c r="B2209" i="5" l="1"/>
  <c r="C2208" i="5"/>
  <c r="B2002" i="4"/>
  <c r="C2001" i="4"/>
  <c r="C2209" i="5" l="1"/>
  <c r="B2210" i="5"/>
  <c r="B2003" i="4"/>
  <c r="C2002" i="4"/>
  <c r="C2210" i="5" l="1"/>
  <c r="B2211" i="5"/>
  <c r="B2004" i="4"/>
  <c r="C2003" i="4"/>
  <c r="C2211" i="5" l="1"/>
  <c r="B2212" i="5"/>
  <c r="C2212" i="5" s="1"/>
  <c r="B2005" i="4"/>
  <c r="C2004" i="4"/>
  <c r="B2006" i="4" l="1"/>
  <c r="C2005" i="4"/>
  <c r="B2007" i="4" l="1"/>
  <c r="C2006" i="4"/>
  <c r="B2008" i="4" l="1"/>
  <c r="C2007" i="4"/>
  <c r="B2009" i="4" l="1"/>
  <c r="C2008" i="4"/>
  <c r="B2010" i="4" l="1"/>
  <c r="C2009" i="4"/>
  <c r="B2011" i="4" l="1"/>
  <c r="C2010" i="4"/>
  <c r="B2012" i="4" l="1"/>
  <c r="C2011" i="4"/>
  <c r="B2013" i="4" l="1"/>
  <c r="C2012" i="4"/>
  <c r="B2014" i="4" l="1"/>
  <c r="C2013" i="4"/>
  <c r="B2015" i="4" l="1"/>
  <c r="C2014" i="4"/>
  <c r="B2016" i="4" l="1"/>
  <c r="C2015" i="4"/>
  <c r="B2017" i="4" l="1"/>
  <c r="C2016" i="4"/>
  <c r="B2018" i="4" l="1"/>
  <c r="C2017" i="4"/>
  <c r="B2019" i="4" l="1"/>
  <c r="C2018" i="4"/>
  <c r="B2020" i="4" l="1"/>
  <c r="C2019" i="4"/>
  <c r="B2021" i="4" l="1"/>
  <c r="C2020" i="4"/>
  <c r="B2022" i="4" l="1"/>
  <c r="C2021" i="4"/>
  <c r="B2023" i="4" l="1"/>
  <c r="C2022" i="4"/>
  <c r="B2024" i="4" l="1"/>
  <c r="C2023" i="4"/>
  <c r="B2025" i="4" l="1"/>
  <c r="C2024" i="4"/>
  <c r="B2026" i="4" l="1"/>
  <c r="C2025" i="4"/>
  <c r="B2027" i="4" l="1"/>
  <c r="C2026" i="4"/>
  <c r="B2028" i="4" l="1"/>
  <c r="C2027" i="4"/>
  <c r="B2029" i="4" l="1"/>
  <c r="C2028" i="4"/>
  <c r="B2030" i="4" l="1"/>
  <c r="C2029" i="4"/>
  <c r="B2031" i="4" l="1"/>
  <c r="C2030" i="4"/>
  <c r="B2032" i="4" l="1"/>
  <c r="C2031" i="4"/>
  <c r="B2033" i="4" l="1"/>
  <c r="C2032" i="4"/>
  <c r="B2034" i="4" l="1"/>
  <c r="C2033" i="4"/>
  <c r="B2035" i="4" l="1"/>
  <c r="C2034" i="4"/>
  <c r="B2036" i="4" l="1"/>
  <c r="C2035" i="4"/>
  <c r="B2037" i="4" l="1"/>
  <c r="C2036" i="4"/>
  <c r="B2038" i="4" l="1"/>
  <c r="C2037" i="4"/>
  <c r="B2039" i="4" l="1"/>
  <c r="C2038" i="4"/>
  <c r="B2040" i="4" l="1"/>
  <c r="C2039" i="4"/>
  <c r="B2041" i="4" l="1"/>
  <c r="C2040" i="4"/>
  <c r="B2042" i="4" l="1"/>
  <c r="C2041" i="4"/>
  <c r="B2043" i="4" l="1"/>
  <c r="C2042" i="4"/>
  <c r="B2044" i="4" l="1"/>
  <c r="C2043" i="4"/>
  <c r="B2045" i="4" l="1"/>
  <c r="C2044" i="4"/>
  <c r="B2046" i="4" l="1"/>
  <c r="C2045" i="4"/>
  <c r="B2047" i="4" l="1"/>
  <c r="C2046" i="4"/>
  <c r="B2048" i="4" l="1"/>
  <c r="C2047" i="4"/>
  <c r="B2049" i="4" l="1"/>
  <c r="C2048" i="4"/>
  <c r="B2050" i="4" l="1"/>
  <c r="C2049" i="4"/>
  <c r="B2051" i="4" l="1"/>
  <c r="C2050" i="4"/>
  <c r="B2052" i="4" l="1"/>
  <c r="C2051" i="4"/>
  <c r="B2053" i="4" l="1"/>
  <c r="C2052" i="4"/>
  <c r="B2054" i="4" l="1"/>
  <c r="C2053" i="4"/>
  <c r="B2055" i="4" l="1"/>
  <c r="C2054" i="4"/>
  <c r="B2056" i="4" l="1"/>
  <c r="C2055" i="4"/>
  <c r="B2057" i="4" l="1"/>
  <c r="C2056" i="4"/>
  <c r="B2058" i="4" l="1"/>
  <c r="C2057" i="4"/>
  <c r="B2059" i="4" l="1"/>
  <c r="C2058" i="4"/>
  <c r="B2060" i="4" l="1"/>
  <c r="C2059" i="4"/>
  <c r="B2061" i="4" l="1"/>
  <c r="C2060" i="4"/>
  <c r="B2062" i="4" l="1"/>
  <c r="C2061" i="4"/>
  <c r="B2063" i="4" l="1"/>
  <c r="C2062" i="4"/>
  <c r="B2064" i="4" l="1"/>
  <c r="C2063" i="4"/>
  <c r="B2065" i="4" l="1"/>
  <c r="C2064" i="4"/>
  <c r="B2066" i="4" l="1"/>
  <c r="C2065" i="4"/>
  <c r="B2067" i="4" l="1"/>
  <c r="C2066" i="4"/>
  <c r="B2068" i="4" l="1"/>
  <c r="C2067" i="4"/>
  <c r="B2069" i="4" l="1"/>
  <c r="C2068" i="4"/>
  <c r="B2070" i="4" l="1"/>
  <c r="C2069" i="4"/>
  <c r="B2071" i="4" l="1"/>
  <c r="C2070" i="4"/>
  <c r="B2072" i="4" l="1"/>
  <c r="C2071" i="4"/>
  <c r="B2073" i="4" l="1"/>
  <c r="C2072" i="4"/>
  <c r="B2074" i="4" l="1"/>
  <c r="C2073" i="4"/>
  <c r="B2075" i="4" l="1"/>
  <c r="C2074" i="4"/>
  <c r="B2076" i="4" l="1"/>
  <c r="C2075" i="4"/>
  <c r="B2077" i="4" l="1"/>
  <c r="C2076" i="4"/>
  <c r="B2078" i="4" l="1"/>
  <c r="C2077" i="4"/>
  <c r="B2079" i="4" l="1"/>
  <c r="C2078" i="4"/>
  <c r="B2080" i="4" l="1"/>
  <c r="C2079" i="4"/>
  <c r="B2081" i="4" l="1"/>
  <c r="C2080" i="4"/>
  <c r="B2082" i="4" l="1"/>
  <c r="C2081" i="4"/>
  <c r="B2083" i="4" l="1"/>
  <c r="C2082" i="4"/>
  <c r="B2084" i="4" l="1"/>
  <c r="C2083" i="4"/>
  <c r="B2085" i="4" l="1"/>
  <c r="C2084" i="4"/>
  <c r="B2086" i="4" l="1"/>
  <c r="C2085" i="4"/>
  <c r="B2087" i="4" l="1"/>
  <c r="C2086" i="4"/>
  <c r="B2088" i="4" l="1"/>
  <c r="C2087" i="4"/>
  <c r="C2088" i="4" l="1"/>
  <c r="B2089" i="4"/>
  <c r="B2090" i="4" l="1"/>
  <c r="C2089" i="4"/>
  <c r="B2091" i="4" l="1"/>
  <c r="C2090" i="4"/>
  <c r="B2092" i="4" l="1"/>
  <c r="C2091" i="4"/>
  <c r="B2093" i="4" l="1"/>
  <c r="C2092" i="4"/>
  <c r="B2094" i="4" l="1"/>
  <c r="C2093" i="4"/>
  <c r="B2095" i="4" l="1"/>
  <c r="C2094" i="4"/>
  <c r="B2096" i="4" l="1"/>
  <c r="C2095" i="4"/>
  <c r="B2097" i="4" l="1"/>
  <c r="C2096" i="4"/>
  <c r="B2098" i="4" l="1"/>
  <c r="C2097" i="4"/>
  <c r="B2099" i="4" l="1"/>
  <c r="C2098" i="4"/>
  <c r="B2100" i="4" l="1"/>
  <c r="C2099" i="4"/>
  <c r="B2101" i="4" l="1"/>
  <c r="C2100" i="4"/>
  <c r="B2102" i="4" l="1"/>
  <c r="C2101" i="4"/>
  <c r="B2103" i="4" l="1"/>
  <c r="C2102" i="4"/>
  <c r="B2104" i="4" l="1"/>
  <c r="C2103" i="4"/>
  <c r="B2105" i="4" l="1"/>
  <c r="C2104" i="4"/>
  <c r="B2106" i="4" l="1"/>
  <c r="C2105" i="4"/>
  <c r="B2107" i="4" l="1"/>
  <c r="C2106" i="4"/>
  <c r="B2108" i="4" l="1"/>
  <c r="C2107" i="4"/>
  <c r="B2109" i="4" l="1"/>
  <c r="C2108" i="4"/>
  <c r="B2110" i="4" l="1"/>
  <c r="C2109" i="4"/>
  <c r="B2111" i="4" l="1"/>
  <c r="C2110" i="4"/>
  <c r="B2112" i="4" l="1"/>
  <c r="C2111" i="4"/>
  <c r="B2113" i="4" l="1"/>
  <c r="C2112" i="4"/>
  <c r="B2114" i="4" l="1"/>
  <c r="C2113" i="4"/>
  <c r="B2115" i="4" l="1"/>
  <c r="C2114" i="4"/>
  <c r="B2116" i="4" l="1"/>
  <c r="C2115" i="4"/>
  <c r="B2117" i="4" l="1"/>
  <c r="C2116" i="4"/>
  <c r="B2118" i="4" l="1"/>
  <c r="C2117" i="4"/>
  <c r="B2119" i="4" l="1"/>
  <c r="C2118" i="4"/>
  <c r="B2120" i="4" l="1"/>
  <c r="C2119" i="4"/>
  <c r="B2121" i="4" l="1"/>
  <c r="C2120" i="4"/>
  <c r="B2122" i="4" l="1"/>
  <c r="C2121" i="4"/>
  <c r="B2123" i="4" l="1"/>
  <c r="C2122" i="4"/>
  <c r="B2124" i="4" l="1"/>
  <c r="C2123" i="4"/>
  <c r="B2125" i="4" l="1"/>
  <c r="C2124" i="4"/>
  <c r="B2126" i="4" l="1"/>
  <c r="C2125" i="4"/>
  <c r="B2127" i="4" l="1"/>
  <c r="C2126" i="4"/>
  <c r="B2128" i="4" l="1"/>
  <c r="C2127" i="4"/>
  <c r="B2129" i="4" l="1"/>
  <c r="C2128" i="4"/>
  <c r="B2130" i="4" l="1"/>
  <c r="C2129" i="4"/>
  <c r="B2131" i="4" l="1"/>
  <c r="C2130" i="4"/>
  <c r="B2132" i="4" l="1"/>
  <c r="C2131" i="4"/>
  <c r="B2133" i="4" l="1"/>
  <c r="C2132" i="4"/>
  <c r="B2134" i="4" l="1"/>
  <c r="C2133" i="4"/>
  <c r="B2135" i="4" l="1"/>
  <c r="C2134" i="4"/>
  <c r="B2136" i="4" l="1"/>
  <c r="C2135" i="4"/>
  <c r="B2137" i="4" l="1"/>
  <c r="C2136" i="4"/>
  <c r="B2138" i="4" l="1"/>
  <c r="C2137" i="4"/>
  <c r="B2139" i="4" l="1"/>
  <c r="C2138" i="4"/>
  <c r="B2140" i="4" l="1"/>
  <c r="C2139" i="4"/>
  <c r="B2141" i="4" l="1"/>
  <c r="C2140" i="4"/>
  <c r="B2142" i="4" l="1"/>
  <c r="C2141" i="4"/>
  <c r="B2143" i="4" l="1"/>
  <c r="C2142" i="4"/>
  <c r="B2144" i="4" l="1"/>
  <c r="C2143" i="4"/>
  <c r="B2145" i="4" l="1"/>
  <c r="C2144" i="4"/>
  <c r="B2146" i="4" l="1"/>
  <c r="C2145" i="4"/>
  <c r="B2147" i="4" l="1"/>
  <c r="C2146" i="4"/>
  <c r="B2148" i="4" l="1"/>
  <c r="C2147" i="4"/>
  <c r="B2149" i="4" l="1"/>
  <c r="C2148" i="4"/>
  <c r="B2150" i="4" l="1"/>
  <c r="C2149" i="4"/>
  <c r="B2151" i="4" l="1"/>
  <c r="C2150" i="4"/>
  <c r="B2152" i="4" l="1"/>
  <c r="C2151" i="4"/>
  <c r="B2153" i="4" l="1"/>
  <c r="C2152" i="4"/>
  <c r="B2154" i="4" l="1"/>
  <c r="C2153" i="4"/>
  <c r="B2155" i="4" l="1"/>
  <c r="C2154" i="4"/>
  <c r="B2156" i="4" l="1"/>
  <c r="C2155" i="4"/>
  <c r="B2157" i="4" l="1"/>
  <c r="C2156" i="4"/>
  <c r="B2158" i="4" l="1"/>
  <c r="C2157" i="4"/>
  <c r="B2159" i="4" l="1"/>
  <c r="C2158" i="4"/>
  <c r="B2160" i="4" l="1"/>
  <c r="C2159" i="4"/>
  <c r="B2161" i="4" l="1"/>
  <c r="C2160" i="4"/>
  <c r="B2162" i="4" l="1"/>
  <c r="C2161" i="4"/>
  <c r="B2163" i="4" l="1"/>
  <c r="C2162" i="4"/>
  <c r="B2164" i="4" l="1"/>
  <c r="C2163" i="4"/>
  <c r="B2165" i="4" l="1"/>
  <c r="C2164" i="4"/>
  <c r="B2166" i="4" l="1"/>
  <c r="C2165" i="4"/>
  <c r="B2167" i="4" l="1"/>
  <c r="C2166" i="4"/>
  <c r="B2168" i="4" l="1"/>
  <c r="C2167" i="4"/>
  <c r="B2169" i="4" l="1"/>
  <c r="C2168" i="4"/>
  <c r="B2170" i="4" l="1"/>
  <c r="C2169" i="4"/>
  <c r="B2171" i="4" l="1"/>
  <c r="C2170" i="4"/>
  <c r="B2172" i="4" l="1"/>
  <c r="C2171" i="4"/>
  <c r="B2173" i="4" l="1"/>
  <c r="C2172" i="4"/>
  <c r="B2174" i="4" l="1"/>
  <c r="C2173" i="4"/>
  <c r="B2175" i="4" l="1"/>
  <c r="C2174" i="4"/>
  <c r="B2176" i="4" l="1"/>
  <c r="C2175" i="4"/>
  <c r="B2177" i="4" l="1"/>
  <c r="C2176" i="4"/>
  <c r="B2178" i="4" l="1"/>
  <c r="C2177" i="4"/>
  <c r="B2179" i="4" l="1"/>
  <c r="C2178" i="4"/>
  <c r="B2180" i="4" l="1"/>
  <c r="C2179" i="4"/>
  <c r="B2181" i="4" l="1"/>
  <c r="C2180" i="4"/>
  <c r="B2182" i="4" l="1"/>
  <c r="C2181" i="4"/>
  <c r="B2183" i="4" l="1"/>
  <c r="C2182" i="4"/>
  <c r="B2184" i="4" l="1"/>
  <c r="C2183" i="4"/>
  <c r="B2185" i="4" l="1"/>
  <c r="C2184" i="4"/>
  <c r="B2186" i="4" l="1"/>
  <c r="C2185" i="4"/>
  <c r="B2187" i="4" l="1"/>
  <c r="C2186" i="4"/>
  <c r="B2188" i="4" l="1"/>
  <c r="C2187" i="4"/>
  <c r="B2189" i="4" l="1"/>
  <c r="C2188" i="4"/>
  <c r="B2190" i="4" l="1"/>
  <c r="C2189" i="4"/>
  <c r="B2191" i="4" l="1"/>
  <c r="C2190" i="4"/>
  <c r="B2192" i="4" l="1"/>
  <c r="C2191" i="4"/>
  <c r="B2193" i="4" l="1"/>
  <c r="C2192" i="4"/>
  <c r="B2194" i="4" l="1"/>
  <c r="C2193" i="4"/>
  <c r="B2195" i="4" l="1"/>
  <c r="C2194" i="4"/>
  <c r="B2196" i="4" l="1"/>
  <c r="C2195" i="4"/>
  <c r="B2197" i="4" l="1"/>
  <c r="C2196" i="4"/>
  <c r="B2198" i="4" l="1"/>
  <c r="C2197" i="4"/>
  <c r="B2199" i="4" l="1"/>
  <c r="C2198" i="4"/>
  <c r="B2200" i="4" l="1"/>
  <c r="C2199" i="4"/>
  <c r="B2201" i="4" l="1"/>
  <c r="C2200" i="4"/>
  <c r="B2202" i="4" l="1"/>
  <c r="C2201" i="4"/>
  <c r="B2203" i="4" l="1"/>
  <c r="C2202" i="4"/>
  <c r="B2204" i="4" l="1"/>
  <c r="C2203" i="4"/>
  <c r="B2205" i="4" l="1"/>
  <c r="C2204" i="4"/>
  <c r="B2206" i="4" l="1"/>
  <c r="C2205" i="4"/>
  <c r="B2207" i="4" l="1"/>
  <c r="C2206" i="4"/>
  <c r="B2208" i="4" l="1"/>
  <c r="C2207" i="4"/>
  <c r="B2209" i="4" l="1"/>
  <c r="C2208" i="4"/>
  <c r="B2210" i="4" l="1"/>
  <c r="C2209" i="4"/>
  <c r="B2211" i="4" l="1"/>
  <c r="C2210" i="4"/>
  <c r="B2212" i="4" l="1"/>
  <c r="C2211" i="4"/>
  <c r="B2213" i="4" l="1"/>
  <c r="C2212" i="4"/>
  <c r="B2214" i="4" l="1"/>
  <c r="C2213" i="4"/>
  <c r="B2215" i="4" l="1"/>
  <c r="C2214" i="4"/>
  <c r="B2216" i="4" l="1"/>
  <c r="C2215" i="4"/>
  <c r="B2217" i="4" l="1"/>
  <c r="C2216" i="4"/>
  <c r="B2218" i="4" l="1"/>
  <c r="C2217" i="4"/>
  <c r="B2219" i="4" l="1"/>
  <c r="C2218" i="4"/>
  <c r="B2220" i="4" l="1"/>
  <c r="C2219" i="4"/>
  <c r="B2221" i="4" l="1"/>
  <c r="C2220" i="4"/>
  <c r="B2222" i="4" l="1"/>
  <c r="C2221" i="4"/>
  <c r="B2223" i="4" l="1"/>
  <c r="C2222" i="4"/>
  <c r="B2224" i="4" l="1"/>
  <c r="C2223" i="4"/>
  <c r="B2225" i="4" l="1"/>
  <c r="C2224" i="4"/>
  <c r="B2226" i="4" l="1"/>
  <c r="C2225" i="4"/>
  <c r="B2227" i="4" l="1"/>
  <c r="C2226" i="4"/>
  <c r="B2228" i="4" l="1"/>
  <c r="C2227" i="4"/>
  <c r="C2228" i="4" l="1"/>
  <c r="B2229" i="4"/>
  <c r="B2230" i="4" l="1"/>
  <c r="C2229" i="4"/>
  <c r="B2231" i="4" l="1"/>
  <c r="C2230" i="4"/>
  <c r="B2232" i="4" l="1"/>
  <c r="C2231" i="4"/>
  <c r="B2233" i="4" l="1"/>
  <c r="C2232" i="4"/>
  <c r="B2234" i="4" l="1"/>
  <c r="C2233" i="4"/>
  <c r="B2235" i="4" l="1"/>
  <c r="C2234" i="4"/>
  <c r="B2236" i="4" l="1"/>
  <c r="C2235" i="4"/>
  <c r="B2237" i="4" l="1"/>
  <c r="C2236" i="4"/>
  <c r="B2238" i="4" l="1"/>
  <c r="C2237" i="4"/>
  <c r="B2239" i="4" l="1"/>
  <c r="C2238" i="4"/>
  <c r="B2240" i="4" l="1"/>
  <c r="C2239" i="4"/>
  <c r="B2241" i="4" l="1"/>
  <c r="C2240" i="4"/>
  <c r="B2242" i="4" l="1"/>
  <c r="C2241" i="4"/>
  <c r="B2243" i="4" l="1"/>
  <c r="C2242" i="4"/>
  <c r="B2244" i="4" l="1"/>
  <c r="C2243" i="4"/>
  <c r="B2245" i="4" l="1"/>
  <c r="C2244" i="4"/>
  <c r="B2246" i="4" l="1"/>
  <c r="C2245" i="4"/>
  <c r="B2247" i="4" l="1"/>
  <c r="C2246" i="4"/>
  <c r="B2248" i="4" l="1"/>
  <c r="C2247" i="4"/>
  <c r="B2249" i="4" l="1"/>
  <c r="C2248" i="4"/>
  <c r="B2250" i="4" l="1"/>
  <c r="C2249" i="4"/>
  <c r="B2251" i="4" l="1"/>
  <c r="C2250" i="4"/>
  <c r="B2252" i="4" l="1"/>
  <c r="C2251" i="4"/>
  <c r="B2253" i="4" l="1"/>
  <c r="C2252" i="4"/>
  <c r="B2254" i="4" l="1"/>
  <c r="C2253" i="4"/>
  <c r="B2255" i="4" l="1"/>
  <c r="C2254" i="4"/>
  <c r="B2256" i="4" l="1"/>
  <c r="C2255" i="4"/>
  <c r="B2257" i="4" l="1"/>
  <c r="C2256" i="4"/>
  <c r="B2258" i="4" l="1"/>
  <c r="C2257" i="4"/>
  <c r="B2259" i="4" l="1"/>
  <c r="C2258" i="4"/>
  <c r="B2260" i="4" l="1"/>
  <c r="C2259" i="4"/>
  <c r="B2261" i="4" l="1"/>
  <c r="C2260" i="4"/>
  <c r="B2262" i="4" l="1"/>
  <c r="C2261" i="4"/>
  <c r="B2263" i="4" l="1"/>
  <c r="C2262" i="4"/>
  <c r="B2264" i="4" l="1"/>
  <c r="C2263" i="4"/>
  <c r="B2265" i="4" l="1"/>
  <c r="C2264" i="4"/>
  <c r="B2266" i="4" l="1"/>
  <c r="C2265" i="4"/>
  <c r="B2267" i="4" l="1"/>
  <c r="C2266" i="4"/>
  <c r="B2268" i="4" l="1"/>
  <c r="C2267" i="4"/>
  <c r="B2269" i="4" l="1"/>
  <c r="C2268" i="4"/>
  <c r="B2270" i="4" l="1"/>
  <c r="C2269" i="4"/>
  <c r="B2271" i="4" l="1"/>
  <c r="C2270" i="4"/>
  <c r="B2272" i="4" l="1"/>
  <c r="C2271" i="4"/>
  <c r="B2273" i="4" l="1"/>
  <c r="C2272" i="4"/>
  <c r="B2274" i="4" l="1"/>
  <c r="C2273" i="4"/>
  <c r="B2275" i="4" l="1"/>
  <c r="C2274" i="4"/>
  <c r="B2276" i="4" l="1"/>
  <c r="C2275" i="4"/>
  <c r="B2277" i="4" l="1"/>
  <c r="C2276" i="4"/>
  <c r="B2278" i="4" l="1"/>
  <c r="C2277" i="4"/>
  <c r="B2279" i="4" l="1"/>
  <c r="C2278" i="4"/>
  <c r="B2280" i="4" l="1"/>
  <c r="C2279" i="4"/>
  <c r="B2281" i="4" l="1"/>
  <c r="C2280" i="4"/>
  <c r="B2282" i="4" l="1"/>
  <c r="C2281" i="4"/>
  <c r="B2283" i="4" l="1"/>
  <c r="C2282" i="4"/>
  <c r="B2284" i="4" l="1"/>
  <c r="C2283" i="4"/>
  <c r="B2285" i="4" l="1"/>
  <c r="C2284" i="4"/>
  <c r="B2286" i="4" l="1"/>
  <c r="C2285" i="4"/>
  <c r="B2287" i="4" l="1"/>
  <c r="C2286" i="4"/>
  <c r="B2288" i="4" l="1"/>
  <c r="C2287" i="4"/>
  <c r="B2289" i="4" l="1"/>
  <c r="C2288" i="4"/>
  <c r="B2290" i="4" l="1"/>
  <c r="C2289" i="4"/>
  <c r="B2291" i="4" l="1"/>
  <c r="C2290" i="4"/>
  <c r="B2292" i="4" l="1"/>
  <c r="C2291" i="4"/>
  <c r="B2293" i="4" l="1"/>
  <c r="C2292" i="4"/>
  <c r="B2294" i="4" l="1"/>
  <c r="C2293" i="4"/>
  <c r="B2295" i="4" l="1"/>
  <c r="C2294" i="4"/>
  <c r="B2296" i="4" l="1"/>
  <c r="C2295" i="4"/>
  <c r="B2297" i="4" l="1"/>
  <c r="C2296" i="4"/>
  <c r="B2298" i="4" l="1"/>
  <c r="C2297" i="4"/>
  <c r="C2298" i="4" l="1"/>
  <c r="B2299" i="4"/>
  <c r="B2300" i="4" l="1"/>
  <c r="C2299" i="4"/>
  <c r="B2301" i="4" l="1"/>
  <c r="C2300" i="4"/>
  <c r="B2302" i="4" l="1"/>
  <c r="C2301" i="4"/>
  <c r="B2303" i="4" l="1"/>
  <c r="C2302" i="4"/>
  <c r="B2304" i="4" l="1"/>
  <c r="C2303" i="4"/>
  <c r="B2305" i="4" l="1"/>
  <c r="C2304" i="4"/>
  <c r="B2306" i="4" l="1"/>
  <c r="C2305" i="4"/>
  <c r="B2307" i="4" l="1"/>
  <c r="C2306" i="4"/>
  <c r="B2308" i="4" l="1"/>
  <c r="C2307" i="4"/>
  <c r="B2309" i="4" l="1"/>
  <c r="C2308" i="4"/>
  <c r="B2310" i="4" l="1"/>
  <c r="C2309" i="4"/>
  <c r="B2311" i="4" l="1"/>
  <c r="C2310" i="4"/>
  <c r="B2312" i="4" l="1"/>
  <c r="C2311" i="4"/>
  <c r="B2313" i="4" l="1"/>
  <c r="C2312" i="4"/>
  <c r="B2314" i="4" l="1"/>
  <c r="C2313" i="4"/>
  <c r="B2315" i="4" l="1"/>
  <c r="C2314" i="4"/>
  <c r="B2316" i="4" l="1"/>
  <c r="C2315" i="4"/>
  <c r="B2317" i="4" l="1"/>
  <c r="C2316" i="4"/>
  <c r="B2318" i="4" l="1"/>
  <c r="C2317" i="4"/>
  <c r="B2319" i="4" l="1"/>
  <c r="C2318" i="4"/>
  <c r="B2320" i="4" l="1"/>
  <c r="C2319" i="4"/>
  <c r="B2321" i="4" l="1"/>
  <c r="C2320" i="4"/>
  <c r="B2322" i="4" l="1"/>
  <c r="C2321" i="4"/>
  <c r="B2323" i="4" l="1"/>
  <c r="C2322" i="4"/>
  <c r="B2324" i="4" l="1"/>
  <c r="C2323" i="4"/>
  <c r="B2325" i="4" l="1"/>
  <c r="C2324" i="4"/>
  <c r="B2326" i="4" l="1"/>
  <c r="C2325" i="4"/>
  <c r="B2327" i="4" l="1"/>
  <c r="C2326" i="4"/>
  <c r="B2328" i="4" l="1"/>
  <c r="C2327" i="4"/>
  <c r="B2329" i="4" l="1"/>
  <c r="C2328" i="4"/>
  <c r="B2330" i="4" l="1"/>
  <c r="C2329" i="4"/>
  <c r="B2331" i="4" l="1"/>
  <c r="C2330" i="4"/>
  <c r="B2332" i="4" l="1"/>
  <c r="C2331" i="4"/>
  <c r="B2333" i="4" l="1"/>
  <c r="C2332" i="4"/>
  <c r="B2334" i="4" l="1"/>
  <c r="C2333" i="4"/>
  <c r="B2335" i="4" l="1"/>
  <c r="C2334" i="4"/>
  <c r="B2336" i="4" l="1"/>
  <c r="C2335" i="4"/>
  <c r="B2337" i="4" l="1"/>
  <c r="C2336" i="4"/>
  <c r="B2338" i="4" l="1"/>
  <c r="C2337" i="4"/>
  <c r="B2339" i="4" l="1"/>
  <c r="C2338" i="4"/>
  <c r="B2340" i="4" l="1"/>
  <c r="C2339" i="4"/>
  <c r="B2341" i="4" l="1"/>
  <c r="C2340" i="4"/>
  <c r="B2342" i="4" l="1"/>
  <c r="C2341" i="4"/>
  <c r="B2343" i="4" l="1"/>
  <c r="C2342" i="4"/>
  <c r="B2344" i="4" l="1"/>
  <c r="C2343" i="4"/>
  <c r="B2345" i="4" l="1"/>
  <c r="C2344" i="4"/>
  <c r="B2346" i="4" l="1"/>
  <c r="C2345" i="4"/>
  <c r="B2347" i="4" l="1"/>
  <c r="C2346" i="4"/>
  <c r="B2348" i="4" l="1"/>
  <c r="C2347" i="4"/>
  <c r="B2349" i="4" l="1"/>
  <c r="C2348" i="4"/>
  <c r="B2350" i="4" l="1"/>
  <c r="C2349" i="4"/>
  <c r="B2351" i="4" l="1"/>
  <c r="C2350" i="4"/>
  <c r="B2352" i="4" l="1"/>
  <c r="C2351" i="4"/>
  <c r="B2353" i="4" l="1"/>
  <c r="C2352" i="4"/>
  <c r="B2354" i="4" l="1"/>
  <c r="C2353" i="4"/>
  <c r="B2355" i="4" l="1"/>
  <c r="C2354" i="4"/>
  <c r="B2356" i="4" l="1"/>
  <c r="C2355" i="4"/>
  <c r="B2357" i="4" l="1"/>
  <c r="C2356" i="4"/>
  <c r="B2358" i="4" l="1"/>
  <c r="C2357" i="4"/>
  <c r="B2359" i="4" l="1"/>
  <c r="C2358" i="4"/>
  <c r="B2360" i="4" l="1"/>
  <c r="C2359" i="4"/>
  <c r="B2361" i="4" l="1"/>
  <c r="C2360" i="4"/>
  <c r="B2362" i="4" l="1"/>
  <c r="C2361" i="4"/>
  <c r="B2363" i="4" l="1"/>
  <c r="C2362" i="4"/>
  <c r="B2364" i="4" l="1"/>
  <c r="C2363" i="4"/>
  <c r="B2365" i="4" l="1"/>
  <c r="C2364" i="4"/>
  <c r="B2366" i="4" l="1"/>
  <c r="C2365" i="4"/>
  <c r="B2367" i="4" l="1"/>
  <c r="C2366" i="4"/>
  <c r="B2368" i="4" l="1"/>
  <c r="C2367" i="4"/>
  <c r="C2368" i="4" l="1"/>
  <c r="F32" i="3"/>
  <c r="AD32" i="3" s="1"/>
  <c r="F34" i="3"/>
  <c r="AD34" i="3" s="1"/>
  <c r="M47" i="2" s="1"/>
  <c r="F35" i="3"/>
  <c r="AD35" i="3" s="1"/>
  <c r="M48" i="2" s="1"/>
  <c r="F36" i="3"/>
  <c r="AD36" i="3" s="1"/>
  <c r="M49" i="2" s="1"/>
  <c r="F37" i="3"/>
  <c r="AD37" i="3" s="1"/>
  <c r="M50" i="2" s="1"/>
  <c r="F38" i="3"/>
  <c r="AD38" i="3" s="1"/>
  <c r="M51" i="2" s="1"/>
  <c r="F39" i="3"/>
  <c r="AD39" i="3" s="1"/>
  <c r="M52" i="2" s="1"/>
  <c r="F40" i="3"/>
  <c r="AD40" i="3" s="1"/>
  <c r="M53" i="2" s="1"/>
  <c r="F41" i="3"/>
  <c r="AD41" i="3" s="1"/>
  <c r="M54" i="2" s="1"/>
  <c r="F42" i="3"/>
  <c r="AD42" i="3" s="1"/>
  <c r="M55" i="2" s="1"/>
  <c r="F43" i="3"/>
  <c r="AD43" i="3" s="1"/>
  <c r="M56" i="2" s="1"/>
  <c r="F44" i="3"/>
  <c r="AD44" i="3" s="1"/>
  <c r="M57" i="2" s="1"/>
  <c r="F45" i="3"/>
  <c r="AD45" i="3" s="1"/>
  <c r="M58" i="2" s="1"/>
  <c r="F46" i="3"/>
  <c r="AD46" i="3" s="1"/>
  <c r="M59" i="2" s="1"/>
  <c r="F47" i="3"/>
  <c r="AD47" i="3" s="1"/>
  <c r="M60" i="2" s="1"/>
  <c r="F48" i="3"/>
  <c r="AD48" i="3" s="1"/>
  <c r="F49" i="3"/>
  <c r="AD49" i="3" s="1"/>
  <c r="M62" i="2" s="1"/>
  <c r="F50" i="3"/>
  <c r="AD50" i="3" s="1"/>
  <c r="F51" i="3"/>
  <c r="AD51" i="3" s="1"/>
  <c r="M64" i="2" s="1"/>
  <c r="F33" i="3"/>
  <c r="AD33" i="3" s="1"/>
  <c r="M46" i="2" s="1"/>
  <c r="C1354" i="4"/>
  <c r="M61" i="2" l="1"/>
  <c r="M63" i="2"/>
  <c r="C1188" i="5"/>
  <c r="C1315" i="5"/>
  <c r="C1258" i="5"/>
  <c r="Y43" i="7"/>
  <c r="X43" i="7" s="1"/>
  <c r="Y44" i="7" l="1"/>
  <c r="X44" i="7" s="1"/>
  <c r="C1757" i="5" l="1"/>
  <c r="C1701" i="5"/>
  <c r="C1645" i="5"/>
  <c r="C1589" i="5"/>
  <c r="C1534" i="5"/>
  <c r="C1477" i="5"/>
  <c r="C1421" i="5"/>
  <c r="C1365" i="5"/>
  <c r="C1308" i="5"/>
  <c r="C1251" i="5"/>
  <c r="C1181" i="5"/>
  <c r="C1125" i="5"/>
  <c r="C1069" i="5"/>
  <c r="C1013" i="5"/>
  <c r="C25" i="3"/>
  <c r="Y45" i="7"/>
  <c r="X45" i="7" s="1"/>
  <c r="Y46" i="7"/>
  <c r="X46" i="7" s="1"/>
  <c r="Y47" i="7"/>
  <c r="X47" i="7" s="1"/>
  <c r="N7" i="8"/>
  <c r="M7" i="8"/>
  <c r="L7" i="8"/>
  <c r="J7" i="8"/>
  <c r="I7" i="8"/>
  <c r="H7" i="8"/>
  <c r="G7" i="8"/>
  <c r="F7" i="8"/>
  <c r="E7" i="8"/>
  <c r="D7" i="8"/>
  <c r="Y48" i="7"/>
  <c r="X48" i="7" s="1"/>
  <c r="E103" i="7"/>
  <c r="D103" i="7"/>
  <c r="H25" i="3" l="1"/>
  <c r="J25" i="3"/>
  <c r="AE25" i="3" s="1"/>
  <c r="Q25" i="3"/>
  <c r="F25" i="3"/>
  <c r="P25" i="3"/>
  <c r="M25" i="3"/>
  <c r="O25" i="3"/>
  <c r="N25" i="3"/>
  <c r="K25" i="3"/>
  <c r="L25" i="3"/>
  <c r="U25" i="3"/>
  <c r="I25" i="3"/>
  <c r="V25" i="3"/>
  <c r="T25" i="3"/>
  <c r="R25" i="3"/>
  <c r="S25" i="3"/>
  <c r="Y49" i="7"/>
  <c r="X49" i="7" s="1"/>
  <c r="AF25" i="3" l="1"/>
  <c r="Q38" i="2" s="1"/>
  <c r="O38" i="2"/>
  <c r="AB25" i="3"/>
  <c r="G38" i="2" s="1"/>
  <c r="AJ25" i="3"/>
  <c r="AG25" i="3"/>
  <c r="AH25" i="3"/>
  <c r="AD25" i="3"/>
  <c r="AI25" i="3"/>
  <c r="Z129" i="2"/>
  <c r="Z128" i="2"/>
  <c r="Z127" i="2"/>
  <c r="Z126" i="2"/>
  <c r="Z125" i="2"/>
  <c r="Z124" i="2"/>
  <c r="Z123" i="2"/>
  <c r="Z122" i="2"/>
  <c r="T129" i="2"/>
  <c r="T128" i="2"/>
  <c r="T127" i="2"/>
  <c r="T126" i="2"/>
  <c r="T125" i="2"/>
  <c r="T124" i="2"/>
  <c r="T123" i="2"/>
  <c r="T122" i="2"/>
  <c r="T56" i="2" s="1"/>
  <c r="P129" i="2"/>
  <c r="P128" i="2"/>
  <c r="P127" i="2"/>
  <c r="P126" i="2"/>
  <c r="P125" i="2"/>
  <c r="P124" i="2"/>
  <c r="P123" i="2"/>
  <c r="P122" i="2"/>
  <c r="P56" i="2" s="1"/>
  <c r="N122" i="2"/>
  <c r="N123" i="2"/>
  <c r="N124" i="2"/>
  <c r="N125" i="2"/>
  <c r="N126" i="2"/>
  <c r="N127" i="2"/>
  <c r="N128" i="2"/>
  <c r="N129" i="2"/>
  <c r="AB129" i="2"/>
  <c r="AB128" i="2"/>
  <c r="AB127" i="2"/>
  <c r="AB126" i="2"/>
  <c r="AB125" i="2"/>
  <c r="AB124" i="2"/>
  <c r="AB123" i="2"/>
  <c r="AB122" i="2"/>
  <c r="AB56" i="2" s="1"/>
  <c r="V129" i="2"/>
  <c r="V128" i="2"/>
  <c r="V127" i="2"/>
  <c r="V126" i="2"/>
  <c r="V125" i="2"/>
  <c r="V124" i="2"/>
  <c r="V123" i="2"/>
  <c r="V122" i="2"/>
  <c r="R129" i="2"/>
  <c r="R128" i="2"/>
  <c r="R127" i="2"/>
  <c r="R126" i="2"/>
  <c r="R125" i="2"/>
  <c r="R124" i="2"/>
  <c r="R123" i="2"/>
  <c r="R122" i="2"/>
  <c r="K129" i="2"/>
  <c r="K128" i="2"/>
  <c r="K127" i="2"/>
  <c r="K126" i="2"/>
  <c r="K125" i="2"/>
  <c r="K124" i="2"/>
  <c r="K123" i="2"/>
  <c r="K122" i="2"/>
  <c r="H129" i="2"/>
  <c r="H128" i="2"/>
  <c r="H127" i="2"/>
  <c r="H126" i="2"/>
  <c r="H125" i="2"/>
  <c r="H124" i="2"/>
  <c r="H123" i="2"/>
  <c r="H122" i="2"/>
  <c r="H56" i="2" s="1"/>
  <c r="R48" i="2" l="1"/>
  <c r="R56" i="2"/>
  <c r="V56" i="2"/>
  <c r="V60" i="2"/>
  <c r="V59" i="2"/>
  <c r="N56" i="2"/>
  <c r="Z56" i="2"/>
  <c r="V61" i="2"/>
  <c r="V64" i="2"/>
  <c r="V55" i="2"/>
  <c r="T50" i="2"/>
  <c r="T54" i="2"/>
  <c r="H59" i="2"/>
  <c r="AB51" i="2"/>
  <c r="Z47" i="2"/>
  <c r="Z49" i="2"/>
  <c r="P57" i="2"/>
  <c r="P47" i="2"/>
  <c r="Y38" i="2"/>
  <c r="Z38" i="2" s="1"/>
  <c r="M38" i="2"/>
  <c r="N38" i="2" s="1"/>
  <c r="U38" i="2"/>
  <c r="V38" i="2" s="1"/>
  <c r="S38" i="2"/>
  <c r="T38" i="2" s="1"/>
  <c r="AA38" i="2"/>
  <c r="AB38" i="2" s="1"/>
  <c r="V54" i="2"/>
  <c r="V53" i="2"/>
  <c r="V50" i="2"/>
  <c r="V62" i="2"/>
  <c r="V52" i="2"/>
  <c r="V57" i="2"/>
  <c r="V58" i="2"/>
  <c r="V46" i="2"/>
  <c r="V49" i="2"/>
  <c r="V51" i="2"/>
  <c r="V48" i="2"/>
  <c r="V63" i="2"/>
  <c r="V47" i="2"/>
  <c r="Z50" i="2"/>
  <c r="Z64" i="2"/>
  <c r="Z57" i="2"/>
  <c r="Z60" i="2"/>
  <c r="Z58" i="2"/>
  <c r="Z48" i="2"/>
  <c r="Z63" i="2"/>
  <c r="Z62" i="2"/>
  <c r="Z55" i="2"/>
  <c r="Z52" i="2"/>
  <c r="Z59" i="2"/>
  <c r="Z46" i="2"/>
  <c r="Z61" i="2"/>
  <c r="Z53" i="2"/>
  <c r="Z51" i="2"/>
  <c r="Z54" i="2"/>
  <c r="R62" i="2"/>
  <c r="R58" i="2"/>
  <c r="R57" i="2"/>
  <c r="R50" i="2"/>
  <c r="R52" i="2"/>
  <c r="R60" i="2"/>
  <c r="R38" i="2"/>
  <c r="R63" i="2"/>
  <c r="R51" i="2"/>
  <c r="R46" i="2"/>
  <c r="R59" i="2"/>
  <c r="R54" i="2"/>
  <c r="R47" i="2"/>
  <c r="R53" i="2"/>
  <c r="R49" i="2"/>
  <c r="R55" i="2"/>
  <c r="R61" i="2"/>
  <c r="R64" i="2"/>
  <c r="AB60" i="2"/>
  <c r="AB64" i="2"/>
  <c r="AB58" i="2"/>
  <c r="AB46" i="2"/>
  <c r="AB63" i="2"/>
  <c r="AB50" i="2"/>
  <c r="AB59" i="2"/>
  <c r="AB55" i="2"/>
  <c r="AB52" i="2"/>
  <c r="AB54" i="2"/>
  <c r="AB48" i="2"/>
  <c r="AB57" i="2"/>
  <c r="AB49" i="2"/>
  <c r="AB62" i="2"/>
  <c r="AB47" i="2"/>
  <c r="AB53" i="2"/>
  <c r="AB61" i="2"/>
  <c r="N52" i="2"/>
  <c r="N54" i="2"/>
  <c r="N58" i="2"/>
  <c r="N50" i="2"/>
  <c r="N61" i="2"/>
  <c r="N64" i="2"/>
  <c r="N51" i="2"/>
  <c r="N62" i="2"/>
  <c r="N60" i="2"/>
  <c r="N53" i="2"/>
  <c r="N63" i="2"/>
  <c r="N49" i="2"/>
  <c r="N59" i="2"/>
  <c r="N55" i="2"/>
  <c r="N47" i="2"/>
  <c r="N57" i="2"/>
  <c r="N48" i="2"/>
  <c r="N46" i="2"/>
  <c r="P64" i="2"/>
  <c r="P52" i="2"/>
  <c r="P54" i="2"/>
  <c r="P60" i="2"/>
  <c r="P58" i="2"/>
  <c r="P46" i="2"/>
  <c r="P55" i="2"/>
  <c r="P59" i="2"/>
  <c r="P38" i="2"/>
  <c r="P62" i="2"/>
  <c r="P49" i="2"/>
  <c r="P50" i="2"/>
  <c r="P51" i="2"/>
  <c r="P63" i="2"/>
  <c r="P48" i="2"/>
  <c r="P53" i="2"/>
  <c r="P61" i="2"/>
  <c r="T46" i="2"/>
  <c r="T60" i="2"/>
  <c r="T57" i="2"/>
  <c r="T59" i="2"/>
  <c r="T48" i="2"/>
  <c r="T58" i="2"/>
  <c r="T52" i="2"/>
  <c r="T55" i="2"/>
  <c r="T63" i="2"/>
  <c r="T61" i="2"/>
  <c r="T47" i="2"/>
  <c r="T62" i="2"/>
  <c r="T64" i="2"/>
  <c r="T53" i="2"/>
  <c r="T49" i="2"/>
  <c r="T51" i="2"/>
  <c r="H46" i="2"/>
  <c r="H53" i="2"/>
  <c r="H47" i="2"/>
  <c r="H55" i="2"/>
  <c r="H54" i="2"/>
  <c r="H64" i="2"/>
  <c r="H50" i="2"/>
  <c r="H58" i="2"/>
  <c r="H62" i="2"/>
  <c r="H60" i="2"/>
  <c r="H57" i="2"/>
  <c r="H48" i="2"/>
  <c r="H61" i="2"/>
  <c r="H63" i="2"/>
  <c r="H51" i="2"/>
  <c r="H52" i="2"/>
  <c r="H38" i="2"/>
  <c r="H49" i="2"/>
  <c r="J126" i="2"/>
  <c r="J125" i="2"/>
  <c r="J124" i="2"/>
  <c r="J123" i="2"/>
  <c r="J122" i="2"/>
  <c r="C3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K87" i="2" l="1"/>
  <c r="AF119" i="2"/>
  <c r="AF118" i="2"/>
  <c r="AF117" i="2"/>
  <c r="AF116" i="2"/>
  <c r="B3" i="1"/>
  <c r="Y50" i="7"/>
  <c r="X50" i="7" s="1"/>
  <c r="Y52" i="7"/>
  <c r="X52" i="7" s="1"/>
  <c r="H157" i="2"/>
  <c r="H158" i="2"/>
  <c r="H165" i="2"/>
  <c r="H167" i="2"/>
  <c r="H168" i="2"/>
  <c r="H172" i="2"/>
  <c r="H177" i="2"/>
  <c r="H178" i="2"/>
  <c r="H183" i="2"/>
  <c r="H192" i="2"/>
  <c r="H196" i="2"/>
  <c r="H197" i="2"/>
  <c r="AB199" i="2"/>
  <c r="Z199" i="2"/>
  <c r="X199" i="2"/>
  <c r="V199" i="2"/>
  <c r="T199" i="2"/>
  <c r="R199" i="2"/>
  <c r="P199" i="2"/>
  <c r="N199" i="2"/>
  <c r="H199" i="2"/>
  <c r="AB198" i="2"/>
  <c r="Z198" i="2"/>
  <c r="X198" i="2"/>
  <c r="V198" i="2"/>
  <c r="T198" i="2"/>
  <c r="R198" i="2"/>
  <c r="P198" i="2"/>
  <c r="N198" i="2"/>
  <c r="AB197" i="2"/>
  <c r="Z197" i="2"/>
  <c r="X197" i="2"/>
  <c r="V197" i="2"/>
  <c r="T197" i="2"/>
  <c r="R197" i="2"/>
  <c r="P197" i="2"/>
  <c r="N197" i="2"/>
  <c r="AB196" i="2"/>
  <c r="Z196" i="2"/>
  <c r="X196" i="2"/>
  <c r="V196" i="2"/>
  <c r="T196" i="2"/>
  <c r="R196" i="2"/>
  <c r="P196" i="2"/>
  <c r="N196" i="2"/>
  <c r="AB195" i="2"/>
  <c r="Z195" i="2"/>
  <c r="X195" i="2"/>
  <c r="V195" i="2"/>
  <c r="T195" i="2"/>
  <c r="R195" i="2"/>
  <c r="P195" i="2"/>
  <c r="N195" i="2"/>
  <c r="H195" i="2"/>
  <c r="AB194" i="2"/>
  <c r="Z194" i="2"/>
  <c r="X194" i="2"/>
  <c r="V194" i="2"/>
  <c r="T194" i="2"/>
  <c r="R194" i="2"/>
  <c r="P194" i="2"/>
  <c r="N194" i="2"/>
  <c r="H194" i="2"/>
  <c r="AB193" i="2"/>
  <c r="Z193" i="2"/>
  <c r="X193" i="2"/>
  <c r="V193" i="2"/>
  <c r="T193" i="2"/>
  <c r="R193" i="2"/>
  <c r="P193" i="2"/>
  <c r="N193" i="2"/>
  <c r="H193" i="2"/>
  <c r="AB192" i="2"/>
  <c r="Z192" i="2"/>
  <c r="X192" i="2"/>
  <c r="V192" i="2"/>
  <c r="T192" i="2"/>
  <c r="R192" i="2"/>
  <c r="P192" i="2"/>
  <c r="N192" i="2"/>
  <c r="AB191" i="2"/>
  <c r="Z191" i="2"/>
  <c r="X191" i="2"/>
  <c r="V191" i="2"/>
  <c r="T191" i="2"/>
  <c r="R191" i="2"/>
  <c r="P191" i="2"/>
  <c r="N191" i="2"/>
  <c r="H191" i="2"/>
  <c r="AB190" i="2"/>
  <c r="Z190" i="2"/>
  <c r="X190" i="2"/>
  <c r="V190" i="2"/>
  <c r="T190" i="2"/>
  <c r="R190" i="2"/>
  <c r="P190" i="2"/>
  <c r="N190" i="2"/>
  <c r="H190" i="2"/>
  <c r="AB189" i="2"/>
  <c r="Z189" i="2"/>
  <c r="X189" i="2"/>
  <c r="V189" i="2"/>
  <c r="T189" i="2"/>
  <c r="R189" i="2"/>
  <c r="P189" i="2"/>
  <c r="N189" i="2"/>
  <c r="H189" i="2"/>
  <c r="AB188" i="2"/>
  <c r="Z188" i="2"/>
  <c r="X188" i="2"/>
  <c r="V188" i="2"/>
  <c r="T188" i="2"/>
  <c r="R188" i="2"/>
  <c r="P188" i="2"/>
  <c r="N188" i="2"/>
  <c r="H188" i="2"/>
  <c r="AB187" i="2"/>
  <c r="Z187" i="2"/>
  <c r="X187" i="2"/>
  <c r="V187" i="2"/>
  <c r="T187" i="2"/>
  <c r="R187" i="2"/>
  <c r="P187" i="2"/>
  <c r="N187" i="2"/>
  <c r="H187" i="2"/>
  <c r="AB186" i="2"/>
  <c r="Z186" i="2"/>
  <c r="X186" i="2"/>
  <c r="V186" i="2"/>
  <c r="T186" i="2"/>
  <c r="R186" i="2"/>
  <c r="P186" i="2"/>
  <c r="N186" i="2"/>
  <c r="AB185" i="2"/>
  <c r="Z185" i="2"/>
  <c r="X185" i="2"/>
  <c r="V185" i="2"/>
  <c r="T185" i="2"/>
  <c r="R185" i="2"/>
  <c r="P185" i="2"/>
  <c r="N185" i="2"/>
  <c r="H185" i="2"/>
  <c r="AB184" i="2"/>
  <c r="Z184" i="2"/>
  <c r="X184" i="2"/>
  <c r="V184" i="2"/>
  <c r="T184" i="2"/>
  <c r="R184" i="2"/>
  <c r="P184" i="2"/>
  <c r="N184" i="2"/>
  <c r="H184" i="2"/>
  <c r="AB183" i="2"/>
  <c r="Z183" i="2"/>
  <c r="X183" i="2"/>
  <c r="V183" i="2"/>
  <c r="T183" i="2"/>
  <c r="R183" i="2"/>
  <c r="P183" i="2"/>
  <c r="N183" i="2"/>
  <c r="AB182" i="2"/>
  <c r="Z182" i="2"/>
  <c r="X182" i="2"/>
  <c r="V182" i="2"/>
  <c r="T182" i="2"/>
  <c r="R182" i="2"/>
  <c r="P182" i="2"/>
  <c r="N182" i="2"/>
  <c r="H182" i="2"/>
  <c r="AB181" i="2"/>
  <c r="Z181" i="2"/>
  <c r="X181" i="2"/>
  <c r="V181" i="2"/>
  <c r="T181" i="2"/>
  <c r="R181" i="2"/>
  <c r="P181" i="2"/>
  <c r="N181" i="2"/>
  <c r="H181" i="2"/>
  <c r="AB180" i="2"/>
  <c r="Z180" i="2"/>
  <c r="X180" i="2"/>
  <c r="V180" i="2"/>
  <c r="T180" i="2"/>
  <c r="R180" i="2"/>
  <c r="P180" i="2"/>
  <c r="N180" i="2"/>
  <c r="H180" i="2"/>
  <c r="AB179" i="2"/>
  <c r="Z179" i="2"/>
  <c r="X179" i="2"/>
  <c r="V179" i="2"/>
  <c r="T179" i="2"/>
  <c r="R179" i="2"/>
  <c r="P179" i="2"/>
  <c r="N179" i="2"/>
  <c r="H179" i="2"/>
  <c r="AB178" i="2"/>
  <c r="Z178" i="2"/>
  <c r="X178" i="2"/>
  <c r="V178" i="2"/>
  <c r="T178" i="2"/>
  <c r="R178" i="2"/>
  <c r="P178" i="2"/>
  <c r="N178" i="2"/>
  <c r="AB177" i="2"/>
  <c r="Z177" i="2"/>
  <c r="X177" i="2"/>
  <c r="V177" i="2"/>
  <c r="T177" i="2"/>
  <c r="R177" i="2"/>
  <c r="P177" i="2"/>
  <c r="N177" i="2"/>
  <c r="AB176" i="2"/>
  <c r="Z176" i="2"/>
  <c r="X176" i="2"/>
  <c r="V176" i="2"/>
  <c r="T176" i="2"/>
  <c r="R176" i="2"/>
  <c r="P176" i="2"/>
  <c r="N176" i="2"/>
  <c r="AB175" i="2"/>
  <c r="Z175" i="2"/>
  <c r="X175" i="2"/>
  <c r="V175" i="2"/>
  <c r="T175" i="2"/>
  <c r="R175" i="2"/>
  <c r="P175" i="2"/>
  <c r="N175" i="2"/>
  <c r="H175" i="2"/>
  <c r="AB174" i="2"/>
  <c r="Z174" i="2"/>
  <c r="X174" i="2"/>
  <c r="V174" i="2"/>
  <c r="T174" i="2"/>
  <c r="R174" i="2"/>
  <c r="P174" i="2"/>
  <c r="N174" i="2"/>
  <c r="H174" i="2"/>
  <c r="AB173" i="2"/>
  <c r="Z173" i="2"/>
  <c r="X173" i="2"/>
  <c r="V173" i="2"/>
  <c r="T173" i="2"/>
  <c r="R173" i="2"/>
  <c r="P173" i="2"/>
  <c r="N173" i="2"/>
  <c r="H173" i="2"/>
  <c r="AB172" i="2"/>
  <c r="Z172" i="2"/>
  <c r="X172" i="2"/>
  <c r="V172" i="2"/>
  <c r="T172" i="2"/>
  <c r="R172" i="2"/>
  <c r="P172" i="2"/>
  <c r="N172" i="2"/>
  <c r="AB171" i="2"/>
  <c r="Z171" i="2"/>
  <c r="X171" i="2"/>
  <c r="V171" i="2"/>
  <c r="T171" i="2"/>
  <c r="R171" i="2"/>
  <c r="P171" i="2"/>
  <c r="N171" i="2"/>
  <c r="H171" i="2"/>
  <c r="AB170" i="2"/>
  <c r="Z170" i="2"/>
  <c r="X170" i="2"/>
  <c r="V170" i="2"/>
  <c r="T170" i="2"/>
  <c r="R170" i="2"/>
  <c r="P170" i="2"/>
  <c r="N170" i="2"/>
  <c r="H170" i="2"/>
  <c r="AB169" i="2"/>
  <c r="Z169" i="2"/>
  <c r="X169" i="2"/>
  <c r="V169" i="2"/>
  <c r="T169" i="2"/>
  <c r="R169" i="2"/>
  <c r="P169" i="2"/>
  <c r="N169" i="2"/>
  <c r="H169" i="2"/>
  <c r="AB168" i="2"/>
  <c r="Z168" i="2"/>
  <c r="X168" i="2"/>
  <c r="V168" i="2"/>
  <c r="T168" i="2"/>
  <c r="R168" i="2"/>
  <c r="P168" i="2"/>
  <c r="N168" i="2"/>
  <c r="AB167" i="2"/>
  <c r="Z167" i="2"/>
  <c r="X167" i="2"/>
  <c r="V167" i="2"/>
  <c r="T167" i="2"/>
  <c r="R167" i="2"/>
  <c r="P167" i="2"/>
  <c r="N167" i="2"/>
  <c r="AB166" i="2"/>
  <c r="Z166" i="2"/>
  <c r="X166" i="2"/>
  <c r="V166" i="2"/>
  <c r="T166" i="2"/>
  <c r="R166" i="2"/>
  <c r="P166" i="2"/>
  <c r="N166" i="2"/>
  <c r="H166" i="2"/>
  <c r="AB165" i="2"/>
  <c r="Z165" i="2"/>
  <c r="X165" i="2"/>
  <c r="V165" i="2"/>
  <c r="T165" i="2"/>
  <c r="R165" i="2"/>
  <c r="P165" i="2"/>
  <c r="AB164" i="2"/>
  <c r="Z164" i="2"/>
  <c r="X164" i="2"/>
  <c r="V164" i="2"/>
  <c r="T164" i="2"/>
  <c r="R164" i="2"/>
  <c r="P164" i="2"/>
  <c r="N164" i="2"/>
  <c r="H164" i="2"/>
  <c r="AB163" i="2"/>
  <c r="Z163" i="2"/>
  <c r="X163" i="2"/>
  <c r="V163" i="2"/>
  <c r="T163" i="2"/>
  <c r="R163" i="2"/>
  <c r="P163" i="2"/>
  <c r="N163" i="2"/>
  <c r="H163" i="2"/>
  <c r="AB162" i="2"/>
  <c r="Z162" i="2"/>
  <c r="X162" i="2"/>
  <c r="V162" i="2"/>
  <c r="T162" i="2"/>
  <c r="R162" i="2"/>
  <c r="P162" i="2"/>
  <c r="N162" i="2"/>
  <c r="H162" i="2"/>
  <c r="AB161" i="2"/>
  <c r="Z161" i="2"/>
  <c r="X161" i="2"/>
  <c r="V161" i="2"/>
  <c r="T161" i="2"/>
  <c r="R161" i="2"/>
  <c r="P161" i="2"/>
  <c r="N161" i="2"/>
  <c r="H161" i="2"/>
  <c r="AB160" i="2"/>
  <c r="Z160" i="2"/>
  <c r="X160" i="2"/>
  <c r="V160" i="2"/>
  <c r="T160" i="2"/>
  <c r="R160" i="2"/>
  <c r="P160" i="2"/>
  <c r="N160" i="2"/>
  <c r="H160" i="2"/>
  <c r="AB159" i="2"/>
  <c r="Z159" i="2"/>
  <c r="X159" i="2"/>
  <c r="V159" i="2"/>
  <c r="T159" i="2"/>
  <c r="R159" i="2"/>
  <c r="P159" i="2"/>
  <c r="N159" i="2"/>
  <c r="H159" i="2"/>
  <c r="AB158" i="2"/>
  <c r="Z158" i="2"/>
  <c r="X158" i="2"/>
  <c r="V158" i="2"/>
  <c r="T158" i="2"/>
  <c r="R158" i="2"/>
  <c r="P158" i="2"/>
  <c r="N158" i="2"/>
  <c r="AB157" i="2"/>
  <c r="Z157" i="2"/>
  <c r="X157" i="2"/>
  <c r="V157" i="2"/>
  <c r="T157" i="2"/>
  <c r="R157" i="2"/>
  <c r="P157" i="2"/>
  <c r="N157" i="2"/>
  <c r="AB156" i="2"/>
  <c r="Z156" i="2"/>
  <c r="X156" i="2"/>
  <c r="V156" i="2"/>
  <c r="T156" i="2"/>
  <c r="R156" i="2"/>
  <c r="P156" i="2"/>
  <c r="N156" i="2"/>
  <c r="H156" i="2"/>
  <c r="AB155" i="2"/>
  <c r="Z155" i="2"/>
  <c r="X155" i="2"/>
  <c r="V155" i="2"/>
  <c r="T155" i="2"/>
  <c r="R155" i="2"/>
  <c r="P155" i="2"/>
  <c r="H155" i="2"/>
  <c r="AB154" i="2"/>
  <c r="Z154" i="2"/>
  <c r="X154" i="2"/>
  <c r="V154" i="2"/>
  <c r="T154" i="2"/>
  <c r="R154" i="2"/>
  <c r="P154" i="2"/>
  <c r="N154" i="2"/>
  <c r="H154" i="2"/>
  <c r="AB153" i="2"/>
  <c r="Z153" i="2"/>
  <c r="X153" i="2"/>
  <c r="V153" i="2"/>
  <c r="T153" i="2"/>
  <c r="R153" i="2"/>
  <c r="P153" i="2"/>
  <c r="N153" i="2"/>
  <c r="H153" i="2"/>
  <c r="AB152" i="2"/>
  <c r="Z152" i="2"/>
  <c r="X152" i="2"/>
  <c r="V152" i="2"/>
  <c r="T152" i="2"/>
  <c r="R152" i="2"/>
  <c r="P152" i="2"/>
  <c r="N152" i="2"/>
  <c r="H152" i="2"/>
  <c r="AB151" i="2"/>
  <c r="Z151" i="2"/>
  <c r="X151" i="2"/>
  <c r="V151" i="2"/>
  <c r="T151" i="2"/>
  <c r="R151" i="2"/>
  <c r="P151" i="2"/>
  <c r="N151" i="2"/>
  <c r="AB150" i="2"/>
  <c r="Z150" i="2"/>
  <c r="X150" i="2"/>
  <c r="V150" i="2"/>
  <c r="T150" i="2"/>
  <c r="R150" i="2"/>
  <c r="P150" i="2"/>
  <c r="N150" i="2"/>
  <c r="H150" i="2"/>
  <c r="AB149" i="2"/>
  <c r="Z149" i="2"/>
  <c r="X149" i="2"/>
  <c r="V149" i="2"/>
  <c r="T149" i="2"/>
  <c r="R149" i="2"/>
  <c r="P149" i="2"/>
  <c r="N149" i="2"/>
  <c r="H149" i="2"/>
  <c r="AB148" i="2"/>
  <c r="Z148" i="2"/>
  <c r="X148" i="2"/>
  <c r="V148" i="2"/>
  <c r="T148" i="2"/>
  <c r="R148" i="2"/>
  <c r="P148" i="2"/>
  <c r="N148" i="2"/>
  <c r="AB147" i="2"/>
  <c r="Z147" i="2"/>
  <c r="X147" i="2"/>
  <c r="V147" i="2"/>
  <c r="T147" i="2"/>
  <c r="R147" i="2"/>
  <c r="P147" i="2"/>
  <c r="N147" i="2"/>
  <c r="H147" i="2"/>
  <c r="AB146" i="2"/>
  <c r="Z146" i="2"/>
  <c r="X146" i="2"/>
  <c r="V146" i="2"/>
  <c r="T146" i="2"/>
  <c r="R146" i="2"/>
  <c r="P146" i="2"/>
  <c r="N146" i="2"/>
  <c r="H146" i="2"/>
  <c r="AB145" i="2"/>
  <c r="Z145" i="2"/>
  <c r="X145" i="2"/>
  <c r="V145" i="2"/>
  <c r="T145" i="2"/>
  <c r="R145" i="2"/>
  <c r="P145" i="2"/>
  <c r="N145" i="2"/>
  <c r="AB144" i="2"/>
  <c r="Z144" i="2"/>
  <c r="X144" i="2"/>
  <c r="V144" i="2"/>
  <c r="T144" i="2"/>
  <c r="R144" i="2"/>
  <c r="P144" i="2"/>
  <c r="N144" i="2"/>
  <c r="AB143" i="2"/>
  <c r="Z143" i="2"/>
  <c r="X143" i="2"/>
  <c r="V143" i="2"/>
  <c r="T143" i="2"/>
  <c r="R143" i="2"/>
  <c r="P143" i="2"/>
  <c r="N143" i="2"/>
  <c r="H143" i="2"/>
  <c r="AB142" i="2"/>
  <c r="Z142" i="2"/>
  <c r="X142" i="2"/>
  <c r="V142" i="2"/>
  <c r="T142" i="2"/>
  <c r="R142" i="2"/>
  <c r="P142" i="2"/>
  <c r="N142" i="2"/>
  <c r="H142" i="2"/>
  <c r="AB141" i="2"/>
  <c r="Z141" i="2"/>
  <c r="X141" i="2"/>
  <c r="V141" i="2"/>
  <c r="T141" i="2"/>
  <c r="R141" i="2"/>
  <c r="P141" i="2"/>
  <c r="N141" i="2"/>
  <c r="AB140" i="2"/>
  <c r="Z140" i="2"/>
  <c r="X140" i="2"/>
  <c r="V140" i="2"/>
  <c r="T140" i="2"/>
  <c r="R140" i="2"/>
  <c r="P140" i="2"/>
  <c r="N140" i="2"/>
  <c r="H140" i="2"/>
  <c r="AB139" i="2"/>
  <c r="Z139" i="2"/>
  <c r="X139" i="2"/>
  <c r="V139" i="2"/>
  <c r="T139" i="2"/>
  <c r="R139" i="2"/>
  <c r="P139" i="2"/>
  <c r="N139" i="2"/>
  <c r="D984" i="6"/>
  <c r="N155" i="2" l="1"/>
  <c r="H198" i="2"/>
  <c r="H176" i="2"/>
  <c r="H145" i="2"/>
  <c r="H148" i="2"/>
  <c r="H151" i="2"/>
  <c r="N165" i="2"/>
  <c r="H186" i="2"/>
  <c r="H139" i="2"/>
  <c r="H141" i="2"/>
  <c r="H144" i="2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8" i="6"/>
  <c r="D967" i="6"/>
  <c r="D966" i="6"/>
  <c r="D965" i="6"/>
  <c r="D963" i="6"/>
  <c r="D962" i="6"/>
  <c r="D961" i="6"/>
  <c r="D960" i="6"/>
  <c r="F907" i="6"/>
  <c r="E907" i="6"/>
  <c r="F906" i="6"/>
  <c r="E906" i="6"/>
  <c r="F905" i="6"/>
  <c r="E905" i="6"/>
  <c r="F904" i="6"/>
  <c r="E904" i="6"/>
  <c r="F903" i="6"/>
  <c r="E903" i="6"/>
  <c r="F902" i="6"/>
  <c r="E902" i="6"/>
  <c r="F901" i="6"/>
  <c r="E901" i="6"/>
  <c r="F900" i="6"/>
  <c r="E900" i="6"/>
  <c r="F899" i="6"/>
  <c r="E899" i="6"/>
  <c r="F898" i="6"/>
  <c r="E898" i="6"/>
  <c r="F897" i="6"/>
  <c r="E897" i="6"/>
  <c r="F896" i="6"/>
  <c r="E896" i="6"/>
  <c r="F895" i="6"/>
  <c r="E895" i="6"/>
  <c r="F894" i="6"/>
  <c r="E894" i="6"/>
  <c r="F893" i="6"/>
  <c r="E893" i="6"/>
  <c r="F892" i="6"/>
  <c r="E892" i="6"/>
  <c r="F891" i="6"/>
  <c r="E891" i="6"/>
  <c r="F890" i="6"/>
  <c r="E890" i="6"/>
  <c r="F889" i="6"/>
  <c r="E889" i="6"/>
  <c r="F888" i="6"/>
  <c r="E888" i="6"/>
  <c r="F887" i="6"/>
  <c r="E887" i="6"/>
  <c r="F886" i="6"/>
  <c r="E886" i="6"/>
  <c r="F885" i="6"/>
  <c r="E885" i="6"/>
  <c r="F884" i="6"/>
  <c r="E884" i="6"/>
  <c r="F883" i="6"/>
  <c r="E883" i="6"/>
  <c r="F882" i="6"/>
  <c r="E882" i="6"/>
  <c r="F881" i="6"/>
  <c r="E881" i="6"/>
  <c r="F880" i="6"/>
  <c r="E880" i="6"/>
  <c r="F879" i="6"/>
  <c r="E879" i="6"/>
  <c r="F878" i="6"/>
  <c r="E878" i="6"/>
  <c r="F877" i="6"/>
  <c r="E877" i="6"/>
  <c r="F876" i="6"/>
  <c r="E876" i="6"/>
  <c r="F875" i="6"/>
  <c r="E875" i="6"/>
  <c r="F874" i="6"/>
  <c r="E874" i="6"/>
  <c r="F873" i="6"/>
  <c r="E873" i="6"/>
  <c r="F872" i="6"/>
  <c r="E872" i="6"/>
  <c r="F871" i="6"/>
  <c r="E871" i="6"/>
  <c r="D871" i="6" l="1"/>
  <c r="D873" i="6"/>
  <c r="D883" i="6"/>
  <c r="D888" i="6"/>
  <c r="D893" i="6"/>
  <c r="D874" i="6"/>
  <c r="D884" i="6"/>
  <c r="D889" i="6"/>
  <c r="D894" i="6"/>
  <c r="D904" i="6"/>
  <c r="D876" i="6"/>
  <c r="D881" i="6"/>
  <c r="D896" i="6"/>
  <c r="D872" i="6"/>
  <c r="D882" i="6"/>
  <c r="D875" i="6"/>
  <c r="D880" i="6"/>
  <c r="D885" i="6"/>
  <c r="D890" i="6"/>
  <c r="D895" i="6"/>
  <c r="D887" i="6"/>
  <c r="D892" i="6"/>
  <c r="D897" i="6"/>
  <c r="D907" i="6"/>
  <c r="D900" i="6"/>
  <c r="D901" i="6"/>
  <c r="D902" i="6"/>
  <c r="D891" i="6"/>
  <c r="D878" i="6"/>
  <c r="D879" i="6"/>
  <c r="D903" i="6"/>
  <c r="D906" i="6"/>
  <c r="D905" i="6"/>
  <c r="D898" i="6"/>
  <c r="D899" i="6"/>
  <c r="D886" i="6"/>
  <c r="D877" i="6"/>
  <c r="D964" i="6"/>
  <c r="D969" i="6"/>
  <c r="F870" i="6"/>
  <c r="F869" i="6"/>
  <c r="F868" i="6"/>
  <c r="E870" i="6"/>
  <c r="E869" i="6"/>
  <c r="E868" i="6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Y26" i="7"/>
  <c r="X26" i="7" s="1"/>
  <c r="Y27" i="7"/>
  <c r="X27" i="7" s="1"/>
  <c r="Y28" i="7"/>
  <c r="X28" i="7" s="1"/>
  <c r="Y29" i="7"/>
  <c r="X29" i="7" s="1"/>
  <c r="Y30" i="7"/>
  <c r="X30" i="7" s="1"/>
  <c r="Y31" i="7"/>
  <c r="X31" i="7" s="1"/>
  <c r="Y32" i="7"/>
  <c r="X32" i="7" s="1"/>
  <c r="Y33" i="7"/>
  <c r="X33" i="7" s="1"/>
  <c r="Y34" i="7"/>
  <c r="X34" i="7" s="1"/>
  <c r="Y35" i="7"/>
  <c r="X35" i="7" s="1"/>
  <c r="Y36" i="7"/>
  <c r="X36" i="7" s="1"/>
  <c r="Y37" i="7"/>
  <c r="X37" i="7" s="1"/>
  <c r="Y38" i="7"/>
  <c r="X38" i="7" s="1"/>
  <c r="Y39" i="7"/>
  <c r="X39" i="7" s="1"/>
  <c r="Y40" i="7"/>
  <c r="X40" i="7" s="1"/>
  <c r="Y41" i="7"/>
  <c r="X41" i="7" s="1"/>
  <c r="Y42" i="7"/>
  <c r="X42" i="7" s="1"/>
  <c r="Y51" i="7"/>
  <c r="X51" i="7" s="1"/>
  <c r="Y53" i="7"/>
  <c r="X53" i="7" s="1"/>
  <c r="Y54" i="7"/>
  <c r="X54" i="7" s="1"/>
  <c r="Y55" i="7"/>
  <c r="X55" i="7" s="1"/>
  <c r="Y56" i="7"/>
  <c r="X56" i="7" s="1"/>
  <c r="Y57" i="7"/>
  <c r="X57" i="7" s="1"/>
  <c r="Y58" i="7"/>
  <c r="X58" i="7" s="1"/>
  <c r="Y59" i="7"/>
  <c r="X59" i="7" s="1"/>
  <c r="Y60" i="7"/>
  <c r="X60" i="7" s="1"/>
  <c r="Y61" i="7"/>
  <c r="X61" i="7" s="1"/>
  <c r="Y62" i="7"/>
  <c r="X62" i="7" s="1"/>
  <c r="W26" i="7"/>
  <c r="V26" i="7" s="1"/>
  <c r="Q2215" i="5"/>
  <c r="P2215" i="5"/>
  <c r="O2215" i="5"/>
  <c r="N2215" i="5"/>
  <c r="M2215" i="5"/>
  <c r="L2215" i="5"/>
  <c r="K2215" i="5"/>
  <c r="J2215" i="5"/>
  <c r="I2215" i="5"/>
  <c r="H2215" i="5"/>
  <c r="G2215" i="5"/>
  <c r="F2215" i="5"/>
  <c r="E2215" i="5"/>
  <c r="C1407" i="4"/>
  <c r="C1347" i="4"/>
  <c r="C1291" i="4"/>
  <c r="C1235" i="4"/>
  <c r="C1178" i="4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53" i="5"/>
  <c r="C1770" i="5"/>
  <c r="C1769" i="5"/>
  <c r="C1768" i="5"/>
  <c r="C1767" i="5"/>
  <c r="C1766" i="5"/>
  <c r="C1763" i="5"/>
  <c r="C1762" i="5"/>
  <c r="C1765" i="5"/>
  <c r="C1764" i="5"/>
  <c r="C1761" i="5"/>
  <c r="C1760" i="5"/>
  <c r="C1759" i="5"/>
  <c r="C1758" i="5"/>
  <c r="C1756" i="5"/>
  <c r="C1755" i="5"/>
  <c r="C1754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697" i="5"/>
  <c r="C1714" i="5"/>
  <c r="C1713" i="5"/>
  <c r="C1712" i="5"/>
  <c r="C1711" i="5"/>
  <c r="C1710" i="5"/>
  <c r="C1707" i="5"/>
  <c r="C1706" i="5"/>
  <c r="C1709" i="5"/>
  <c r="C1708" i="5"/>
  <c r="C1705" i="5"/>
  <c r="C1704" i="5"/>
  <c r="C1703" i="5"/>
  <c r="C1702" i="5"/>
  <c r="C1700" i="5"/>
  <c r="C1699" i="5"/>
  <c r="C1698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41" i="5"/>
  <c r="C1658" i="5"/>
  <c r="C1657" i="5"/>
  <c r="C1656" i="5"/>
  <c r="C1655" i="5"/>
  <c r="C1654" i="5"/>
  <c r="C1651" i="5"/>
  <c r="C1650" i="5"/>
  <c r="C1653" i="5"/>
  <c r="C1652" i="5"/>
  <c r="C1649" i="5"/>
  <c r="C1648" i="5"/>
  <c r="C1647" i="5"/>
  <c r="C1646" i="5"/>
  <c r="C1644" i="5"/>
  <c r="C1643" i="5"/>
  <c r="C1642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585" i="5"/>
  <c r="C1602" i="5"/>
  <c r="C1601" i="5"/>
  <c r="C1600" i="5"/>
  <c r="C1599" i="5"/>
  <c r="C1598" i="5"/>
  <c r="C1595" i="5"/>
  <c r="C1594" i="5"/>
  <c r="C1597" i="5"/>
  <c r="C1596" i="5"/>
  <c r="C1593" i="5"/>
  <c r="C1592" i="5"/>
  <c r="C1591" i="5"/>
  <c r="C1590" i="5"/>
  <c r="C1588" i="5"/>
  <c r="C1587" i="5"/>
  <c r="C1586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29" i="5"/>
  <c r="C1546" i="5"/>
  <c r="C1545" i="5"/>
  <c r="C1544" i="5"/>
  <c r="C1543" i="5"/>
  <c r="C1542" i="5"/>
  <c r="C1539" i="5"/>
  <c r="C1538" i="5"/>
  <c r="C1541" i="5"/>
  <c r="C1540" i="5"/>
  <c r="C1537" i="5"/>
  <c r="C1536" i="5"/>
  <c r="C1535" i="5"/>
  <c r="C1533" i="5"/>
  <c r="C1532" i="5"/>
  <c r="C1531" i="5"/>
  <c r="C1530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73" i="5"/>
  <c r="C1490" i="5"/>
  <c r="C1489" i="5"/>
  <c r="C1488" i="5"/>
  <c r="C1487" i="5"/>
  <c r="C1486" i="5"/>
  <c r="C1483" i="5"/>
  <c r="C1482" i="5"/>
  <c r="C1485" i="5"/>
  <c r="C1484" i="5"/>
  <c r="C1481" i="5"/>
  <c r="C1480" i="5"/>
  <c r="C1479" i="5"/>
  <c r="C1478" i="5"/>
  <c r="C1476" i="5"/>
  <c r="C1475" i="5"/>
  <c r="C1474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17" i="5"/>
  <c r="C1434" i="5"/>
  <c r="C1433" i="5"/>
  <c r="C1432" i="5"/>
  <c r="C1431" i="5"/>
  <c r="C1430" i="5"/>
  <c r="C1427" i="5"/>
  <c r="C1426" i="5"/>
  <c r="C1429" i="5"/>
  <c r="C1428" i="5"/>
  <c r="C1425" i="5"/>
  <c r="C1424" i="5"/>
  <c r="C1423" i="5"/>
  <c r="C1422" i="5"/>
  <c r="C1420" i="5"/>
  <c r="C1419" i="5"/>
  <c r="C1418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61" i="5"/>
  <c r="C1378" i="5"/>
  <c r="C1377" i="5"/>
  <c r="C1376" i="5"/>
  <c r="C1375" i="5"/>
  <c r="C1374" i="5"/>
  <c r="C1371" i="5"/>
  <c r="C1370" i="5"/>
  <c r="C1373" i="5"/>
  <c r="C1372" i="5"/>
  <c r="C1369" i="5"/>
  <c r="C1368" i="5"/>
  <c r="C1367" i="5"/>
  <c r="C1366" i="5"/>
  <c r="C1364" i="5"/>
  <c r="C1363" i="5"/>
  <c r="C1362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04" i="5"/>
  <c r="C1322" i="5"/>
  <c r="C1321" i="5"/>
  <c r="C1320" i="5"/>
  <c r="C1319" i="5"/>
  <c r="C1318" i="5"/>
  <c r="C1314" i="5"/>
  <c r="C1313" i="5"/>
  <c r="C1317" i="5"/>
  <c r="C1316" i="5"/>
  <c r="C1312" i="5"/>
  <c r="C1311" i="5"/>
  <c r="C1310" i="5"/>
  <c r="C1309" i="5"/>
  <c r="C1307" i="5"/>
  <c r="C1306" i="5"/>
  <c r="C1305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47" i="5"/>
  <c r="C1265" i="5"/>
  <c r="C1264" i="5"/>
  <c r="C1263" i="5"/>
  <c r="C1262" i="5"/>
  <c r="C1261" i="5"/>
  <c r="C1257" i="5"/>
  <c r="C1256" i="5"/>
  <c r="C1260" i="5"/>
  <c r="C1259" i="5"/>
  <c r="C1255" i="5"/>
  <c r="C1254" i="5"/>
  <c r="C1253" i="5"/>
  <c r="C1252" i="5"/>
  <c r="C1250" i="5"/>
  <c r="C1249" i="5"/>
  <c r="C1248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06" i="5"/>
  <c r="C1205" i="5"/>
  <c r="C1204" i="5"/>
  <c r="C1203" i="5"/>
  <c r="C1202" i="5"/>
  <c r="C1201" i="5"/>
  <c r="C1200" i="5"/>
  <c r="C1199" i="5"/>
  <c r="C1198" i="5"/>
  <c r="C1197" i="5"/>
  <c r="C1196" i="5"/>
  <c r="C1177" i="5"/>
  <c r="C1195" i="5"/>
  <c r="C1194" i="5"/>
  <c r="C1193" i="5"/>
  <c r="C1192" i="5"/>
  <c r="C1191" i="5"/>
  <c r="C1187" i="5"/>
  <c r="C1186" i="5"/>
  <c r="C1190" i="5"/>
  <c r="C1189" i="5"/>
  <c r="C1185" i="5"/>
  <c r="C1184" i="5"/>
  <c r="C1183" i="5"/>
  <c r="C1182" i="5"/>
  <c r="C1180" i="5"/>
  <c r="C1179" i="5"/>
  <c r="C1178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21" i="5"/>
  <c r="C1138" i="5"/>
  <c r="C1137" i="5"/>
  <c r="C1136" i="5"/>
  <c r="C1135" i="5"/>
  <c r="C1134" i="5"/>
  <c r="C1131" i="5"/>
  <c r="C1130" i="5"/>
  <c r="C1133" i="5"/>
  <c r="C1132" i="5"/>
  <c r="C1129" i="5"/>
  <c r="C1128" i="5"/>
  <c r="C1127" i="5"/>
  <c r="C1126" i="5"/>
  <c r="C1124" i="5"/>
  <c r="C1123" i="5"/>
  <c r="C1122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65" i="5"/>
  <c r="C1082" i="5"/>
  <c r="C1081" i="5"/>
  <c r="C1080" i="5"/>
  <c r="C1079" i="5"/>
  <c r="C1078" i="5"/>
  <c r="C1075" i="5"/>
  <c r="C1074" i="5"/>
  <c r="C1077" i="5"/>
  <c r="C1076" i="5"/>
  <c r="C1073" i="5"/>
  <c r="C1072" i="5"/>
  <c r="C1071" i="5"/>
  <c r="C1070" i="5"/>
  <c r="C1068" i="5"/>
  <c r="C1067" i="5"/>
  <c r="C1066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09" i="5"/>
  <c r="C1026" i="5"/>
  <c r="C1025" i="5"/>
  <c r="C1024" i="5"/>
  <c r="C1023" i="5"/>
  <c r="C1022" i="5"/>
  <c r="C1019" i="5"/>
  <c r="C1018" i="5"/>
  <c r="C1021" i="5"/>
  <c r="C1020" i="5"/>
  <c r="C1017" i="5"/>
  <c r="C1016" i="5"/>
  <c r="C1015" i="5"/>
  <c r="C1014" i="5"/>
  <c r="C1012" i="5"/>
  <c r="C1011" i="5"/>
  <c r="C1010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54" i="5"/>
  <c r="C970" i="5"/>
  <c r="C969" i="5"/>
  <c r="C968" i="5"/>
  <c r="C967" i="5"/>
  <c r="C966" i="5"/>
  <c r="C963" i="5"/>
  <c r="C962" i="5"/>
  <c r="C965" i="5"/>
  <c r="C964" i="5"/>
  <c r="C961" i="5"/>
  <c r="C960" i="5"/>
  <c r="C959" i="5"/>
  <c r="C958" i="5"/>
  <c r="C957" i="5"/>
  <c r="C956" i="5"/>
  <c r="C955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899" i="5"/>
  <c r="C915" i="5"/>
  <c r="C914" i="5"/>
  <c r="C913" i="5"/>
  <c r="C912" i="5"/>
  <c r="C911" i="5"/>
  <c r="C908" i="5"/>
  <c r="C907" i="5"/>
  <c r="C910" i="5"/>
  <c r="C909" i="5"/>
  <c r="C906" i="5"/>
  <c r="C905" i="5"/>
  <c r="C904" i="5"/>
  <c r="C903" i="5"/>
  <c r="C902" i="5"/>
  <c r="C901" i="5"/>
  <c r="C900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44" i="5"/>
  <c r="C860" i="5"/>
  <c r="C859" i="5"/>
  <c r="C858" i="5"/>
  <c r="C857" i="5"/>
  <c r="C856" i="5"/>
  <c r="C853" i="5"/>
  <c r="C852" i="5"/>
  <c r="C855" i="5"/>
  <c r="C854" i="5"/>
  <c r="C851" i="5"/>
  <c r="C850" i="5"/>
  <c r="C849" i="5"/>
  <c r="C848" i="5"/>
  <c r="C847" i="5"/>
  <c r="C846" i="5"/>
  <c r="C845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789" i="5"/>
  <c r="C805" i="5"/>
  <c r="C804" i="5"/>
  <c r="C803" i="5"/>
  <c r="C802" i="5"/>
  <c r="C801" i="5"/>
  <c r="C798" i="5"/>
  <c r="C797" i="5"/>
  <c r="C800" i="5"/>
  <c r="C799" i="5"/>
  <c r="C796" i="5"/>
  <c r="C795" i="5"/>
  <c r="C794" i="5"/>
  <c r="C793" i="5"/>
  <c r="C792" i="5"/>
  <c r="C791" i="5"/>
  <c r="C790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34" i="5"/>
  <c r="C750" i="5"/>
  <c r="C749" i="5"/>
  <c r="C748" i="5"/>
  <c r="C747" i="5"/>
  <c r="C746" i="5"/>
  <c r="C743" i="5"/>
  <c r="C742" i="5"/>
  <c r="C745" i="5"/>
  <c r="C744" i="5"/>
  <c r="C741" i="5"/>
  <c r="C740" i="5"/>
  <c r="C739" i="5"/>
  <c r="C738" i="5"/>
  <c r="C737" i="5"/>
  <c r="C736" i="5"/>
  <c r="C735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79" i="5"/>
  <c r="C695" i="5"/>
  <c r="C694" i="5"/>
  <c r="C693" i="5"/>
  <c r="C692" i="5"/>
  <c r="C691" i="5"/>
  <c r="C688" i="5"/>
  <c r="C687" i="5"/>
  <c r="C690" i="5"/>
  <c r="C689" i="5"/>
  <c r="C686" i="5"/>
  <c r="C685" i="5"/>
  <c r="C684" i="5"/>
  <c r="C683" i="5"/>
  <c r="C682" i="5"/>
  <c r="C681" i="5"/>
  <c r="C680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24" i="5"/>
  <c r="C640" i="5"/>
  <c r="C639" i="5"/>
  <c r="C638" i="5"/>
  <c r="C637" i="5"/>
  <c r="C636" i="5"/>
  <c r="C633" i="5"/>
  <c r="C632" i="5"/>
  <c r="C635" i="5"/>
  <c r="C634" i="5"/>
  <c r="C631" i="5"/>
  <c r="C630" i="5"/>
  <c r="C629" i="5"/>
  <c r="C628" i="5"/>
  <c r="C627" i="5"/>
  <c r="C626" i="5"/>
  <c r="C625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69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14" i="5"/>
  <c r="C530" i="5"/>
  <c r="C529" i="5"/>
  <c r="C528" i="5"/>
  <c r="C527" i="5"/>
  <c r="C526" i="5"/>
  <c r="C523" i="5"/>
  <c r="C522" i="5"/>
  <c r="C525" i="5"/>
  <c r="C524" i="5"/>
  <c r="C521" i="5"/>
  <c r="C520" i="5"/>
  <c r="C519" i="5"/>
  <c r="C518" i="5"/>
  <c r="C517" i="5"/>
  <c r="C516" i="5"/>
  <c r="C515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59" i="5"/>
  <c r="C475" i="5"/>
  <c r="C474" i="5"/>
  <c r="C473" i="5"/>
  <c r="C472" i="5"/>
  <c r="C471" i="5"/>
  <c r="C468" i="5"/>
  <c r="C467" i="5"/>
  <c r="C470" i="5"/>
  <c r="C469" i="5"/>
  <c r="C466" i="5"/>
  <c r="C465" i="5"/>
  <c r="C464" i="5"/>
  <c r="C463" i="5"/>
  <c r="C462" i="5"/>
  <c r="C461" i="5"/>
  <c r="C460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04" i="5"/>
  <c r="C420" i="5"/>
  <c r="C419" i="5"/>
  <c r="C418" i="5"/>
  <c r="C417" i="5"/>
  <c r="C416" i="5"/>
  <c r="C413" i="5"/>
  <c r="C412" i="5"/>
  <c r="C415" i="5"/>
  <c r="C414" i="5"/>
  <c r="C411" i="5"/>
  <c r="C410" i="5"/>
  <c r="C409" i="5"/>
  <c r="C408" i="5"/>
  <c r="C407" i="5"/>
  <c r="C406" i="5"/>
  <c r="C405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49" i="5"/>
  <c r="C365" i="5"/>
  <c r="C364" i="5"/>
  <c r="C363" i="5"/>
  <c r="C362" i="5"/>
  <c r="C361" i="5"/>
  <c r="C358" i="5"/>
  <c r="C357" i="5"/>
  <c r="C360" i="5"/>
  <c r="C359" i="5"/>
  <c r="C356" i="5"/>
  <c r="C355" i="5"/>
  <c r="C354" i="5"/>
  <c r="C353" i="5"/>
  <c r="C352" i="5"/>
  <c r="C351" i="5"/>
  <c r="C350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294" i="5"/>
  <c r="C310" i="5"/>
  <c r="C309" i="5"/>
  <c r="C308" i="5"/>
  <c r="C307" i="5"/>
  <c r="C306" i="5"/>
  <c r="C303" i="5"/>
  <c r="C302" i="5"/>
  <c r="C305" i="5"/>
  <c r="C304" i="5"/>
  <c r="C301" i="5"/>
  <c r="C300" i="5"/>
  <c r="C299" i="5"/>
  <c r="C298" i="5"/>
  <c r="C297" i="5"/>
  <c r="C296" i="5"/>
  <c r="C295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39" i="5"/>
  <c r="C255" i="5"/>
  <c r="C254" i="5"/>
  <c r="C253" i="5"/>
  <c r="C252" i="5"/>
  <c r="C251" i="5"/>
  <c r="C248" i="5"/>
  <c r="C247" i="5"/>
  <c r="C250" i="5"/>
  <c r="C249" i="5"/>
  <c r="C246" i="5"/>
  <c r="C245" i="5"/>
  <c r="C244" i="5"/>
  <c r="C243" i="5"/>
  <c r="C242" i="5"/>
  <c r="C241" i="5"/>
  <c r="C240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184" i="5"/>
  <c r="C200" i="5"/>
  <c r="C199" i="5"/>
  <c r="C198" i="5"/>
  <c r="C197" i="5"/>
  <c r="C196" i="5"/>
  <c r="C193" i="5"/>
  <c r="C192" i="5"/>
  <c r="C195" i="5"/>
  <c r="C194" i="5"/>
  <c r="C191" i="5"/>
  <c r="C190" i="5"/>
  <c r="C189" i="5"/>
  <c r="C188" i="5"/>
  <c r="C187" i="5"/>
  <c r="C186" i="5"/>
  <c r="C185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29" i="5"/>
  <c r="C145" i="5"/>
  <c r="C144" i="5"/>
  <c r="C143" i="5"/>
  <c r="C142" i="5"/>
  <c r="C141" i="5"/>
  <c r="C138" i="5"/>
  <c r="C137" i="5"/>
  <c r="C140" i="5"/>
  <c r="C139" i="5"/>
  <c r="C136" i="5"/>
  <c r="C135" i="5"/>
  <c r="C134" i="5"/>
  <c r="C133" i="5"/>
  <c r="C132" i="5"/>
  <c r="C131" i="5"/>
  <c r="C130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74" i="5"/>
  <c r="C90" i="5"/>
  <c r="C89" i="5"/>
  <c r="C88" i="5"/>
  <c r="C87" i="5"/>
  <c r="C86" i="5"/>
  <c r="C83" i="5"/>
  <c r="C82" i="5"/>
  <c r="C85" i="5"/>
  <c r="C84" i="5"/>
  <c r="C81" i="5"/>
  <c r="C80" i="5"/>
  <c r="C79" i="5"/>
  <c r="C78" i="5"/>
  <c r="C77" i="5"/>
  <c r="C76" i="5"/>
  <c r="C75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19" i="5"/>
  <c r="C35" i="5"/>
  <c r="C34" i="5"/>
  <c r="C33" i="5"/>
  <c r="C32" i="5"/>
  <c r="C31" i="5"/>
  <c r="C28" i="5"/>
  <c r="C27" i="5"/>
  <c r="C30" i="5"/>
  <c r="C29" i="5"/>
  <c r="C26" i="5"/>
  <c r="C25" i="5"/>
  <c r="C24" i="5"/>
  <c r="C23" i="5"/>
  <c r="C22" i="5"/>
  <c r="C21" i="5"/>
  <c r="C20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7" i="3"/>
  <c r="J7" i="3" s="1"/>
  <c r="C8" i="3"/>
  <c r="C9" i="3"/>
  <c r="C10" i="3"/>
  <c r="C11" i="3"/>
  <c r="C12" i="3"/>
  <c r="C13" i="3"/>
  <c r="C14" i="3"/>
  <c r="C15" i="3"/>
  <c r="C17" i="3"/>
  <c r="C18" i="3"/>
  <c r="C19" i="3"/>
  <c r="C20" i="3"/>
  <c r="C22" i="3"/>
  <c r="C23" i="3"/>
  <c r="C24" i="3"/>
  <c r="C26" i="3"/>
  <c r="C27" i="3"/>
  <c r="C28" i="3"/>
  <c r="C29" i="3"/>
  <c r="C30" i="3"/>
  <c r="C31" i="3"/>
  <c r="C52" i="3"/>
  <c r="C21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83" i="3"/>
  <c r="C84" i="3"/>
  <c r="C85" i="3"/>
  <c r="C86" i="3"/>
  <c r="V72" i="3" l="1"/>
  <c r="L72" i="3"/>
  <c r="T72" i="3"/>
  <c r="J72" i="3"/>
  <c r="I72" i="3"/>
  <c r="F72" i="3"/>
  <c r="U72" i="3"/>
  <c r="K72" i="3"/>
  <c r="S72" i="3"/>
  <c r="P72" i="3"/>
  <c r="O72" i="3"/>
  <c r="N72" i="3"/>
  <c r="M72" i="3"/>
  <c r="R72" i="3"/>
  <c r="H72" i="3"/>
  <c r="H86" i="3" s="1"/>
  <c r="Q72" i="3"/>
  <c r="H68" i="3"/>
  <c r="J68" i="3"/>
  <c r="AE68" i="3" s="1"/>
  <c r="H58" i="3"/>
  <c r="J58" i="3"/>
  <c r="AE58" i="3" s="1"/>
  <c r="H29" i="3"/>
  <c r="J29" i="3"/>
  <c r="AE29" i="3" s="1"/>
  <c r="H17" i="3"/>
  <c r="J17" i="3"/>
  <c r="AE17" i="3" s="1"/>
  <c r="H7" i="3"/>
  <c r="H56" i="3"/>
  <c r="J56" i="3"/>
  <c r="AE56" i="3" s="1"/>
  <c r="H65" i="3"/>
  <c r="J65" i="3"/>
  <c r="AE65" i="3" s="1"/>
  <c r="H64" i="3"/>
  <c r="J64" i="3"/>
  <c r="AE64" i="3" s="1"/>
  <c r="H67" i="3"/>
  <c r="J67" i="3"/>
  <c r="AE67" i="3" s="1"/>
  <c r="AE73" i="3"/>
  <c r="H27" i="3"/>
  <c r="J27" i="3"/>
  <c r="J86" i="3" s="1"/>
  <c r="H26" i="3"/>
  <c r="J26" i="3"/>
  <c r="AE26" i="3" s="1"/>
  <c r="O39" i="2" s="1"/>
  <c r="P39" i="2" s="1"/>
  <c r="H54" i="3"/>
  <c r="J54" i="3"/>
  <c r="AE54" i="3" s="1"/>
  <c r="H23" i="3"/>
  <c r="J23" i="3"/>
  <c r="AE23" i="3" s="1"/>
  <c r="H11" i="3"/>
  <c r="J11" i="3"/>
  <c r="AE11" i="3" s="1"/>
  <c r="H10" i="3"/>
  <c r="J10" i="3"/>
  <c r="AE10" i="3" s="1"/>
  <c r="H28" i="3"/>
  <c r="J28" i="3"/>
  <c r="AE28" i="3" s="1"/>
  <c r="H15" i="3"/>
  <c r="J15" i="3"/>
  <c r="AE15" i="3" s="1"/>
  <c r="H14" i="3"/>
  <c r="J14" i="3"/>
  <c r="AE14" i="3" s="1"/>
  <c r="H13" i="3"/>
  <c r="J13" i="3"/>
  <c r="AE13" i="3" s="1"/>
  <c r="H53" i="3"/>
  <c r="J53" i="3"/>
  <c r="AE53" i="3" s="1"/>
  <c r="AE72" i="3"/>
  <c r="H21" i="3"/>
  <c r="J21" i="3"/>
  <c r="AE21" i="3" s="1"/>
  <c r="H71" i="3"/>
  <c r="J71" i="3"/>
  <c r="AE71" i="3" s="1"/>
  <c r="H52" i="3"/>
  <c r="J52" i="3"/>
  <c r="AE52" i="3" s="1"/>
  <c r="O65" i="2" s="1"/>
  <c r="P65" i="2" s="1"/>
  <c r="H60" i="3"/>
  <c r="J60" i="3"/>
  <c r="AE60" i="3" s="1"/>
  <c r="H9" i="3"/>
  <c r="J9" i="3"/>
  <c r="AE9" i="3" s="1"/>
  <c r="H57" i="3"/>
  <c r="J57" i="3"/>
  <c r="AE57" i="3" s="1"/>
  <c r="H66" i="3"/>
  <c r="J66" i="3"/>
  <c r="AE66" i="3" s="1"/>
  <c r="H55" i="3"/>
  <c r="J55" i="3"/>
  <c r="AE55" i="3" s="1"/>
  <c r="H24" i="3"/>
  <c r="J24" i="3"/>
  <c r="AE24" i="3" s="1"/>
  <c r="H63" i="3"/>
  <c r="J63" i="3"/>
  <c r="AE63" i="3" s="1"/>
  <c r="H12" i="3"/>
  <c r="J12" i="3"/>
  <c r="AE12" i="3" s="1"/>
  <c r="H62" i="3"/>
  <c r="J62" i="3"/>
  <c r="AE62" i="3" s="1"/>
  <c r="H22" i="3"/>
  <c r="J22" i="3"/>
  <c r="AE22" i="3" s="1"/>
  <c r="H61" i="3"/>
  <c r="J61" i="3"/>
  <c r="AE61" i="3" s="1"/>
  <c r="H20" i="3"/>
  <c r="J20" i="3"/>
  <c r="AE20" i="3" s="1"/>
  <c r="H70" i="3"/>
  <c r="J70" i="3"/>
  <c r="AE70" i="3" s="1"/>
  <c r="H31" i="3"/>
  <c r="J31" i="3"/>
  <c r="AE31" i="3" s="1"/>
  <c r="H19" i="3"/>
  <c r="J19" i="3"/>
  <c r="AE19" i="3" s="1"/>
  <c r="H69" i="3"/>
  <c r="J69" i="3"/>
  <c r="AE69" i="3" s="1"/>
  <c r="H59" i="3"/>
  <c r="J59" i="3"/>
  <c r="AE59" i="3" s="1"/>
  <c r="H30" i="3"/>
  <c r="J30" i="3"/>
  <c r="AE30" i="3" s="1"/>
  <c r="H18" i="3"/>
  <c r="J18" i="3"/>
  <c r="AE18" i="3" s="1"/>
  <c r="H8" i="3"/>
  <c r="J8" i="3"/>
  <c r="AE8" i="3" s="1"/>
  <c r="D869" i="6"/>
  <c r="D870" i="6"/>
  <c r="D868" i="6"/>
  <c r="Q15" i="3"/>
  <c r="P15" i="3"/>
  <c r="F15" i="3"/>
  <c r="M15" i="3"/>
  <c r="N15" i="3"/>
  <c r="L15" i="3"/>
  <c r="K15" i="3"/>
  <c r="T15" i="3"/>
  <c r="I15" i="3"/>
  <c r="V15" i="3"/>
  <c r="U15" i="3"/>
  <c r="S15" i="3"/>
  <c r="O15" i="3"/>
  <c r="R15" i="3"/>
  <c r="Q31" i="3"/>
  <c r="P31" i="3"/>
  <c r="F31" i="3"/>
  <c r="S31" i="3"/>
  <c r="R31" i="3"/>
  <c r="M31" i="3"/>
  <c r="K31" i="3"/>
  <c r="I31" i="3"/>
  <c r="T31" i="3"/>
  <c r="V31" i="3"/>
  <c r="U31" i="3"/>
  <c r="O31" i="3"/>
  <c r="L31" i="3"/>
  <c r="N31" i="3"/>
  <c r="N30" i="3"/>
  <c r="M30" i="3"/>
  <c r="V30" i="3"/>
  <c r="I30" i="3"/>
  <c r="U30" i="3"/>
  <c r="R30" i="3"/>
  <c r="F30" i="3"/>
  <c r="K30" i="3"/>
  <c r="Q30" i="3"/>
  <c r="S30" i="3"/>
  <c r="T30" i="3"/>
  <c r="P30" i="3"/>
  <c r="O30" i="3"/>
  <c r="L30" i="3"/>
  <c r="O67" i="3"/>
  <c r="N67" i="3"/>
  <c r="M67" i="3"/>
  <c r="P67" i="3"/>
  <c r="F67" i="3"/>
  <c r="V67" i="3"/>
  <c r="U67" i="3"/>
  <c r="T67" i="3"/>
  <c r="R67" i="3"/>
  <c r="Q67" i="3"/>
  <c r="I67" i="3"/>
  <c r="S67" i="3"/>
  <c r="L67" i="3"/>
  <c r="K67" i="3"/>
  <c r="R28" i="3"/>
  <c r="Q28" i="3"/>
  <c r="T28" i="3"/>
  <c r="S28" i="3"/>
  <c r="F28" i="3"/>
  <c r="N28" i="3"/>
  <c r="I28" i="3"/>
  <c r="V28" i="3"/>
  <c r="O28" i="3"/>
  <c r="P28" i="3"/>
  <c r="U28" i="3"/>
  <c r="M28" i="3"/>
  <c r="L28" i="3"/>
  <c r="K28" i="3"/>
  <c r="V66" i="3"/>
  <c r="L66" i="3"/>
  <c r="U66" i="3"/>
  <c r="K66" i="3"/>
  <c r="T66" i="3"/>
  <c r="M66" i="3"/>
  <c r="F66" i="3"/>
  <c r="S66" i="3"/>
  <c r="Q66" i="3"/>
  <c r="P66" i="3"/>
  <c r="I66" i="3"/>
  <c r="R66" i="3"/>
  <c r="N66" i="3"/>
  <c r="O66" i="3"/>
  <c r="O27" i="3"/>
  <c r="O86" i="3" s="1"/>
  <c r="M27" i="3"/>
  <c r="M86" i="3" s="1"/>
  <c r="L27" i="3"/>
  <c r="L86" i="3" s="1"/>
  <c r="T27" i="3"/>
  <c r="T86" i="3" s="1"/>
  <c r="I27" i="3"/>
  <c r="U27" i="3"/>
  <c r="U86" i="3" s="1"/>
  <c r="F27" i="3"/>
  <c r="F86" i="3" s="1"/>
  <c r="V27" i="3"/>
  <c r="Q27" i="3"/>
  <c r="S27" i="3"/>
  <c r="S86" i="3" s="1"/>
  <c r="R27" i="3"/>
  <c r="P27" i="3"/>
  <c r="K27" i="3"/>
  <c r="N27" i="3"/>
  <c r="S65" i="3"/>
  <c r="I65" i="3"/>
  <c r="R65" i="3"/>
  <c r="Q65" i="3"/>
  <c r="T65" i="3"/>
  <c r="F65" i="3"/>
  <c r="V65" i="3"/>
  <c r="P65" i="3"/>
  <c r="O65" i="3"/>
  <c r="K65" i="3"/>
  <c r="U65" i="3"/>
  <c r="N65" i="3"/>
  <c r="M65" i="3"/>
  <c r="L65" i="3"/>
  <c r="S55" i="3"/>
  <c r="I55" i="3"/>
  <c r="R55" i="3"/>
  <c r="Q55" i="3"/>
  <c r="T55" i="3"/>
  <c r="L55" i="3"/>
  <c r="K55" i="3"/>
  <c r="F55" i="3"/>
  <c r="V55" i="3"/>
  <c r="U55" i="3"/>
  <c r="P55" i="3"/>
  <c r="O55" i="3"/>
  <c r="N55" i="3"/>
  <c r="M55" i="3"/>
  <c r="T26" i="3"/>
  <c r="S26" i="3"/>
  <c r="I26" i="3"/>
  <c r="P26" i="3"/>
  <c r="F26" i="3"/>
  <c r="M26" i="3"/>
  <c r="L26" i="3"/>
  <c r="K26" i="3"/>
  <c r="R26" i="3"/>
  <c r="U26" i="3"/>
  <c r="V26" i="3"/>
  <c r="Q26" i="3"/>
  <c r="O26" i="3"/>
  <c r="N26" i="3"/>
  <c r="N14" i="3"/>
  <c r="M14" i="3"/>
  <c r="T14" i="3"/>
  <c r="Q14" i="3"/>
  <c r="P14" i="3"/>
  <c r="L14" i="3"/>
  <c r="O14" i="3"/>
  <c r="V14" i="3"/>
  <c r="U14" i="3"/>
  <c r="S14" i="3"/>
  <c r="R14" i="3"/>
  <c r="K14" i="3"/>
  <c r="I14" i="3"/>
  <c r="F14" i="3"/>
  <c r="N60" i="3"/>
  <c r="M60" i="3"/>
  <c r="V60" i="3"/>
  <c r="L60" i="3"/>
  <c r="O60" i="3"/>
  <c r="I60" i="3"/>
  <c r="U60" i="3"/>
  <c r="S60" i="3"/>
  <c r="R60" i="3"/>
  <c r="T60" i="3"/>
  <c r="Q60" i="3"/>
  <c r="P60" i="3"/>
  <c r="K60" i="3"/>
  <c r="F60" i="3"/>
  <c r="S19" i="3"/>
  <c r="I19" i="3"/>
  <c r="R19" i="3"/>
  <c r="O19" i="3"/>
  <c r="Q19" i="3"/>
  <c r="P19" i="3"/>
  <c r="M19" i="3"/>
  <c r="N19" i="3"/>
  <c r="V19" i="3"/>
  <c r="U19" i="3"/>
  <c r="T19" i="3"/>
  <c r="L19" i="3"/>
  <c r="K19" i="3"/>
  <c r="F19" i="3"/>
  <c r="U59" i="3"/>
  <c r="K59" i="3"/>
  <c r="T59" i="3"/>
  <c r="S59" i="3"/>
  <c r="I59" i="3"/>
  <c r="V59" i="3"/>
  <c r="L59" i="3"/>
  <c r="F59" i="3"/>
  <c r="R59" i="3"/>
  <c r="Q59" i="3"/>
  <c r="P59" i="3"/>
  <c r="O59" i="3"/>
  <c r="N59" i="3"/>
  <c r="M59" i="3"/>
  <c r="O57" i="3"/>
  <c r="N57" i="3"/>
  <c r="M57" i="3"/>
  <c r="P57" i="3"/>
  <c r="F57" i="3"/>
  <c r="I57" i="3"/>
  <c r="V57" i="3"/>
  <c r="T57" i="3"/>
  <c r="S57" i="3"/>
  <c r="R57" i="3"/>
  <c r="Q57" i="3"/>
  <c r="L57" i="3"/>
  <c r="K57" i="3"/>
  <c r="U57" i="3"/>
  <c r="V56" i="3"/>
  <c r="L56" i="3"/>
  <c r="U56" i="3"/>
  <c r="K56" i="3"/>
  <c r="T56" i="3"/>
  <c r="M56" i="3"/>
  <c r="I56" i="3"/>
  <c r="S56" i="3"/>
  <c r="R56" i="3"/>
  <c r="Q56" i="3"/>
  <c r="P56" i="3"/>
  <c r="O56" i="3"/>
  <c r="N56" i="3"/>
  <c r="F56" i="3"/>
  <c r="P64" i="3"/>
  <c r="F64" i="3"/>
  <c r="O64" i="3"/>
  <c r="N64" i="3"/>
  <c r="Q64" i="3"/>
  <c r="I64" i="3"/>
  <c r="V64" i="3"/>
  <c r="U64" i="3"/>
  <c r="S64" i="3"/>
  <c r="R64" i="3"/>
  <c r="T64" i="3"/>
  <c r="M64" i="3"/>
  <c r="L64" i="3"/>
  <c r="K64" i="3"/>
  <c r="P54" i="3"/>
  <c r="F54" i="3"/>
  <c r="O54" i="3"/>
  <c r="N54" i="3"/>
  <c r="Q54" i="3"/>
  <c r="K54" i="3"/>
  <c r="I54" i="3"/>
  <c r="U54" i="3"/>
  <c r="T54" i="3"/>
  <c r="V54" i="3"/>
  <c r="S54" i="3"/>
  <c r="R54" i="3"/>
  <c r="M54" i="3"/>
  <c r="L54" i="3"/>
  <c r="N24" i="3"/>
  <c r="M24" i="3"/>
  <c r="T24" i="3"/>
  <c r="R24" i="3"/>
  <c r="Q24" i="3"/>
  <c r="O24" i="3"/>
  <c r="P24" i="3"/>
  <c r="I24" i="3"/>
  <c r="V24" i="3"/>
  <c r="U24" i="3"/>
  <c r="S24" i="3"/>
  <c r="L24" i="3"/>
  <c r="K24" i="3"/>
  <c r="F24" i="3"/>
  <c r="U13" i="3"/>
  <c r="K13" i="3"/>
  <c r="T13" i="3"/>
  <c r="Q13" i="3"/>
  <c r="S13" i="3"/>
  <c r="R13" i="3"/>
  <c r="O13" i="3"/>
  <c r="P13" i="3"/>
  <c r="L13" i="3"/>
  <c r="M13" i="3"/>
  <c r="N13" i="3"/>
  <c r="I13" i="3"/>
  <c r="F13" i="3"/>
  <c r="V13" i="3"/>
  <c r="U23" i="3"/>
  <c r="K23" i="3"/>
  <c r="T23" i="3"/>
  <c r="Q23" i="3"/>
  <c r="V23" i="3"/>
  <c r="F23" i="3"/>
  <c r="S23" i="3"/>
  <c r="P23" i="3"/>
  <c r="R23" i="3"/>
  <c r="M23" i="3"/>
  <c r="N23" i="3"/>
  <c r="O23" i="3"/>
  <c r="L23" i="3"/>
  <c r="I23" i="3"/>
  <c r="M53" i="3"/>
  <c r="V53" i="3"/>
  <c r="L53" i="3"/>
  <c r="U53" i="3"/>
  <c r="K53" i="3"/>
  <c r="N53" i="3"/>
  <c r="I53" i="3"/>
  <c r="T53" i="3"/>
  <c r="F53" i="3"/>
  <c r="S53" i="3"/>
  <c r="R53" i="3"/>
  <c r="Q53" i="3"/>
  <c r="P53" i="3"/>
  <c r="O53" i="3"/>
  <c r="T62" i="3"/>
  <c r="S62" i="3"/>
  <c r="I62" i="3"/>
  <c r="R62" i="3"/>
  <c r="U62" i="3"/>
  <c r="K62" i="3"/>
  <c r="F62" i="3"/>
  <c r="Q62" i="3"/>
  <c r="P62" i="3"/>
  <c r="V62" i="3"/>
  <c r="O62" i="3"/>
  <c r="N62" i="3"/>
  <c r="M62" i="3"/>
  <c r="L62" i="3"/>
  <c r="O21" i="3"/>
  <c r="N21" i="3"/>
  <c r="U21" i="3"/>
  <c r="K21" i="3"/>
  <c r="L21" i="3"/>
  <c r="V21" i="3"/>
  <c r="I21" i="3"/>
  <c r="R21" i="3"/>
  <c r="S21" i="3"/>
  <c r="T21" i="3"/>
  <c r="Q21" i="3"/>
  <c r="P21" i="3"/>
  <c r="M21" i="3"/>
  <c r="F21" i="3"/>
  <c r="R22" i="3"/>
  <c r="Q22" i="3"/>
  <c r="N22" i="3"/>
  <c r="V22" i="3"/>
  <c r="I22" i="3"/>
  <c r="T22" i="3"/>
  <c r="U22" i="3"/>
  <c r="F22" i="3"/>
  <c r="O22" i="3"/>
  <c r="S22" i="3"/>
  <c r="P22" i="3"/>
  <c r="M22" i="3"/>
  <c r="K22" i="3"/>
  <c r="L22" i="3"/>
  <c r="O11" i="3"/>
  <c r="N11" i="3"/>
  <c r="U11" i="3"/>
  <c r="K11" i="3"/>
  <c r="I11" i="3"/>
  <c r="T11" i="3"/>
  <c r="V11" i="3"/>
  <c r="Q11" i="3"/>
  <c r="R11" i="3"/>
  <c r="S11" i="3"/>
  <c r="P11" i="3"/>
  <c r="M11" i="3"/>
  <c r="L11" i="3"/>
  <c r="F11" i="3"/>
  <c r="Q71" i="3"/>
  <c r="P71" i="3"/>
  <c r="F71" i="3"/>
  <c r="O71" i="3"/>
  <c r="R71" i="3"/>
  <c r="V71" i="3"/>
  <c r="U71" i="3"/>
  <c r="T71" i="3"/>
  <c r="N71" i="3"/>
  <c r="M71" i="3"/>
  <c r="I71" i="3"/>
  <c r="S71" i="3"/>
  <c r="K71" i="3"/>
  <c r="L71" i="3"/>
  <c r="Q61" i="3"/>
  <c r="P61" i="3"/>
  <c r="F61" i="3"/>
  <c r="O61" i="3"/>
  <c r="R61" i="3"/>
  <c r="I61" i="3"/>
  <c r="V61" i="3"/>
  <c r="T61" i="3"/>
  <c r="S61" i="3"/>
  <c r="N61" i="3"/>
  <c r="M61" i="3"/>
  <c r="L61" i="3"/>
  <c r="K61" i="3"/>
  <c r="U61" i="3"/>
  <c r="T52" i="3"/>
  <c r="S52" i="3"/>
  <c r="I52" i="3"/>
  <c r="R52" i="3"/>
  <c r="U52" i="3"/>
  <c r="K52" i="3"/>
  <c r="M52" i="3"/>
  <c r="L52" i="3"/>
  <c r="V52" i="3"/>
  <c r="Q52" i="3"/>
  <c r="P52" i="3"/>
  <c r="O52" i="3"/>
  <c r="N52" i="3"/>
  <c r="F52" i="3"/>
  <c r="V20" i="3"/>
  <c r="L20" i="3"/>
  <c r="K20" i="3"/>
  <c r="U20" i="3"/>
  <c r="R20" i="3"/>
  <c r="O20" i="3"/>
  <c r="N20" i="3"/>
  <c r="M20" i="3"/>
  <c r="T20" i="3"/>
  <c r="F20" i="3"/>
  <c r="I20" i="3"/>
  <c r="S20" i="3"/>
  <c r="P20" i="3"/>
  <c r="Q20" i="3"/>
  <c r="V10" i="3"/>
  <c r="L10" i="3"/>
  <c r="U10" i="3"/>
  <c r="K10" i="3"/>
  <c r="R10" i="3"/>
  <c r="N10" i="3"/>
  <c r="M10" i="3"/>
  <c r="I10" i="3"/>
  <c r="S10" i="3"/>
  <c r="F10" i="3"/>
  <c r="T10" i="3"/>
  <c r="Q10" i="3"/>
  <c r="O10" i="3"/>
  <c r="P10" i="3"/>
  <c r="M63" i="3"/>
  <c r="V63" i="3"/>
  <c r="L63" i="3"/>
  <c r="U63" i="3"/>
  <c r="K63" i="3"/>
  <c r="N63" i="3"/>
  <c r="T63" i="3"/>
  <c r="F63" i="3"/>
  <c r="R63" i="3"/>
  <c r="Q63" i="3"/>
  <c r="P63" i="3"/>
  <c r="O63" i="3"/>
  <c r="I63" i="3"/>
  <c r="S63" i="3"/>
  <c r="S9" i="3"/>
  <c r="I9" i="3"/>
  <c r="R9" i="3"/>
  <c r="O9" i="3"/>
  <c r="P9" i="3"/>
  <c r="N9" i="3"/>
  <c r="L9" i="3"/>
  <c r="M9" i="3"/>
  <c r="V9" i="3"/>
  <c r="U9" i="3"/>
  <c r="T9" i="3"/>
  <c r="Q9" i="3"/>
  <c r="K9" i="3"/>
  <c r="F9" i="3"/>
  <c r="R12" i="3"/>
  <c r="Q12" i="3"/>
  <c r="N12" i="3"/>
  <c r="V12" i="3"/>
  <c r="I12" i="3"/>
  <c r="F12" i="3"/>
  <c r="S12" i="3"/>
  <c r="T12" i="3"/>
  <c r="M12" i="3"/>
  <c r="P12" i="3"/>
  <c r="O12" i="3"/>
  <c r="L12" i="3"/>
  <c r="K12" i="3"/>
  <c r="N70" i="3"/>
  <c r="M70" i="3"/>
  <c r="V70" i="3"/>
  <c r="L70" i="3"/>
  <c r="O70" i="3"/>
  <c r="U70" i="3"/>
  <c r="T70" i="3"/>
  <c r="F70" i="3"/>
  <c r="S70" i="3"/>
  <c r="Q70" i="3"/>
  <c r="P70" i="3"/>
  <c r="R70" i="3"/>
  <c r="K70" i="3"/>
  <c r="I70" i="3"/>
  <c r="U69" i="3"/>
  <c r="K69" i="3"/>
  <c r="T69" i="3"/>
  <c r="S69" i="3"/>
  <c r="I69" i="3"/>
  <c r="V69" i="3"/>
  <c r="L69" i="3"/>
  <c r="F69" i="3"/>
  <c r="R69" i="3"/>
  <c r="P69" i="3"/>
  <c r="O69" i="3"/>
  <c r="Q69" i="3"/>
  <c r="N69" i="3"/>
  <c r="M69" i="3"/>
  <c r="P18" i="3"/>
  <c r="F18" i="3"/>
  <c r="O18" i="3"/>
  <c r="V18" i="3"/>
  <c r="L18" i="3"/>
  <c r="T18" i="3"/>
  <c r="S18" i="3"/>
  <c r="Q18" i="3"/>
  <c r="R18" i="3"/>
  <c r="K18" i="3"/>
  <c r="M18" i="3"/>
  <c r="N18" i="3"/>
  <c r="I18" i="3"/>
  <c r="U18" i="3"/>
  <c r="R68" i="3"/>
  <c r="Q68" i="3"/>
  <c r="P68" i="3"/>
  <c r="F68" i="3"/>
  <c r="S68" i="3"/>
  <c r="I68" i="3"/>
  <c r="V68" i="3"/>
  <c r="U68" i="3"/>
  <c r="O68" i="3"/>
  <c r="N68" i="3"/>
  <c r="M68" i="3"/>
  <c r="L68" i="3"/>
  <c r="K68" i="3"/>
  <c r="T68" i="3"/>
  <c r="R58" i="3"/>
  <c r="Q58" i="3"/>
  <c r="G58" i="3"/>
  <c r="P58" i="3"/>
  <c r="F58" i="3"/>
  <c r="S58" i="3"/>
  <c r="I58" i="3"/>
  <c r="K58" i="3"/>
  <c r="U58" i="3"/>
  <c r="T58" i="3"/>
  <c r="V58" i="3"/>
  <c r="O58" i="3"/>
  <c r="N58" i="3"/>
  <c r="M58" i="3"/>
  <c r="L58" i="3"/>
  <c r="U29" i="3"/>
  <c r="K29" i="3"/>
  <c r="T29" i="3"/>
  <c r="O29" i="3"/>
  <c r="N29" i="3"/>
  <c r="I29" i="3"/>
  <c r="V29" i="3"/>
  <c r="F29" i="3"/>
  <c r="Q29" i="3"/>
  <c r="S29" i="3"/>
  <c r="R29" i="3"/>
  <c r="P29" i="3"/>
  <c r="L29" i="3"/>
  <c r="M29" i="3"/>
  <c r="M17" i="3"/>
  <c r="L17" i="3"/>
  <c r="V17" i="3"/>
  <c r="S17" i="3"/>
  <c r="I17" i="3"/>
  <c r="U17" i="3"/>
  <c r="R17" i="3"/>
  <c r="T17" i="3"/>
  <c r="F17" i="3"/>
  <c r="O17" i="3"/>
  <c r="Q17" i="3"/>
  <c r="P17" i="3"/>
  <c r="N17" i="3"/>
  <c r="K17" i="3"/>
  <c r="E104" i="7"/>
  <c r="C104" i="7"/>
  <c r="D104" i="7"/>
  <c r="C98" i="3" s="1"/>
  <c r="F8" i="3"/>
  <c r="E104" i="3"/>
  <c r="V8" i="3"/>
  <c r="P8" i="3"/>
  <c r="O8" i="3"/>
  <c r="M8" i="3"/>
  <c r="L8" i="3"/>
  <c r="K8" i="3"/>
  <c r="U8" i="3"/>
  <c r="R8" i="3"/>
  <c r="Q8" i="3"/>
  <c r="N8" i="3"/>
  <c r="T8" i="3"/>
  <c r="S8" i="3"/>
  <c r="I8" i="3"/>
  <c r="AF21" i="3" l="1"/>
  <c r="J77" i="3"/>
  <c r="K83" i="3"/>
  <c r="O90" i="2"/>
  <c r="O89" i="2"/>
  <c r="O88" i="2"/>
  <c r="AI52" i="3"/>
  <c r="Y65" i="2" s="1"/>
  <c r="Z65" i="2" s="1"/>
  <c r="AB27" i="3"/>
  <c r="AH60" i="3"/>
  <c r="AI26" i="3"/>
  <c r="Y39" i="2" s="1"/>
  <c r="Z39" i="2" s="1"/>
  <c r="J84" i="3"/>
  <c r="AE84" i="3" s="1"/>
  <c r="AH20" i="3"/>
  <c r="U33" i="2" s="1"/>
  <c r="V33" i="2" s="1"/>
  <c r="AI69" i="3"/>
  <c r="J85" i="3"/>
  <c r="AE85" i="3" s="1"/>
  <c r="O99" i="2" s="1"/>
  <c r="AF72" i="3"/>
  <c r="F80" i="3"/>
  <c r="J78" i="3"/>
  <c r="J82" i="3"/>
  <c r="AE82" i="3" s="1"/>
  <c r="O96" i="2" s="1"/>
  <c r="P96" i="2" s="1"/>
  <c r="AG70" i="3"/>
  <c r="J79" i="3"/>
  <c r="AE79" i="3" s="1"/>
  <c r="O93" i="2" s="1"/>
  <c r="P93" i="2" s="1"/>
  <c r="AI10" i="3"/>
  <c r="Y23" i="2" s="1"/>
  <c r="Z23" i="2" s="1"/>
  <c r="AC58" i="3"/>
  <c r="J83" i="3"/>
  <c r="AE83" i="3" s="1"/>
  <c r="O97" i="2" s="1"/>
  <c r="P97" i="2" s="1"/>
  <c r="J80" i="3"/>
  <c r="AE80" i="3" s="1"/>
  <c r="O94" i="2" s="1"/>
  <c r="P94" i="2" s="1"/>
  <c r="J81" i="3"/>
  <c r="AE81" i="3" s="1"/>
  <c r="O95" i="2" s="1"/>
  <c r="P95" i="2" s="1"/>
  <c r="AI57" i="3"/>
  <c r="AF57" i="3"/>
  <c r="Q70" i="2" s="1"/>
  <c r="R70" i="2" s="1"/>
  <c r="AF56" i="3"/>
  <c r="AI65" i="3"/>
  <c r="AG59" i="3"/>
  <c r="AI67" i="3"/>
  <c r="AJ15" i="3"/>
  <c r="AA28" i="2" s="1"/>
  <c r="AB28" i="2" s="1"/>
  <c r="AI28" i="3"/>
  <c r="AB70" i="3"/>
  <c r="AH14" i="3"/>
  <c r="U27" i="2" s="1"/>
  <c r="V27" i="2" s="1"/>
  <c r="AI53" i="3"/>
  <c r="Y66" i="2" s="1"/>
  <c r="Z66" i="2" s="1"/>
  <c r="AB17" i="3"/>
  <c r="G30" i="2" s="1"/>
  <c r="H30" i="2" s="1"/>
  <c r="AH31" i="3"/>
  <c r="U45" i="2" s="1"/>
  <c r="V45" i="2" s="1"/>
  <c r="AJ8" i="3"/>
  <c r="AA21" i="2" s="1"/>
  <c r="AB21" i="2" s="1"/>
  <c r="AF53" i="3"/>
  <c r="AB54" i="3"/>
  <c r="AJ58" i="3"/>
  <c r="AH67" i="3"/>
  <c r="AJ19" i="3"/>
  <c r="AA32" i="2" s="1"/>
  <c r="AB32" i="2" s="1"/>
  <c r="AJ55" i="3"/>
  <c r="AB18" i="3"/>
  <c r="G31" i="2" s="1"/>
  <c r="H31" i="2" s="1"/>
  <c r="AJ10" i="3"/>
  <c r="AA23" i="2" s="1"/>
  <c r="AB23" i="2" s="1"/>
  <c r="AJ59" i="3"/>
  <c r="AA72" i="2" s="1"/>
  <c r="AB72" i="2" s="1"/>
  <c r="AH26" i="3"/>
  <c r="U39" i="2" s="1"/>
  <c r="V39" i="2" s="1"/>
  <c r="AF30" i="3"/>
  <c r="AH15" i="3"/>
  <c r="U28" i="2" s="1"/>
  <c r="V28" i="2" s="1"/>
  <c r="AI15" i="3"/>
  <c r="Y28" i="2" s="1"/>
  <c r="Z28" i="2" s="1"/>
  <c r="AI17" i="3"/>
  <c r="Y30" i="2" s="1"/>
  <c r="Z30" i="2" s="1"/>
  <c r="AH70" i="3"/>
  <c r="AG72" i="3"/>
  <c r="AH66" i="3"/>
  <c r="AI56" i="3"/>
  <c r="AI66" i="3"/>
  <c r="AB59" i="3"/>
  <c r="AJ65" i="3"/>
  <c r="AJ17" i="3"/>
  <c r="AA30" i="2" s="1"/>
  <c r="AB30" i="2" s="1"/>
  <c r="AJ63" i="3"/>
  <c r="AB71" i="3"/>
  <c r="AB22" i="3"/>
  <c r="G35" i="2" s="1"/>
  <c r="H35" i="2" s="1"/>
  <c r="AJ21" i="3"/>
  <c r="AA34" i="2" s="1"/>
  <c r="AB34" i="2" s="1"/>
  <c r="AG53" i="3"/>
  <c r="AG60" i="3"/>
  <c r="AB58" i="3"/>
  <c r="AG68" i="3"/>
  <c r="AI18" i="3"/>
  <c r="Y31" i="2" s="1"/>
  <c r="Z31" i="2" s="1"/>
  <c r="AF12" i="3"/>
  <c r="Q25" i="2" s="1"/>
  <c r="R25" i="2" s="1"/>
  <c r="AJ9" i="3"/>
  <c r="AA22" i="2" s="1"/>
  <c r="AB22" i="2" s="1"/>
  <c r="AH61" i="3"/>
  <c r="AH72" i="3"/>
  <c r="AG24" i="3"/>
  <c r="S37" i="2" s="1"/>
  <c r="T37" i="2" s="1"/>
  <c r="AJ54" i="3"/>
  <c r="AB31" i="3"/>
  <c r="G45" i="2" s="1"/>
  <c r="H45" i="2" s="1"/>
  <c r="AI9" i="3"/>
  <c r="Y22" i="2" s="1"/>
  <c r="Z22" i="2" s="1"/>
  <c r="AG22" i="3"/>
  <c r="S35" i="2" s="1"/>
  <c r="T35" i="2" s="1"/>
  <c r="AB72" i="3"/>
  <c r="AJ53" i="3"/>
  <c r="AF13" i="3"/>
  <c r="Q26" i="2" s="1"/>
  <c r="R26" i="2" s="1"/>
  <c r="AB13" i="3"/>
  <c r="G26" i="2" s="1"/>
  <c r="H26" i="2" s="1"/>
  <c r="AH8" i="3"/>
  <c r="U21" i="2" s="1"/>
  <c r="V21" i="2" s="1"/>
  <c r="AF58" i="3"/>
  <c r="AH18" i="3"/>
  <c r="U31" i="2" s="1"/>
  <c r="V31" i="2" s="1"/>
  <c r="AH9" i="3"/>
  <c r="U22" i="2" s="1"/>
  <c r="V22" i="2" s="1"/>
  <c r="AG20" i="3"/>
  <c r="S33" i="2" s="1"/>
  <c r="T33" i="2" s="1"/>
  <c r="AF71" i="3"/>
  <c r="AB21" i="3"/>
  <c r="G34" i="2" s="1"/>
  <c r="H34" i="2" s="1"/>
  <c r="AI62" i="3"/>
  <c r="AB56" i="3"/>
  <c r="O79" i="2"/>
  <c r="P79" i="2" s="1"/>
  <c r="O28" i="2"/>
  <c r="P28" i="2" s="1"/>
  <c r="O73" i="2"/>
  <c r="P73" i="2" s="1"/>
  <c r="O71" i="2"/>
  <c r="P71" i="2" s="1"/>
  <c r="O44" i="2"/>
  <c r="P44" i="2" s="1"/>
  <c r="O84" i="2"/>
  <c r="P84" i="2" s="1"/>
  <c r="O67" i="2"/>
  <c r="P67" i="2" s="1"/>
  <c r="O68" i="2"/>
  <c r="P68" i="2" s="1"/>
  <c r="O21" i="2"/>
  <c r="P21" i="2" s="1"/>
  <c r="O78" i="2"/>
  <c r="P78" i="2" s="1"/>
  <c r="O72" i="2"/>
  <c r="P72" i="2" s="1"/>
  <c r="O22" i="2"/>
  <c r="P22" i="2" s="1"/>
  <c r="O35" i="2"/>
  <c r="P35" i="2" s="1"/>
  <c r="O45" i="2"/>
  <c r="P45" i="2" s="1"/>
  <c r="O87" i="2"/>
  <c r="P87" i="2" s="1"/>
  <c r="O86" i="2"/>
  <c r="O74" i="2"/>
  <c r="P74" i="2" s="1"/>
  <c r="O43" i="2"/>
  <c r="P43" i="2" s="1"/>
  <c r="O33" i="2"/>
  <c r="P33" i="2" s="1"/>
  <c r="O26" i="2"/>
  <c r="P26" i="2" s="1"/>
  <c r="O69" i="2"/>
  <c r="P69" i="2" s="1"/>
  <c r="O80" i="2"/>
  <c r="P80" i="2" s="1"/>
  <c r="O31" i="2"/>
  <c r="P31" i="2" s="1"/>
  <c r="O77" i="2"/>
  <c r="P77" i="2" s="1"/>
  <c r="O32" i="2"/>
  <c r="P32" i="2" s="1"/>
  <c r="O25" i="2"/>
  <c r="P25" i="2" s="1"/>
  <c r="O66" i="2"/>
  <c r="P66" i="2" s="1"/>
  <c r="O85" i="2"/>
  <c r="P85" i="2" s="1"/>
  <c r="O76" i="2"/>
  <c r="P76" i="2" s="1"/>
  <c r="O83" i="2"/>
  <c r="P83" i="2" s="1"/>
  <c r="O30" i="2"/>
  <c r="P30" i="2" s="1"/>
  <c r="O82" i="2"/>
  <c r="P82" i="2" s="1"/>
  <c r="O75" i="2"/>
  <c r="P75" i="2" s="1"/>
  <c r="O34" i="2"/>
  <c r="P34" i="2" s="1"/>
  <c r="O70" i="2"/>
  <c r="P70" i="2" s="1"/>
  <c r="O27" i="2"/>
  <c r="P27" i="2" s="1"/>
  <c r="O81" i="2"/>
  <c r="P81" i="2" s="1"/>
  <c r="O24" i="2"/>
  <c r="P24" i="2" s="1"/>
  <c r="O23" i="2"/>
  <c r="P23" i="2" s="1"/>
  <c r="O36" i="2"/>
  <c r="P36" i="2" s="1"/>
  <c r="O37" i="2"/>
  <c r="P37" i="2" s="1"/>
  <c r="O42" i="2"/>
  <c r="P42" i="2" s="1"/>
  <c r="AE86" i="3"/>
  <c r="AE27" i="3"/>
  <c r="O40" i="2" s="1"/>
  <c r="P40" i="2" s="1"/>
  <c r="AF10" i="3"/>
  <c r="Q23" i="2" s="1"/>
  <c r="R23" i="2" s="1"/>
  <c r="AF61" i="3"/>
  <c r="AH71" i="3"/>
  <c r="AF26" i="3"/>
  <c r="AG73" i="3"/>
  <c r="AI68" i="3"/>
  <c r="AI22" i="3"/>
  <c r="Y35" i="2" s="1"/>
  <c r="Z35" i="2" s="1"/>
  <c r="AF70" i="3"/>
  <c r="AB29" i="3"/>
  <c r="AI19" i="3"/>
  <c r="Y32" i="2" s="1"/>
  <c r="Z32" i="2" s="1"/>
  <c r="AG17" i="3"/>
  <c r="S30" i="2" s="1"/>
  <c r="T30" i="2" s="1"/>
  <c r="AB9" i="3"/>
  <c r="G22" i="2" s="1"/>
  <c r="H22" i="2" s="1"/>
  <c r="AB20" i="3"/>
  <c r="G33" i="2" s="1"/>
  <c r="H33" i="2" s="1"/>
  <c r="AG21" i="3"/>
  <c r="S34" i="2" s="1"/>
  <c r="T34" i="2" s="1"/>
  <c r="AJ57" i="3"/>
  <c r="AG63" i="3"/>
  <c r="AF24" i="3"/>
  <c r="Q37" i="2" s="1"/>
  <c r="R37" i="2" s="1"/>
  <c r="AF59" i="3"/>
  <c r="AF14" i="3"/>
  <c r="Q27" i="2" s="1"/>
  <c r="R27" i="2" s="1"/>
  <c r="AB8" i="3"/>
  <c r="G21" i="2" s="1"/>
  <c r="H21" i="2" s="1"/>
  <c r="AJ29" i="3"/>
  <c r="AB68" i="3"/>
  <c r="AJ18" i="3"/>
  <c r="AA31" i="2" s="1"/>
  <c r="AB31" i="2" s="1"/>
  <c r="AF69" i="3"/>
  <c r="AH12" i="3"/>
  <c r="U25" i="2" s="1"/>
  <c r="V25" i="2" s="1"/>
  <c r="AB10" i="3"/>
  <c r="G23" i="2" s="1"/>
  <c r="H23" i="2" s="1"/>
  <c r="AF52" i="3"/>
  <c r="AI11" i="3"/>
  <c r="Y24" i="2" s="1"/>
  <c r="Z24" i="2" s="1"/>
  <c r="AI72" i="3"/>
  <c r="AG23" i="3"/>
  <c r="S36" i="2" s="1"/>
  <c r="T36" i="2" s="1"/>
  <c r="AG66" i="3"/>
  <c r="AF28" i="3"/>
  <c r="AF67" i="3"/>
  <c r="AJ30" i="3"/>
  <c r="AG31" i="3"/>
  <c r="S45" i="2" s="1"/>
  <c r="T45" i="2" s="1"/>
  <c r="AF19" i="3"/>
  <c r="Q32" i="2" s="1"/>
  <c r="R32" i="2" s="1"/>
  <c r="AB55" i="3"/>
  <c r="AB28" i="3"/>
  <c r="AI31" i="3"/>
  <c r="Y45" i="2" s="1"/>
  <c r="Z45" i="2" s="1"/>
  <c r="AJ68" i="3"/>
  <c r="AB57" i="3"/>
  <c r="AI60" i="3"/>
  <c r="AB65" i="3"/>
  <c r="AF55" i="3"/>
  <c r="AI55" i="3"/>
  <c r="AG65" i="3"/>
  <c r="AH59" i="3"/>
  <c r="AB14" i="3"/>
  <c r="G27" i="2" s="1"/>
  <c r="H27" i="2" s="1"/>
  <c r="AH65" i="3"/>
  <c r="AJ28" i="3"/>
  <c r="AB66" i="3"/>
  <c r="AF8" i="3"/>
  <c r="Q21" i="2" s="1"/>
  <c r="R21" i="2" s="1"/>
  <c r="AB67" i="3"/>
  <c r="AD29" i="3"/>
  <c r="AG29" i="3"/>
  <c r="AI70" i="3"/>
  <c r="AB12" i="3"/>
  <c r="G25" i="2" s="1"/>
  <c r="AD12" i="3"/>
  <c r="M25" i="2" s="1"/>
  <c r="N25" i="2" s="1"/>
  <c r="AJ73" i="3"/>
  <c r="AG9" i="3"/>
  <c r="S22" i="2" s="1"/>
  <c r="T22" i="2" s="1"/>
  <c r="AI63" i="3"/>
  <c r="AG10" i="3"/>
  <c r="S23" i="2" s="1"/>
  <c r="T23" i="2" s="1"/>
  <c r="AJ52" i="3"/>
  <c r="AJ71" i="3"/>
  <c r="AJ11" i="3"/>
  <c r="AA24" i="2" s="1"/>
  <c r="AB24" i="2" s="1"/>
  <c r="AH22" i="3"/>
  <c r="U35" i="2" s="1"/>
  <c r="V35" i="2" s="1"/>
  <c r="AJ62" i="3"/>
  <c r="AB53" i="3"/>
  <c r="AJ23" i="3"/>
  <c r="AA36" i="2" s="1"/>
  <c r="AB36" i="2" s="1"/>
  <c r="AH13" i="3"/>
  <c r="U26" i="2" s="1"/>
  <c r="V26" i="2" s="1"/>
  <c r="AI13" i="3"/>
  <c r="Y26" i="2" s="1"/>
  <c r="Z26" i="2" s="1"/>
  <c r="AH24" i="3"/>
  <c r="U37" i="2" s="1"/>
  <c r="V37" i="2" s="1"/>
  <c r="AI54" i="3"/>
  <c r="AJ64" i="3"/>
  <c r="AJ56" i="3"/>
  <c r="AA69" i="2" s="1"/>
  <c r="AB69" i="2" s="1"/>
  <c r="AH56" i="3"/>
  <c r="AH57" i="3"/>
  <c r="AH19" i="3"/>
  <c r="U32" i="2" s="1"/>
  <c r="V32" i="2" s="1"/>
  <c r="AG26" i="3"/>
  <c r="AH55" i="3"/>
  <c r="N86" i="3"/>
  <c r="AF86" i="3" s="1"/>
  <c r="AF27" i="3"/>
  <c r="AD66" i="3"/>
  <c r="AB15" i="3"/>
  <c r="G28" i="2" s="1"/>
  <c r="AD52" i="3"/>
  <c r="AD24" i="3"/>
  <c r="M37" i="2" s="1"/>
  <c r="N37" i="2" s="1"/>
  <c r="AF54" i="3"/>
  <c r="AD57" i="3"/>
  <c r="AD26" i="3"/>
  <c r="AH11" i="3"/>
  <c r="U24" i="2" s="1"/>
  <c r="V24" i="2" s="1"/>
  <c r="AF22" i="3"/>
  <c r="Q35" i="2" s="1"/>
  <c r="R35" i="2" s="1"/>
  <c r="AD21" i="3"/>
  <c r="M34" i="2" s="1"/>
  <c r="N34" i="2" s="1"/>
  <c r="AF62" i="3"/>
  <c r="AD13" i="3"/>
  <c r="M26" i="2" s="1"/>
  <c r="N26" i="2" s="1"/>
  <c r="AI59" i="3"/>
  <c r="AB60" i="3"/>
  <c r="AF65" i="3"/>
  <c r="P86" i="3"/>
  <c r="AG86" i="3" s="1"/>
  <c r="AG27" i="3"/>
  <c r="I86" i="3"/>
  <c r="AD27" i="3"/>
  <c r="AD67" i="3"/>
  <c r="AD17" i="3"/>
  <c r="M30" i="2" s="1"/>
  <c r="N30" i="2" s="1"/>
  <c r="AI29" i="3"/>
  <c r="Y42" i="2" s="1"/>
  <c r="Z42" i="2" s="1"/>
  <c r="AD58" i="3"/>
  <c r="AB69" i="3"/>
  <c r="AI12" i="3"/>
  <c r="Y25" i="2" s="1"/>
  <c r="Z25" i="2" s="1"/>
  <c r="AD9" i="3"/>
  <c r="M22" i="2" s="1"/>
  <c r="N22" i="2" s="1"/>
  <c r="AF20" i="3"/>
  <c r="Q33" i="2" s="1"/>
  <c r="R33" i="2" s="1"/>
  <c r="AG52" i="3"/>
  <c r="AD61" i="3"/>
  <c r="AG71" i="3"/>
  <c r="AH21" i="3"/>
  <c r="U34" i="2" s="1"/>
  <c r="V34" i="2" s="1"/>
  <c r="AH53" i="3"/>
  <c r="AH64" i="3"/>
  <c r="AD56" i="3"/>
  <c r="AD65" i="3"/>
  <c r="R86" i="3"/>
  <c r="AJ86" i="3" s="1"/>
  <c r="AJ27" i="3"/>
  <c r="AD30" i="3"/>
  <c r="AF15" i="3"/>
  <c r="Q28" i="2" s="1"/>
  <c r="R28" i="2" s="1"/>
  <c r="AD8" i="3"/>
  <c r="M21" i="2" s="1"/>
  <c r="N21" i="2" s="1"/>
  <c r="AG69" i="3"/>
  <c r="AG12" i="3"/>
  <c r="S25" i="2" s="1"/>
  <c r="T25" i="2" s="1"/>
  <c r="AJ12" i="3"/>
  <c r="AA25" i="2" s="1"/>
  <c r="AB25" i="2" s="1"/>
  <c r="AF73" i="3"/>
  <c r="AF63" i="3"/>
  <c r="AH10" i="3"/>
  <c r="U23" i="2" s="1"/>
  <c r="V23" i="2" s="1"/>
  <c r="AD71" i="3"/>
  <c r="AI71" i="3"/>
  <c r="AD11" i="3"/>
  <c r="M24" i="2" s="1"/>
  <c r="N24" i="2" s="1"/>
  <c r="AJ22" i="3"/>
  <c r="AA35" i="2" s="1"/>
  <c r="AB35" i="2" s="1"/>
  <c r="AH62" i="3"/>
  <c r="AH23" i="3"/>
  <c r="U36" i="2" s="1"/>
  <c r="V36" i="2" s="1"/>
  <c r="AI24" i="3"/>
  <c r="Y37" i="2" s="1"/>
  <c r="Z37" i="2" s="1"/>
  <c r="AH54" i="3"/>
  <c r="AG54" i="3"/>
  <c r="AD64" i="3"/>
  <c r="AG57" i="3"/>
  <c r="AG19" i="3"/>
  <c r="S32" i="2" s="1"/>
  <c r="T32" i="2" s="1"/>
  <c r="AF60" i="3"/>
  <c r="AG14" i="3"/>
  <c r="S27" i="2" s="1"/>
  <c r="T27" i="2" s="1"/>
  <c r="AJ67" i="3"/>
  <c r="AD31" i="3"/>
  <c r="M45" i="2" s="1"/>
  <c r="N45" i="2" s="1"/>
  <c r="AD62" i="3"/>
  <c r="AG8" i="3"/>
  <c r="S21" i="2" s="1"/>
  <c r="T21" i="2" s="1"/>
  <c r="AF17" i="3"/>
  <c r="Q30" i="2" s="1"/>
  <c r="R30" i="2" s="1"/>
  <c r="AH17" i="3"/>
  <c r="U30" i="2" s="1"/>
  <c r="V30" i="2" s="1"/>
  <c r="AH29" i="3"/>
  <c r="AF68" i="3"/>
  <c r="AJ69" i="3"/>
  <c r="AD70" i="3"/>
  <c r="AI73" i="3"/>
  <c r="AB73" i="3"/>
  <c r="AB63" i="3"/>
  <c r="AI20" i="3"/>
  <c r="Y33" i="2" s="1"/>
  <c r="Z33" i="2" s="1"/>
  <c r="AJ20" i="3"/>
  <c r="AA33" i="2" s="1"/>
  <c r="AB33" i="2" s="1"/>
  <c r="AH52" i="3"/>
  <c r="AJ61" i="3"/>
  <c r="AG62" i="3"/>
  <c r="AJ72" i="3"/>
  <c r="AD23" i="3"/>
  <c r="M36" i="2" s="1"/>
  <c r="N36" i="2" s="1"/>
  <c r="AI23" i="3"/>
  <c r="Y36" i="2" s="1"/>
  <c r="Z36" i="2" s="1"/>
  <c r="AJ24" i="3"/>
  <c r="AA37" i="2" s="1"/>
  <c r="AB37" i="2" s="1"/>
  <c r="AB64" i="3"/>
  <c r="AI64" i="3"/>
  <c r="AI14" i="3"/>
  <c r="Y27" i="2" s="1"/>
  <c r="Z27" i="2" s="1"/>
  <c r="AJ26" i="3"/>
  <c r="Q86" i="3"/>
  <c r="AI86" i="3" s="1"/>
  <c r="AI27" i="3"/>
  <c r="AG30" i="3"/>
  <c r="AH30" i="3"/>
  <c r="AG58" i="3"/>
  <c r="AD18" i="3"/>
  <c r="M31" i="2" s="1"/>
  <c r="N31" i="2" s="1"/>
  <c r="AD73" i="3"/>
  <c r="AD63" i="3"/>
  <c r="AB61" i="3"/>
  <c r="AB11" i="3"/>
  <c r="G24" i="2" s="1"/>
  <c r="AD72" i="3"/>
  <c r="AG13" i="3"/>
  <c r="S26" i="2" s="1"/>
  <c r="T26" i="2" s="1"/>
  <c r="AB24" i="3"/>
  <c r="G37" i="2" s="1"/>
  <c r="AF64" i="3"/>
  <c r="AB19" i="3"/>
  <c r="G32" i="2" s="1"/>
  <c r="AJ60" i="3"/>
  <c r="AD14" i="3"/>
  <c r="M27" i="2" s="1"/>
  <c r="N27" i="2" s="1"/>
  <c r="AB26" i="3"/>
  <c r="AG28" i="3"/>
  <c r="AG15" i="3"/>
  <c r="S28" i="2" s="1"/>
  <c r="T28" i="2" s="1"/>
  <c r="AD10" i="3"/>
  <c r="M23" i="2" s="1"/>
  <c r="N23" i="2" s="1"/>
  <c r="AD54" i="3"/>
  <c r="V86" i="3"/>
  <c r="AH86" i="3" s="1"/>
  <c r="AH27" i="3"/>
  <c r="AD53" i="3"/>
  <c r="AI8" i="3"/>
  <c r="Y21" i="2" s="1"/>
  <c r="Z21" i="2" s="1"/>
  <c r="AF29" i="3"/>
  <c r="AH58" i="3"/>
  <c r="AI58" i="3"/>
  <c r="AH68" i="3"/>
  <c r="AF18" i="3"/>
  <c r="Q31" i="2" s="1"/>
  <c r="R31" i="2" s="1"/>
  <c r="AH69" i="3"/>
  <c r="AJ70" i="3"/>
  <c r="AH73" i="3"/>
  <c r="AH63" i="3"/>
  <c r="AD20" i="3"/>
  <c r="M33" i="2" s="1"/>
  <c r="N33" i="2" s="1"/>
  <c r="AB52" i="3"/>
  <c r="AG61" i="3"/>
  <c r="AG11" i="3"/>
  <c r="S24" i="2" s="1"/>
  <c r="T24" i="2" s="1"/>
  <c r="AF11" i="3"/>
  <c r="Q24" i="2" s="1"/>
  <c r="R24" i="2" s="1"/>
  <c r="AI21" i="3"/>
  <c r="Y34" i="2" s="1"/>
  <c r="Z34" i="2" s="1"/>
  <c r="Q34" i="2"/>
  <c r="R34" i="2" s="1"/>
  <c r="AB62" i="3"/>
  <c r="AF23" i="3"/>
  <c r="Q36" i="2" s="1"/>
  <c r="R36" i="2" s="1"/>
  <c r="AB23" i="3"/>
  <c r="G36" i="2" s="1"/>
  <c r="AJ13" i="3"/>
  <c r="AA26" i="2" s="1"/>
  <c r="AB26" i="2" s="1"/>
  <c r="AG56" i="3"/>
  <c r="AD59" i="3"/>
  <c r="AD19" i="3"/>
  <c r="M32" i="2" s="1"/>
  <c r="N32" i="2" s="1"/>
  <c r="AJ14" i="3"/>
  <c r="AA27" i="2" s="1"/>
  <c r="AB27" i="2" s="1"/>
  <c r="AG55" i="3"/>
  <c r="AD55" i="3"/>
  <c r="AF66" i="3"/>
  <c r="AH28" i="3"/>
  <c r="AI30" i="3"/>
  <c r="AF31" i="3"/>
  <c r="Q45" i="2" s="1"/>
  <c r="R45" i="2" s="1"/>
  <c r="AJ31" i="3"/>
  <c r="AA45" i="2" s="1"/>
  <c r="AB45" i="2" s="1"/>
  <c r="AD15" i="3"/>
  <c r="M28" i="2" s="1"/>
  <c r="N28" i="2" s="1"/>
  <c r="AD68" i="3"/>
  <c r="AG18" i="3"/>
  <c r="S31" i="2" s="1"/>
  <c r="T31" i="2" s="1"/>
  <c r="AD69" i="3"/>
  <c r="AF9" i="3"/>
  <c r="Q22" i="2" s="1"/>
  <c r="R22" i="2" s="1"/>
  <c r="AI61" i="3"/>
  <c r="AD22" i="3"/>
  <c r="M35" i="2" s="1"/>
  <c r="N35" i="2" s="1"/>
  <c r="AG64" i="3"/>
  <c r="AD60" i="3"/>
  <c r="AJ66" i="3"/>
  <c r="AD28" i="3"/>
  <c r="AG67" i="3"/>
  <c r="AB30" i="3"/>
  <c r="K86" i="3"/>
  <c r="AB86" i="3" s="1"/>
  <c r="K81" i="3"/>
  <c r="U81" i="3"/>
  <c r="I81" i="3"/>
  <c r="S80" i="3"/>
  <c r="F85" i="3"/>
  <c r="F83" i="3"/>
  <c r="F82" i="3"/>
  <c r="F84" i="3"/>
  <c r="F79" i="3"/>
  <c r="F81" i="3"/>
  <c r="M80" i="3"/>
  <c r="R81" i="3"/>
  <c r="Q80" i="3"/>
  <c r="N81" i="3"/>
  <c r="K80" i="3"/>
  <c r="S81" i="3"/>
  <c r="O80" i="3"/>
  <c r="L80" i="3"/>
  <c r="H80" i="3"/>
  <c r="V85" i="3"/>
  <c r="V82" i="3"/>
  <c r="S82" i="3"/>
  <c r="N80" i="3"/>
  <c r="H84" i="3"/>
  <c r="H81" i="3"/>
  <c r="R80" i="3"/>
  <c r="T80" i="3"/>
  <c r="O81" i="3"/>
  <c r="H85" i="3"/>
  <c r="T85" i="3"/>
  <c r="H83" i="3"/>
  <c r="O82" i="3"/>
  <c r="P81" i="3"/>
  <c r="L81" i="3"/>
  <c r="I79" i="3"/>
  <c r="K84" i="3"/>
  <c r="K85" i="3"/>
  <c r="T84" i="3"/>
  <c r="M84" i="3"/>
  <c r="Q85" i="3"/>
  <c r="S83" i="3"/>
  <c r="T81" i="3"/>
  <c r="V80" i="3"/>
  <c r="O79" i="3"/>
  <c r="H79" i="3"/>
  <c r="N84" i="3"/>
  <c r="O84" i="3"/>
  <c r="I85" i="3"/>
  <c r="L85" i="3"/>
  <c r="V83" i="3"/>
  <c r="R82" i="3"/>
  <c r="Q81" i="3"/>
  <c r="V79" i="3"/>
  <c r="R79" i="3"/>
  <c r="Q84" i="3"/>
  <c r="N85" i="3"/>
  <c r="O85" i="3"/>
  <c r="T83" i="3"/>
  <c r="V81" i="3"/>
  <c r="P80" i="3"/>
  <c r="P84" i="3"/>
  <c r="R84" i="3"/>
  <c r="V84" i="3"/>
  <c r="M85" i="3"/>
  <c r="L83" i="3"/>
  <c r="I83" i="3"/>
  <c r="H82" i="3"/>
  <c r="Q82" i="3"/>
  <c r="U80" i="3"/>
  <c r="N79" i="3"/>
  <c r="P85" i="3"/>
  <c r="M83" i="3"/>
  <c r="I82" i="3"/>
  <c r="T82" i="3"/>
  <c r="I80" i="3"/>
  <c r="K79" i="3"/>
  <c r="U84" i="3"/>
  <c r="R85" i="3"/>
  <c r="P83" i="3"/>
  <c r="N82" i="3"/>
  <c r="L79" i="3"/>
  <c r="S79" i="3"/>
  <c r="U83" i="3"/>
  <c r="M82" i="3"/>
  <c r="K82" i="3"/>
  <c r="M81" i="3"/>
  <c r="M79" i="3"/>
  <c r="I84" i="3"/>
  <c r="S85" i="3"/>
  <c r="R83" i="3"/>
  <c r="N83" i="3"/>
  <c r="L82" i="3"/>
  <c r="U82" i="3"/>
  <c r="U79" i="3"/>
  <c r="T79" i="3"/>
  <c r="S84" i="3"/>
  <c r="L84" i="3"/>
  <c r="U85" i="3"/>
  <c r="Q83" i="3"/>
  <c r="O83" i="3"/>
  <c r="P82" i="3"/>
  <c r="P79" i="3"/>
  <c r="Q79" i="3"/>
  <c r="C92" i="3"/>
  <c r="E98" i="3"/>
  <c r="C104" i="3"/>
  <c r="F114" i="2" s="1"/>
  <c r="AG114" i="2" s="1"/>
  <c r="C99" i="3"/>
  <c r="H22" i="7"/>
  <c r="E105" i="3"/>
  <c r="G84" i="2" l="1"/>
  <c r="H84" i="2" s="1"/>
  <c r="Y82" i="2"/>
  <c r="Z82" i="2" s="1"/>
  <c r="S72" i="2"/>
  <c r="T72" i="2" s="1"/>
  <c r="Q43" i="2"/>
  <c r="R43" i="2" s="1"/>
  <c r="I71" i="2"/>
  <c r="J71" i="2" s="1"/>
  <c r="K71" i="2" s="1"/>
  <c r="P86" i="2"/>
  <c r="F88" i="12"/>
  <c r="F89" i="12"/>
  <c r="F87" i="12"/>
  <c r="F90" i="12"/>
  <c r="Y75" i="2"/>
  <c r="Z75" i="2" s="1"/>
  <c r="Y41" i="2"/>
  <c r="Z41" i="2" s="1"/>
  <c r="G67" i="2"/>
  <c r="H67" i="2" s="1"/>
  <c r="O98" i="2"/>
  <c r="P98" i="2" s="1"/>
  <c r="P99" i="2"/>
  <c r="AA84" i="2"/>
  <c r="AB84" i="2" s="1"/>
  <c r="Y87" i="2"/>
  <c r="Z87" i="2" s="1"/>
  <c r="U87" i="2"/>
  <c r="V87" i="2" s="1"/>
  <c r="U44" i="2"/>
  <c r="V44" i="2" s="1"/>
  <c r="AA76" i="2"/>
  <c r="AB76" i="2" s="1"/>
  <c r="G71" i="2"/>
  <c r="H71" i="2" s="1"/>
  <c r="U73" i="2"/>
  <c r="V73" i="2" s="1"/>
  <c r="Y78" i="2"/>
  <c r="Z78" i="2" s="1"/>
  <c r="AA42" i="2"/>
  <c r="AB42" i="2" s="1"/>
  <c r="U83" i="2"/>
  <c r="V83" i="2" s="1"/>
  <c r="G44" i="2"/>
  <c r="H44" i="2" s="1"/>
  <c r="G42" i="2"/>
  <c r="H42" i="2" s="1"/>
  <c r="S78" i="2"/>
  <c r="T78" i="2" s="1"/>
  <c r="S83" i="2"/>
  <c r="T83" i="2" s="1"/>
  <c r="G83" i="2"/>
  <c r="H83" i="2" s="1"/>
  <c r="Q69" i="2"/>
  <c r="R69" i="2" s="1"/>
  <c r="G87" i="2"/>
  <c r="Q87" i="2"/>
  <c r="R87" i="2" s="1"/>
  <c r="S90" i="2"/>
  <c r="S89" i="2"/>
  <c r="S88" i="2"/>
  <c r="S87" i="2"/>
  <c r="T87" i="2" s="1"/>
  <c r="G88" i="2"/>
  <c r="G90" i="2"/>
  <c r="G89" i="2"/>
  <c r="Y89" i="2"/>
  <c r="Y90" i="2"/>
  <c r="Y88" i="2"/>
  <c r="AA87" i="2"/>
  <c r="AB87" i="2" s="1"/>
  <c r="AA89" i="2"/>
  <c r="AA88" i="2"/>
  <c r="AA90" i="2"/>
  <c r="M87" i="2"/>
  <c r="N87" i="2" s="1"/>
  <c r="M88" i="2"/>
  <c r="M89" i="2"/>
  <c r="M90" i="2"/>
  <c r="U88" i="2"/>
  <c r="U90" i="2"/>
  <c r="U89" i="2"/>
  <c r="Q90" i="2"/>
  <c r="Q89" i="2"/>
  <c r="Q88" i="2"/>
  <c r="Q85" i="2"/>
  <c r="R85" i="2" s="1"/>
  <c r="AI81" i="3"/>
  <c r="Q80" i="2"/>
  <c r="R80" i="2" s="1"/>
  <c r="AA71" i="2"/>
  <c r="AB71" i="2" s="1"/>
  <c r="S81" i="2"/>
  <c r="T81" i="2" s="1"/>
  <c r="U85" i="2"/>
  <c r="V85" i="2" s="1"/>
  <c r="Y70" i="2"/>
  <c r="Z70" i="2" s="1"/>
  <c r="S76" i="2"/>
  <c r="T76" i="2" s="1"/>
  <c r="M74" i="2"/>
  <c r="N74" i="2" s="1"/>
  <c r="Q68" i="2"/>
  <c r="R68" i="2" s="1"/>
  <c r="M70" i="2"/>
  <c r="N70" i="2" s="1"/>
  <c r="Y44" i="2"/>
  <c r="Z44" i="2" s="1"/>
  <c r="U80" i="2"/>
  <c r="V80" i="2" s="1"/>
  <c r="Y72" i="2"/>
  <c r="Z72" i="2" s="1"/>
  <c r="AA74" i="2"/>
  <c r="AB74" i="2" s="1"/>
  <c r="S42" i="2"/>
  <c r="T42" i="2" s="1"/>
  <c r="S85" i="2"/>
  <c r="T85" i="2" s="1"/>
  <c r="S44" i="2"/>
  <c r="T44" i="2" s="1"/>
  <c r="Q78" i="2"/>
  <c r="R78" i="2" s="1"/>
  <c r="AA86" i="2"/>
  <c r="U79" i="2"/>
  <c r="V79" i="2" s="1"/>
  <c r="Y80" i="2"/>
  <c r="Z80" i="2" s="1"/>
  <c r="AA81" i="2"/>
  <c r="AB81" i="2" s="1"/>
  <c r="U77" i="2"/>
  <c r="V77" i="2" s="1"/>
  <c r="Y69" i="2"/>
  <c r="Z69" i="2" s="1"/>
  <c r="AA75" i="2"/>
  <c r="AB75" i="2" s="1"/>
  <c r="U72" i="2"/>
  <c r="V72" i="2" s="1"/>
  <c r="G69" i="2"/>
  <c r="H69" i="2" s="1"/>
  <c r="Y79" i="2"/>
  <c r="Z79" i="2" s="1"/>
  <c r="Q74" i="2"/>
  <c r="R74" i="2" s="1"/>
  <c r="M76" i="2"/>
  <c r="N76" i="2" s="1"/>
  <c r="M42" i="2"/>
  <c r="N42" i="2" s="1"/>
  <c r="U82" i="2"/>
  <c r="V82" i="2" s="1"/>
  <c r="G80" i="2"/>
  <c r="H80" i="2" s="1"/>
  <c r="Q82" i="2"/>
  <c r="R82" i="2" s="1"/>
  <c r="U68" i="2"/>
  <c r="V68" i="2" s="1"/>
  <c r="S70" i="2"/>
  <c r="T70" i="2" s="1"/>
  <c r="M69" i="2"/>
  <c r="N69" i="2" s="1"/>
  <c r="G78" i="2"/>
  <c r="H78" i="2" s="1"/>
  <c r="M79" i="2"/>
  <c r="N79" i="2" s="1"/>
  <c r="AG79" i="3"/>
  <c r="S93" i="2" s="1"/>
  <c r="T93" i="2" s="1"/>
  <c r="G76" i="2"/>
  <c r="H76" i="2" s="1"/>
  <c r="G72" i="2"/>
  <c r="H72" i="2" s="1"/>
  <c r="AH80" i="3"/>
  <c r="U94" i="2" s="1"/>
  <c r="V94" i="2" s="1"/>
  <c r="M78" i="2"/>
  <c r="N78" i="2" s="1"/>
  <c r="Y85" i="2"/>
  <c r="Z85" i="2" s="1"/>
  <c r="U78" i="2"/>
  <c r="V78" i="2" s="1"/>
  <c r="AA68" i="2"/>
  <c r="AB68" i="2" s="1"/>
  <c r="M68" i="2"/>
  <c r="N68" i="2" s="1"/>
  <c r="AA80" i="2"/>
  <c r="AB80" i="2" s="1"/>
  <c r="U42" i="2"/>
  <c r="V42" i="2" s="1"/>
  <c r="M44" i="2"/>
  <c r="N44" i="2" s="1"/>
  <c r="AI79" i="3"/>
  <c r="Y93" i="2" s="1"/>
  <c r="Z93" i="2" s="1"/>
  <c r="S75" i="2"/>
  <c r="T75" i="2" s="1"/>
  <c r="AI85" i="3"/>
  <c r="U43" i="2"/>
  <c r="V43" i="2" s="1"/>
  <c r="S41" i="2"/>
  <c r="T41" i="2" s="1"/>
  <c r="AA43" i="2"/>
  <c r="AB43" i="2" s="1"/>
  <c r="M82" i="2"/>
  <c r="N82" i="2" s="1"/>
  <c r="U70" i="2"/>
  <c r="V70" i="2" s="1"/>
  <c r="AJ83" i="3"/>
  <c r="AA97" i="2" s="1"/>
  <c r="AB97" i="2" s="1"/>
  <c r="AH84" i="3"/>
  <c r="M67" i="2"/>
  <c r="N67" i="2" s="1"/>
  <c r="M86" i="2"/>
  <c r="AA78" i="2"/>
  <c r="AB78" i="2" s="1"/>
  <c r="AF82" i="3"/>
  <c r="S69" i="2"/>
  <c r="T69" i="2" s="1"/>
  <c r="Y73" i="2"/>
  <c r="Z73" i="2" s="1"/>
  <c r="Q41" i="2"/>
  <c r="R41" i="2" s="1"/>
  <c r="S86" i="2"/>
  <c r="M84" i="2"/>
  <c r="N84" i="2" s="1"/>
  <c r="S71" i="2"/>
  <c r="T71" i="2" s="1"/>
  <c r="Q79" i="2"/>
  <c r="R79" i="2" s="1"/>
  <c r="M66" i="2"/>
  <c r="N66" i="2" s="1"/>
  <c r="M65" i="2"/>
  <c r="N65" i="2" s="1"/>
  <c r="U71" i="2"/>
  <c r="V71" i="2" s="1"/>
  <c r="Y74" i="2"/>
  <c r="Z74" i="2" s="1"/>
  <c r="Q81" i="2"/>
  <c r="R81" i="2" s="1"/>
  <c r="Q40" i="2"/>
  <c r="R40" i="2" s="1"/>
  <c r="Q39" i="2"/>
  <c r="R39" i="2" s="1"/>
  <c r="G86" i="2"/>
  <c r="U86" i="2"/>
  <c r="Q86" i="2"/>
  <c r="AA77" i="2"/>
  <c r="AB77" i="2" s="1"/>
  <c r="G41" i="2"/>
  <c r="H41" i="2" s="1"/>
  <c r="U41" i="2"/>
  <c r="V41" i="2" s="1"/>
  <c r="G40" i="2"/>
  <c r="H40" i="2" s="1"/>
  <c r="G39" i="2"/>
  <c r="H39" i="2" s="1"/>
  <c r="S66" i="2"/>
  <c r="T66" i="2" s="1"/>
  <c r="S65" i="2"/>
  <c r="T65" i="2" s="1"/>
  <c r="G74" i="2"/>
  <c r="H74" i="2" s="1"/>
  <c r="Q42" i="2"/>
  <c r="R42" i="2" s="1"/>
  <c r="G82" i="2"/>
  <c r="H82" i="2" s="1"/>
  <c r="Y71" i="2"/>
  <c r="Z71" i="2" s="1"/>
  <c r="U75" i="2"/>
  <c r="V75" i="2" s="1"/>
  <c r="S80" i="2"/>
  <c r="T80" i="2" s="1"/>
  <c r="Q75" i="2"/>
  <c r="R75" i="2" s="1"/>
  <c r="G70" i="2"/>
  <c r="H70" i="2" s="1"/>
  <c r="U40" i="2"/>
  <c r="V40" i="2" s="1"/>
  <c r="Q67" i="2"/>
  <c r="R67" i="2" s="1"/>
  <c r="M83" i="2"/>
  <c r="N83" i="2" s="1"/>
  <c r="M73" i="2"/>
  <c r="N73" i="2" s="1"/>
  <c r="G75" i="2"/>
  <c r="H75" i="2" s="1"/>
  <c r="M85" i="2"/>
  <c r="N85" i="2" s="1"/>
  <c r="M81" i="2"/>
  <c r="N81" i="2" s="1"/>
  <c r="M40" i="2"/>
  <c r="N40" i="2" s="1"/>
  <c r="M39" i="2"/>
  <c r="N39" i="2" s="1"/>
  <c r="M80" i="2"/>
  <c r="N80" i="2" s="1"/>
  <c r="AA70" i="2"/>
  <c r="AB70" i="2" s="1"/>
  <c r="Y84" i="2"/>
  <c r="Z84" i="2" s="1"/>
  <c r="AA82" i="2"/>
  <c r="AB82" i="2" s="1"/>
  <c r="Y76" i="2"/>
  <c r="Z76" i="2" s="1"/>
  <c r="S74" i="2"/>
  <c r="T74" i="2" s="1"/>
  <c r="AA79" i="2"/>
  <c r="AB79" i="2" s="1"/>
  <c r="M77" i="2"/>
  <c r="N77" i="2" s="1"/>
  <c r="AA83" i="2"/>
  <c r="AB83" i="2" s="1"/>
  <c r="S68" i="2"/>
  <c r="T68" i="2" s="1"/>
  <c r="AA85" i="2"/>
  <c r="AB85" i="2" s="1"/>
  <c r="Y86" i="2"/>
  <c r="S84" i="2"/>
  <c r="T84" i="2" s="1"/>
  <c r="Y83" i="2"/>
  <c r="Z83" i="2" s="1"/>
  <c r="AA73" i="2"/>
  <c r="AB73" i="2" s="1"/>
  <c r="G66" i="2"/>
  <c r="H66" i="2" s="1"/>
  <c r="G65" i="2"/>
  <c r="H65" i="2" s="1"/>
  <c r="AA40" i="2"/>
  <c r="AB40" i="2" s="1"/>
  <c r="AA39" i="2"/>
  <c r="AB39" i="2" s="1"/>
  <c r="U67" i="2"/>
  <c r="V67" i="2" s="1"/>
  <c r="M41" i="2"/>
  <c r="N41" i="2" s="1"/>
  <c r="M71" i="2"/>
  <c r="N71" i="2" s="1"/>
  <c r="Y68" i="2"/>
  <c r="Z68" i="2" s="1"/>
  <c r="AA66" i="2"/>
  <c r="AB66" i="2" s="1"/>
  <c r="AA65" i="2"/>
  <c r="AB65" i="2" s="1"/>
  <c r="S43" i="2"/>
  <c r="T43" i="2" s="1"/>
  <c r="Q73" i="2"/>
  <c r="R73" i="2" s="1"/>
  <c r="G43" i="2"/>
  <c r="H43" i="2" s="1"/>
  <c r="Q44" i="2"/>
  <c r="R44" i="2" s="1"/>
  <c r="Y40" i="2"/>
  <c r="Z40" i="2" s="1"/>
  <c r="U66" i="2"/>
  <c r="V66" i="2" s="1"/>
  <c r="U65" i="2"/>
  <c r="V65" i="2" s="1"/>
  <c r="Q77" i="2"/>
  <c r="R77" i="2" s="1"/>
  <c r="Q76" i="2"/>
  <c r="R76" i="2" s="1"/>
  <c r="S79" i="2"/>
  <c r="T79" i="2" s="1"/>
  <c r="Q66" i="2"/>
  <c r="R66" i="2" s="1"/>
  <c r="Q65" i="2"/>
  <c r="R65" i="2" s="1"/>
  <c r="Q84" i="2"/>
  <c r="R84" i="2" s="1"/>
  <c r="U81" i="2"/>
  <c r="V81" i="2" s="1"/>
  <c r="S82" i="2"/>
  <c r="T82" i="2" s="1"/>
  <c r="S67" i="2"/>
  <c r="T67" i="2" s="1"/>
  <c r="U74" i="2"/>
  <c r="V74" i="2" s="1"/>
  <c r="U84" i="2"/>
  <c r="V84" i="2" s="1"/>
  <c r="AA41" i="2"/>
  <c r="AB41" i="2" s="1"/>
  <c r="M72" i="2"/>
  <c r="N72" i="2" s="1"/>
  <c r="U69" i="2"/>
  <c r="V69" i="2" s="1"/>
  <c r="Y77" i="2"/>
  <c r="Z77" i="2" s="1"/>
  <c r="M43" i="2"/>
  <c r="N43" i="2" s="1"/>
  <c r="S77" i="2"/>
  <c r="T77" i="2" s="1"/>
  <c r="G73" i="2"/>
  <c r="H73" i="2" s="1"/>
  <c r="U76" i="2"/>
  <c r="V76" i="2" s="1"/>
  <c r="S40" i="2"/>
  <c r="T40" i="2" s="1"/>
  <c r="S39" i="2"/>
  <c r="T39" i="2" s="1"/>
  <c r="Y81" i="2"/>
  <c r="Z81" i="2" s="1"/>
  <c r="S73" i="2"/>
  <c r="T73" i="2" s="1"/>
  <c r="G77" i="2"/>
  <c r="H77" i="2" s="1"/>
  <c r="M75" i="2"/>
  <c r="N75" i="2" s="1"/>
  <c r="Y43" i="2"/>
  <c r="Z43" i="2" s="1"/>
  <c r="G81" i="2"/>
  <c r="H81" i="2" s="1"/>
  <c r="G79" i="2"/>
  <c r="H79" i="2" s="1"/>
  <c r="AA44" i="2"/>
  <c r="AB44" i="2" s="1"/>
  <c r="Q83" i="2"/>
  <c r="R83" i="2" s="1"/>
  <c r="Q72" i="2"/>
  <c r="R72" i="2" s="1"/>
  <c r="AA67" i="2"/>
  <c r="AB67" i="2" s="1"/>
  <c r="Y67" i="2"/>
  <c r="Z67" i="2" s="1"/>
  <c r="G68" i="2"/>
  <c r="H68" i="2" s="1"/>
  <c r="G85" i="2"/>
  <c r="H85" i="2" s="1"/>
  <c r="Q71" i="2"/>
  <c r="R71" i="2" s="1"/>
  <c r="O41" i="2"/>
  <c r="P41" i="2" s="1"/>
  <c r="AG82" i="3"/>
  <c r="AF83" i="3"/>
  <c r="AB85" i="3"/>
  <c r="AF84" i="3"/>
  <c r="AJ80" i="3"/>
  <c r="AA94" i="2" s="1"/>
  <c r="AB94" i="2" s="1"/>
  <c r="AI83" i="3"/>
  <c r="AJ84" i="3"/>
  <c r="AA98" i="2" s="1"/>
  <c r="AB98" i="2" s="1"/>
  <c r="AF81" i="3"/>
  <c r="Q95" i="2" s="1"/>
  <c r="R95" i="2" s="1"/>
  <c r="AF80" i="3"/>
  <c r="Q94" i="2" s="1"/>
  <c r="R94" i="2" s="1"/>
  <c r="AH83" i="3"/>
  <c r="AH79" i="3"/>
  <c r="U93" i="2" s="1"/>
  <c r="V93" i="2" s="1"/>
  <c r="AJ81" i="3"/>
  <c r="AG83" i="3"/>
  <c r="AD81" i="3"/>
  <c r="H32" i="2"/>
  <c r="AI84" i="3"/>
  <c r="AB84" i="3"/>
  <c r="AB81" i="3"/>
  <c r="AD79" i="3"/>
  <c r="M93" i="2" s="1"/>
  <c r="N93" i="2" s="1"/>
  <c r="H37" i="2"/>
  <c r="H28" i="2"/>
  <c r="H25" i="2"/>
  <c r="AD82" i="3"/>
  <c r="AF85" i="3"/>
  <c r="Q99" i="2" s="1"/>
  <c r="R99" i="2" s="1"/>
  <c r="AB80" i="3"/>
  <c r="G94" i="2" s="1"/>
  <c r="AB83" i="3"/>
  <c r="G97" i="2" s="1"/>
  <c r="H97" i="2" s="1"/>
  <c r="AJ79" i="3"/>
  <c r="AA93" i="2" s="1"/>
  <c r="AB93" i="2" s="1"/>
  <c r="AF79" i="3"/>
  <c r="Q93" i="2" s="1"/>
  <c r="R93" i="2" s="1"/>
  <c r="AB82" i="3"/>
  <c r="AI82" i="3"/>
  <c r="Y96" i="2" s="1"/>
  <c r="Z96" i="2" s="1"/>
  <c r="AG80" i="3"/>
  <c r="S94" i="2" s="1"/>
  <c r="T94" i="2" s="1"/>
  <c r="AJ82" i="3"/>
  <c r="AH82" i="3"/>
  <c r="AG84" i="3"/>
  <c r="S98" i="2" s="1"/>
  <c r="T98" i="2" s="1"/>
  <c r="AG81" i="3"/>
  <c r="S95" i="2" s="1"/>
  <c r="T95" i="2" s="1"/>
  <c r="AI80" i="3"/>
  <c r="Y94" i="2" s="1"/>
  <c r="Z94" i="2" s="1"/>
  <c r="AH85" i="3"/>
  <c r="U99" i="2" s="1"/>
  <c r="V99" i="2" s="1"/>
  <c r="H36" i="2"/>
  <c r="AD85" i="3"/>
  <c r="AD84" i="3"/>
  <c r="AG85" i="3"/>
  <c r="S99" i="2" s="1"/>
  <c r="T99" i="2" s="1"/>
  <c r="AJ85" i="3"/>
  <c r="AB79" i="3"/>
  <c r="G93" i="2" s="1"/>
  <c r="AH81" i="3"/>
  <c r="U95" i="2" s="1"/>
  <c r="V95" i="2" s="1"/>
  <c r="AD80" i="3"/>
  <c r="M94" i="2" s="1"/>
  <c r="N94" i="2" s="1"/>
  <c r="AD83" i="3"/>
  <c r="M97" i="2" s="1"/>
  <c r="N97" i="2" s="1"/>
  <c r="H24" i="2"/>
  <c r="H87" i="2"/>
  <c r="AC87" i="2" s="1"/>
  <c r="AD86" i="3"/>
  <c r="H104" i="3"/>
  <c r="F108" i="2"/>
  <c r="AG108" i="2" s="1"/>
  <c r="H98" i="3"/>
  <c r="L98" i="3"/>
  <c r="K98" i="3"/>
  <c r="J98" i="3"/>
  <c r="O108" i="2" s="1"/>
  <c r="P108" i="2" s="1"/>
  <c r="P98" i="3"/>
  <c r="N98" i="3"/>
  <c r="R98" i="3"/>
  <c r="M98" i="3"/>
  <c r="Q98" i="3"/>
  <c r="T98" i="3"/>
  <c r="V98" i="3"/>
  <c r="J104" i="3"/>
  <c r="O114" i="2" s="1"/>
  <c r="P114" i="2" s="1"/>
  <c r="Q104" i="3"/>
  <c r="I104" i="3"/>
  <c r="L114" i="2" s="1"/>
  <c r="T104" i="3"/>
  <c r="V104" i="3"/>
  <c r="N104" i="3"/>
  <c r="K104" i="3"/>
  <c r="U104" i="3"/>
  <c r="H7" i="7"/>
  <c r="C93" i="3"/>
  <c r="G7" i="7" s="1"/>
  <c r="O104" i="3"/>
  <c r="S104" i="3"/>
  <c r="L104" i="3"/>
  <c r="R104" i="3"/>
  <c r="I98" i="3"/>
  <c r="L108" i="2" s="1"/>
  <c r="O98" i="3"/>
  <c r="U98" i="3"/>
  <c r="F98" i="3"/>
  <c r="E99" i="3"/>
  <c r="S98" i="3"/>
  <c r="M104" i="3"/>
  <c r="P104" i="3"/>
  <c r="H37" i="7"/>
  <c r="F104" i="3"/>
  <c r="C105" i="3"/>
  <c r="G37" i="7" s="1"/>
  <c r="E106" i="3"/>
  <c r="C100" i="3"/>
  <c r="G22" i="7"/>
  <c r="V86" i="2" l="1"/>
  <c r="I87" i="12"/>
  <c r="I90" i="12"/>
  <c r="I89" i="12"/>
  <c r="I88" i="12"/>
  <c r="R86" i="2"/>
  <c r="G89" i="12"/>
  <c r="G87" i="12"/>
  <c r="G88" i="12"/>
  <c r="G90" i="12"/>
  <c r="H86" i="2"/>
  <c r="C87" i="12"/>
  <c r="C88" i="12"/>
  <c r="C90" i="12"/>
  <c r="C89" i="12"/>
  <c r="T86" i="2"/>
  <c r="H89" i="12"/>
  <c r="H90" i="12"/>
  <c r="H88" i="12"/>
  <c r="H87" i="12"/>
  <c r="AB86" i="2"/>
  <c r="L89" i="12"/>
  <c r="L87" i="12"/>
  <c r="L88" i="12"/>
  <c r="L90" i="12"/>
  <c r="N86" i="2"/>
  <c r="E89" i="12"/>
  <c r="E87" i="12"/>
  <c r="E90" i="12"/>
  <c r="E88" i="12"/>
  <c r="Z86" i="2"/>
  <c r="K87" i="12"/>
  <c r="K90" i="12"/>
  <c r="K89" i="12"/>
  <c r="K88" i="12"/>
  <c r="M98" i="2"/>
  <c r="N98" i="2" s="1"/>
  <c r="Q96" i="2"/>
  <c r="R96" i="2" s="1"/>
  <c r="G98" i="2"/>
  <c r="H98" i="2" s="1"/>
  <c r="Y97" i="2"/>
  <c r="Z97" i="2" s="1"/>
  <c r="U98" i="2"/>
  <c r="V98" i="2" s="1"/>
  <c r="Y98" i="2"/>
  <c r="Z98" i="2" s="1"/>
  <c r="Q98" i="2"/>
  <c r="R98" i="2" s="1"/>
  <c r="U96" i="2"/>
  <c r="V96" i="2" s="1"/>
  <c r="M96" i="2"/>
  <c r="N96" i="2" s="1"/>
  <c r="S97" i="2"/>
  <c r="T97" i="2" s="1"/>
  <c r="G99" i="2"/>
  <c r="H99" i="2" s="1"/>
  <c r="AA99" i="2"/>
  <c r="AB99" i="2" s="1"/>
  <c r="AA96" i="2"/>
  <c r="AB96" i="2" s="1"/>
  <c r="Q97" i="2"/>
  <c r="R97" i="2" s="1"/>
  <c r="S96" i="2"/>
  <c r="T96" i="2" s="1"/>
  <c r="U97" i="2"/>
  <c r="V97" i="2" s="1"/>
  <c r="M99" i="2"/>
  <c r="N99" i="2" s="1"/>
  <c r="G96" i="2"/>
  <c r="H96" i="2" s="1"/>
  <c r="Y99" i="2"/>
  <c r="Z99" i="2" s="1"/>
  <c r="AA95" i="2"/>
  <c r="AB95" i="2" s="1"/>
  <c r="G95" i="2"/>
  <c r="H95" i="2" s="1"/>
  <c r="Y95" i="2"/>
  <c r="Z95" i="2" s="1"/>
  <c r="M95" i="2"/>
  <c r="N95" i="2" s="1"/>
  <c r="AC71" i="2"/>
  <c r="H93" i="2"/>
  <c r="H94" i="2"/>
  <c r="H105" i="3"/>
  <c r="V99" i="3"/>
  <c r="H99" i="3"/>
  <c r="E107" i="3"/>
  <c r="O99" i="3"/>
  <c r="AA108" i="2"/>
  <c r="AB108" i="2" s="1"/>
  <c r="P99" i="3"/>
  <c r="K99" i="3"/>
  <c r="R99" i="3"/>
  <c r="I99" i="3"/>
  <c r="L109" i="2" s="1"/>
  <c r="S99" i="3"/>
  <c r="M99" i="3"/>
  <c r="Q99" i="3"/>
  <c r="N99" i="3"/>
  <c r="U99" i="3"/>
  <c r="F99" i="3"/>
  <c r="L99" i="3"/>
  <c r="J99" i="3"/>
  <c r="O109" i="2" s="1"/>
  <c r="P109" i="2" s="1"/>
  <c r="T99" i="3"/>
  <c r="Q114" i="2"/>
  <c r="R114" i="2" s="1"/>
  <c r="Q108" i="2"/>
  <c r="R108" i="2" s="1"/>
  <c r="S108" i="2"/>
  <c r="T108" i="2" s="1"/>
  <c r="Y108" i="2"/>
  <c r="Z108" i="2" s="1"/>
  <c r="Y114" i="2"/>
  <c r="Z114" i="2" s="1"/>
  <c r="M108" i="2"/>
  <c r="N108" i="2" s="1"/>
  <c r="M114" i="2"/>
  <c r="N114" i="2" s="1"/>
  <c r="G114" i="2"/>
  <c r="H114" i="2" s="1"/>
  <c r="U114" i="2"/>
  <c r="V114" i="2" s="1"/>
  <c r="K105" i="3"/>
  <c r="E100" i="3"/>
  <c r="AA114" i="2"/>
  <c r="AB114" i="2" s="1"/>
  <c r="F109" i="2"/>
  <c r="S114" i="2"/>
  <c r="T114" i="2" s="1"/>
  <c r="C94" i="3"/>
  <c r="S105" i="3"/>
  <c r="N105" i="3"/>
  <c r="M105" i="3"/>
  <c r="O105" i="3"/>
  <c r="U105" i="3"/>
  <c r="P105" i="3"/>
  <c r="V105" i="3"/>
  <c r="L105" i="3"/>
  <c r="J105" i="3"/>
  <c r="O115" i="2" s="1"/>
  <c r="P115" i="2" s="1"/>
  <c r="G108" i="2"/>
  <c r="U108" i="2"/>
  <c r="V108" i="2" s="1"/>
  <c r="F115" i="2"/>
  <c r="AG115" i="2" s="1"/>
  <c r="T105" i="3"/>
  <c r="F105" i="3"/>
  <c r="C106" i="3"/>
  <c r="F37" i="7" s="1"/>
  <c r="I105" i="3"/>
  <c r="L115" i="2" s="1"/>
  <c r="R105" i="3"/>
  <c r="Q105" i="3"/>
  <c r="C101" i="3"/>
  <c r="F22" i="7"/>
  <c r="E108" i="3"/>
  <c r="X63" i="3"/>
  <c r="Y63" i="3"/>
  <c r="X8" i="3"/>
  <c r="Y8" i="3"/>
  <c r="X18" i="3"/>
  <c r="Y18" i="3"/>
  <c r="X29" i="3"/>
  <c r="Y29" i="3"/>
  <c r="X53" i="3"/>
  <c r="Y53" i="3"/>
  <c r="Y9" i="3"/>
  <c r="X9" i="3"/>
  <c r="Y19" i="3"/>
  <c r="X19" i="3"/>
  <c r="Y30" i="3"/>
  <c r="X30" i="3"/>
  <c r="Y54" i="3"/>
  <c r="X54" i="3"/>
  <c r="Y64" i="3"/>
  <c r="X64" i="3"/>
  <c r="Y10" i="3"/>
  <c r="X10" i="3"/>
  <c r="Y20" i="3"/>
  <c r="X20" i="3"/>
  <c r="Y31" i="3"/>
  <c r="X31" i="3"/>
  <c r="Y55" i="3"/>
  <c r="X55" i="3"/>
  <c r="Y65" i="3"/>
  <c r="X65" i="3"/>
  <c r="X11" i="3"/>
  <c r="Y11" i="3"/>
  <c r="X21" i="3"/>
  <c r="Y21" i="3"/>
  <c r="X46" i="3"/>
  <c r="Y46" i="3"/>
  <c r="X56" i="3"/>
  <c r="Y56" i="3"/>
  <c r="Y66" i="3"/>
  <c r="X66" i="3"/>
  <c r="Y12" i="3"/>
  <c r="X12" i="3"/>
  <c r="Y22" i="3"/>
  <c r="X22" i="3"/>
  <c r="Y47" i="3"/>
  <c r="X47" i="3"/>
  <c r="Y57" i="3"/>
  <c r="X57" i="3"/>
  <c r="Y67" i="3"/>
  <c r="X67" i="3"/>
  <c r="X13" i="3"/>
  <c r="Y13" i="3"/>
  <c r="X23" i="3"/>
  <c r="Y23" i="3"/>
  <c r="X58" i="3"/>
  <c r="Y58" i="3"/>
  <c r="X68" i="3"/>
  <c r="Y68" i="3"/>
  <c r="Y14" i="3"/>
  <c r="X14" i="3"/>
  <c r="Y24" i="3"/>
  <c r="X24" i="3"/>
  <c r="Y59" i="3"/>
  <c r="X59" i="3"/>
  <c r="Y15" i="3"/>
  <c r="X15" i="3"/>
  <c r="Y26" i="3"/>
  <c r="X26" i="3"/>
  <c r="Y60" i="3"/>
  <c r="X60" i="3"/>
  <c r="Y27" i="3"/>
  <c r="X27" i="3"/>
  <c r="Y51" i="3"/>
  <c r="X51" i="3"/>
  <c r="X61" i="3"/>
  <c r="Y61" i="3"/>
  <c r="Y17" i="3"/>
  <c r="X17" i="3"/>
  <c r="Y28" i="3"/>
  <c r="X28" i="3"/>
  <c r="Y52" i="3"/>
  <c r="X52" i="3"/>
  <c r="Y62" i="3"/>
  <c r="X62" i="3"/>
  <c r="U109" i="2" l="1"/>
  <c r="V109" i="2" s="1"/>
  <c r="H106" i="3"/>
  <c r="E101" i="3"/>
  <c r="H101" i="3" s="1"/>
  <c r="H100" i="3"/>
  <c r="S109" i="2"/>
  <c r="T109" i="2" s="1"/>
  <c r="Y109" i="2"/>
  <c r="Z109" i="2" s="1"/>
  <c r="AG109" i="2"/>
  <c r="H108" i="2"/>
  <c r="M109" i="2"/>
  <c r="N109" i="2" s="1"/>
  <c r="AA109" i="2"/>
  <c r="AB109" i="2" s="1"/>
  <c r="G109" i="2"/>
  <c r="H109" i="2" s="1"/>
  <c r="Q109" i="2"/>
  <c r="R109" i="2" s="1"/>
  <c r="M100" i="3"/>
  <c r="I100" i="3"/>
  <c r="L110" i="2" s="1"/>
  <c r="S100" i="3"/>
  <c r="O100" i="3"/>
  <c r="R100" i="3"/>
  <c r="J100" i="3"/>
  <c r="O110" i="2" s="1"/>
  <c r="P110" i="2" s="1"/>
  <c r="F100" i="3"/>
  <c r="P100" i="3"/>
  <c r="K100" i="3"/>
  <c r="U100" i="3"/>
  <c r="L100" i="3"/>
  <c r="Q100" i="3"/>
  <c r="V100" i="3"/>
  <c r="T100" i="3"/>
  <c r="N100" i="3"/>
  <c r="G115" i="2"/>
  <c r="H115" i="2" s="1"/>
  <c r="F110" i="2"/>
  <c r="AG110" i="2" s="1"/>
  <c r="T106" i="3"/>
  <c r="O106" i="3"/>
  <c r="F116" i="2"/>
  <c r="AG116" i="2" s="1"/>
  <c r="X102" i="2"/>
  <c r="C107" i="3"/>
  <c r="E37" i="7" s="1"/>
  <c r="Q106" i="3"/>
  <c r="V106" i="3"/>
  <c r="P106" i="3"/>
  <c r="K106" i="3"/>
  <c r="S106" i="3"/>
  <c r="I106" i="3"/>
  <c r="L116" i="2" s="1"/>
  <c r="J106" i="3"/>
  <c r="O116" i="2" s="1"/>
  <c r="P116" i="2" s="1"/>
  <c r="F111" i="2"/>
  <c r="AG111" i="2" s="1"/>
  <c r="L106" i="3"/>
  <c r="F106" i="3"/>
  <c r="M106" i="3"/>
  <c r="U106" i="3"/>
  <c r="R106" i="3"/>
  <c r="N106" i="3"/>
  <c r="S115" i="2"/>
  <c r="T115" i="2" s="1"/>
  <c r="AA115" i="2"/>
  <c r="AB115" i="2" s="1"/>
  <c r="Q115" i="2"/>
  <c r="R115" i="2" s="1"/>
  <c r="F7" i="7"/>
  <c r="C95" i="3"/>
  <c r="U115" i="2"/>
  <c r="V115" i="2" s="1"/>
  <c r="Y115" i="2"/>
  <c r="Z115" i="2" s="1"/>
  <c r="M115" i="2"/>
  <c r="N115" i="2" s="1"/>
  <c r="E109" i="3"/>
  <c r="C102" i="3"/>
  <c r="E22" i="7"/>
  <c r="Q101" i="3"/>
  <c r="P101" i="3"/>
  <c r="F101" i="3"/>
  <c r="O101" i="3"/>
  <c r="I101" i="3"/>
  <c r="L111" i="2" s="1"/>
  <c r="N101" i="3"/>
  <c r="R101" i="3"/>
  <c r="C169" i="4"/>
  <c r="C159" i="4"/>
  <c r="C149" i="4"/>
  <c r="C138" i="4"/>
  <c r="C130" i="4"/>
  <c r="C119" i="4"/>
  <c r="C168" i="4"/>
  <c r="C158" i="4"/>
  <c r="C148" i="4"/>
  <c r="C137" i="4"/>
  <c r="C128" i="4"/>
  <c r="C118" i="4"/>
  <c r="C167" i="4"/>
  <c r="C157" i="4"/>
  <c r="C147" i="4"/>
  <c r="C140" i="4"/>
  <c r="C127" i="4"/>
  <c r="C117" i="4"/>
  <c r="C166" i="4"/>
  <c r="C156" i="4"/>
  <c r="C146" i="4"/>
  <c r="C139" i="4"/>
  <c r="C126" i="4"/>
  <c r="C116" i="4"/>
  <c r="C165" i="4"/>
  <c r="C155" i="4"/>
  <c r="C129" i="4"/>
  <c r="C136" i="4"/>
  <c r="C125" i="4"/>
  <c r="C115" i="4"/>
  <c r="C164" i="4"/>
  <c r="C154" i="4"/>
  <c r="C145" i="4"/>
  <c r="C135" i="4"/>
  <c r="C124" i="4"/>
  <c r="C163" i="4"/>
  <c r="C153" i="4"/>
  <c r="C144" i="4"/>
  <c r="C134" i="4"/>
  <c r="C123" i="4"/>
  <c r="C162" i="4"/>
  <c r="C152" i="4"/>
  <c r="C143" i="4"/>
  <c r="C133" i="4"/>
  <c r="C122" i="4"/>
  <c r="C161" i="4"/>
  <c r="C151" i="4"/>
  <c r="C142" i="4"/>
  <c r="C132" i="4"/>
  <c r="C121" i="4"/>
  <c r="C160" i="4"/>
  <c r="C150" i="4"/>
  <c r="C141" i="4"/>
  <c r="C131" i="4"/>
  <c r="C120" i="4"/>
  <c r="C109" i="4"/>
  <c r="C99" i="4"/>
  <c r="C90" i="4"/>
  <c r="C80" i="4"/>
  <c r="C69" i="4"/>
  <c r="C108" i="4"/>
  <c r="C98" i="4"/>
  <c r="C89" i="4"/>
  <c r="C79" i="4"/>
  <c r="C68" i="4"/>
  <c r="C107" i="4"/>
  <c r="C97" i="4"/>
  <c r="C88" i="4"/>
  <c r="C78" i="4"/>
  <c r="C67" i="4"/>
  <c r="C106" i="4"/>
  <c r="C96" i="4"/>
  <c r="C87" i="4"/>
  <c r="C77" i="4"/>
  <c r="C66" i="4"/>
  <c r="C105" i="4"/>
  <c r="C95" i="4"/>
  <c r="C86" i="4"/>
  <c r="C76" i="4"/>
  <c r="C65" i="4"/>
  <c r="C114" i="4"/>
  <c r="C104" i="4"/>
  <c r="C94" i="4"/>
  <c r="C83" i="4"/>
  <c r="C75" i="4"/>
  <c r="C64" i="4"/>
  <c r="C113" i="4"/>
  <c r="C103" i="4"/>
  <c r="C93" i="4"/>
  <c r="C82" i="4"/>
  <c r="C73" i="4"/>
  <c r="C63" i="4"/>
  <c r="C112" i="4"/>
  <c r="C102" i="4"/>
  <c r="C92" i="4"/>
  <c r="C85" i="4"/>
  <c r="C72" i="4"/>
  <c r="C62" i="4"/>
  <c r="C111" i="4"/>
  <c r="C101" i="4"/>
  <c r="C91" i="4"/>
  <c r="C84" i="4"/>
  <c r="C71" i="4"/>
  <c r="C61" i="4"/>
  <c r="C110" i="4"/>
  <c r="C100" i="4"/>
  <c r="C74" i="4"/>
  <c r="C81" i="4"/>
  <c r="C70" i="4"/>
  <c r="C60" i="4"/>
  <c r="C59" i="4"/>
  <c r="C49" i="4"/>
  <c r="C39" i="4"/>
  <c r="C28" i="4"/>
  <c r="C20" i="4"/>
  <c r="C9" i="4"/>
  <c r="C58" i="4"/>
  <c r="C48" i="4"/>
  <c r="C38" i="4"/>
  <c r="C27" i="4"/>
  <c r="C18" i="4"/>
  <c r="C8" i="4"/>
  <c r="C57" i="4"/>
  <c r="C47" i="4"/>
  <c r="C37" i="4"/>
  <c r="C30" i="4"/>
  <c r="C17" i="4"/>
  <c r="C7" i="4"/>
  <c r="C56" i="4"/>
  <c r="C46" i="4"/>
  <c r="C36" i="4"/>
  <c r="C29" i="4"/>
  <c r="C16" i="4"/>
  <c r="C6" i="4"/>
  <c r="C55" i="4"/>
  <c r="C45" i="4"/>
  <c r="C19" i="4"/>
  <c r="C26" i="4"/>
  <c r="C15" i="4"/>
  <c r="C5" i="4"/>
  <c r="C54" i="4"/>
  <c r="C44" i="4"/>
  <c r="C35" i="4"/>
  <c r="C25" i="4"/>
  <c r="C14" i="4"/>
  <c r="C53" i="4"/>
  <c r="C43" i="4"/>
  <c r="C34" i="4"/>
  <c r="C24" i="4"/>
  <c r="C13" i="4"/>
  <c r="C52" i="4"/>
  <c r="C42" i="4"/>
  <c r="C33" i="4"/>
  <c r="C23" i="4"/>
  <c r="C12" i="4"/>
  <c r="C51" i="4"/>
  <c r="C41" i="4"/>
  <c r="C32" i="4"/>
  <c r="C22" i="4"/>
  <c r="C11" i="4"/>
  <c r="C50" i="4"/>
  <c r="C40" i="4"/>
  <c r="C31" i="4"/>
  <c r="C21" i="4"/>
  <c r="C10" i="4"/>
  <c r="C545" i="4"/>
  <c r="C535" i="4"/>
  <c r="C526" i="4"/>
  <c r="C516" i="4"/>
  <c r="C505" i="4"/>
  <c r="C554" i="4"/>
  <c r="C544" i="4"/>
  <c r="C534" i="4"/>
  <c r="C523" i="4"/>
  <c r="C515" i="4"/>
  <c r="C504" i="4"/>
  <c r="C553" i="4"/>
  <c r="C543" i="4"/>
  <c r="C533" i="4"/>
  <c r="C522" i="4"/>
  <c r="C513" i="4"/>
  <c r="C503" i="4"/>
  <c r="C552" i="4"/>
  <c r="C542" i="4"/>
  <c r="C532" i="4"/>
  <c r="C525" i="4"/>
  <c r="C512" i="4"/>
  <c r="C502" i="4"/>
  <c r="C551" i="4"/>
  <c r="C541" i="4"/>
  <c r="C531" i="4"/>
  <c r="C524" i="4"/>
  <c r="C511" i="4"/>
  <c r="C501" i="4"/>
  <c r="C550" i="4"/>
  <c r="C540" i="4"/>
  <c r="C514" i="4"/>
  <c r="C521" i="4"/>
  <c r="C510" i="4"/>
  <c r="C500" i="4"/>
  <c r="C549" i="4"/>
  <c r="C539" i="4"/>
  <c r="C530" i="4"/>
  <c r="C520" i="4"/>
  <c r="C509" i="4"/>
  <c r="C546" i="4"/>
  <c r="C536" i="4"/>
  <c r="C527" i="4"/>
  <c r="C517" i="4"/>
  <c r="C506" i="4"/>
  <c r="C529" i="4"/>
  <c r="C528" i="4"/>
  <c r="C519" i="4"/>
  <c r="C518" i="4"/>
  <c r="C508" i="4"/>
  <c r="C507" i="4"/>
  <c r="C548" i="4"/>
  <c r="C547" i="4"/>
  <c r="C538" i="4"/>
  <c r="C537" i="4"/>
  <c r="C1095" i="4"/>
  <c r="C1085" i="4"/>
  <c r="C1076" i="4"/>
  <c r="C1066" i="4"/>
  <c r="C1055" i="4"/>
  <c r="C1104" i="4"/>
  <c r="C1094" i="4"/>
  <c r="C1084" i="4"/>
  <c r="C1073" i="4"/>
  <c r="C1065" i="4"/>
  <c r="C1054" i="4"/>
  <c r="C1103" i="4"/>
  <c r="C1093" i="4"/>
  <c r="C1083" i="4"/>
  <c r="C1072" i="4"/>
  <c r="C1063" i="4"/>
  <c r="C1053" i="4"/>
  <c r="C1096" i="4"/>
  <c r="C1086" i="4"/>
  <c r="C1077" i="4"/>
  <c r="C1067" i="4"/>
  <c r="C1056" i="4"/>
  <c r="C1099" i="4"/>
  <c r="C1081" i="4"/>
  <c r="C1068" i="4"/>
  <c r="C1098" i="4"/>
  <c r="C1064" i="4"/>
  <c r="C1062" i="4"/>
  <c r="C1097" i="4"/>
  <c r="C1080" i="4"/>
  <c r="C1061" i="4"/>
  <c r="C1092" i="4"/>
  <c r="C1079" i="4"/>
  <c r="C1060" i="4"/>
  <c r="C1091" i="4"/>
  <c r="C1078" i="4"/>
  <c r="C1059" i="4"/>
  <c r="C1090" i="4"/>
  <c r="C1075" i="4"/>
  <c r="C1058" i="4"/>
  <c r="C1089" i="4"/>
  <c r="C1074" i="4"/>
  <c r="C1057" i="4"/>
  <c r="C1100" i="4"/>
  <c r="C1082" i="4"/>
  <c r="C1069" i="4"/>
  <c r="C1050" i="4"/>
  <c r="C1102" i="4"/>
  <c r="C1101" i="4"/>
  <c r="C1088" i="4"/>
  <c r="C1087" i="4"/>
  <c r="C1071" i="4"/>
  <c r="C1070" i="4"/>
  <c r="C1052" i="4"/>
  <c r="C1051" i="4"/>
  <c r="C495" i="4"/>
  <c r="C485" i="4"/>
  <c r="C459" i="4"/>
  <c r="C466" i="4"/>
  <c r="C455" i="4"/>
  <c r="C445" i="4"/>
  <c r="C494" i="4"/>
  <c r="C484" i="4"/>
  <c r="C475" i="4"/>
  <c r="C465" i="4"/>
  <c r="C454" i="4"/>
  <c r="C493" i="4"/>
  <c r="C483" i="4"/>
  <c r="C474" i="4"/>
  <c r="C464" i="4"/>
  <c r="C453" i="4"/>
  <c r="C492" i="4"/>
  <c r="C482" i="4"/>
  <c r="C473" i="4"/>
  <c r="C463" i="4"/>
  <c r="C452" i="4"/>
  <c r="C491" i="4"/>
  <c r="C481" i="4"/>
  <c r="C472" i="4"/>
  <c r="C462" i="4"/>
  <c r="C451" i="4"/>
  <c r="C490" i="4"/>
  <c r="C480" i="4"/>
  <c r="C471" i="4"/>
  <c r="C461" i="4"/>
  <c r="C450" i="4"/>
  <c r="C499" i="4"/>
  <c r="C489" i="4"/>
  <c r="C479" i="4"/>
  <c r="C468" i="4"/>
  <c r="C460" i="4"/>
  <c r="C449" i="4"/>
  <c r="C496" i="4"/>
  <c r="C486" i="4"/>
  <c r="C476" i="4"/>
  <c r="C469" i="4"/>
  <c r="C456" i="4"/>
  <c r="C446" i="4"/>
  <c r="C478" i="4"/>
  <c r="C477" i="4"/>
  <c r="C467" i="4"/>
  <c r="C470" i="4"/>
  <c r="C458" i="4"/>
  <c r="C457" i="4"/>
  <c r="C498" i="4"/>
  <c r="C448" i="4"/>
  <c r="C497" i="4"/>
  <c r="C447" i="4"/>
  <c r="C488" i="4"/>
  <c r="C487" i="4"/>
  <c r="C1045" i="4"/>
  <c r="C1035" i="4"/>
  <c r="C1009" i="4"/>
  <c r="C1016" i="4"/>
  <c r="C1005" i="4"/>
  <c r="C995" i="4"/>
  <c r="C1044" i="4"/>
  <c r="C1034" i="4"/>
  <c r="C1025" i="4"/>
  <c r="C1015" i="4"/>
  <c r="C1004" i="4"/>
  <c r="C1043" i="4"/>
  <c r="C1033" i="4"/>
  <c r="C1024" i="4"/>
  <c r="C1014" i="4"/>
  <c r="C1003" i="4"/>
  <c r="C1046" i="4"/>
  <c r="C1036" i="4"/>
  <c r="C1026" i="4"/>
  <c r="C1019" i="4"/>
  <c r="C1006" i="4"/>
  <c r="C996" i="4"/>
  <c r="C1049" i="4"/>
  <c r="C1031" i="4"/>
  <c r="C1020" i="4"/>
  <c r="C999" i="4"/>
  <c r="C1048" i="4"/>
  <c r="C1030" i="4"/>
  <c r="C1013" i="4"/>
  <c r="C998" i="4"/>
  <c r="C1047" i="4"/>
  <c r="C1029" i="4"/>
  <c r="C1012" i="4"/>
  <c r="C997" i="4"/>
  <c r="C1042" i="4"/>
  <c r="C1028" i="4"/>
  <c r="C1011" i="4"/>
  <c r="C1041" i="4"/>
  <c r="C1027" i="4"/>
  <c r="C1010" i="4"/>
  <c r="C1040" i="4"/>
  <c r="C1023" i="4"/>
  <c r="C1008" i="4"/>
  <c r="C1039" i="4"/>
  <c r="C1022" i="4"/>
  <c r="C1007" i="4"/>
  <c r="C1032" i="4"/>
  <c r="C1017" i="4"/>
  <c r="C1000" i="4"/>
  <c r="C1038" i="4"/>
  <c r="C1037" i="4"/>
  <c r="C1021" i="4"/>
  <c r="C1018" i="4"/>
  <c r="C1002" i="4"/>
  <c r="C1001" i="4"/>
  <c r="C605" i="4"/>
  <c r="C595" i="4"/>
  <c r="C569" i="4"/>
  <c r="C576" i="4"/>
  <c r="C565" i="4"/>
  <c r="C555" i="4"/>
  <c r="C604" i="4"/>
  <c r="C594" i="4"/>
  <c r="C585" i="4"/>
  <c r="C575" i="4"/>
  <c r="C564" i="4"/>
  <c r="C603" i="4"/>
  <c r="C593" i="4"/>
  <c r="C584" i="4"/>
  <c r="C574" i="4"/>
  <c r="C563" i="4"/>
  <c r="C602" i="4"/>
  <c r="C592" i="4"/>
  <c r="C583" i="4"/>
  <c r="C573" i="4"/>
  <c r="C562" i="4"/>
  <c r="C601" i="4"/>
  <c r="C591" i="4"/>
  <c r="C582" i="4"/>
  <c r="C572" i="4"/>
  <c r="C561" i="4"/>
  <c r="C600" i="4"/>
  <c r="C590" i="4"/>
  <c r="C581" i="4"/>
  <c r="C571" i="4"/>
  <c r="C560" i="4"/>
  <c r="C609" i="4"/>
  <c r="C599" i="4"/>
  <c r="C589" i="4"/>
  <c r="C578" i="4"/>
  <c r="C570" i="4"/>
  <c r="C559" i="4"/>
  <c r="C606" i="4"/>
  <c r="C596" i="4"/>
  <c r="C586" i="4"/>
  <c r="C579" i="4"/>
  <c r="C566" i="4"/>
  <c r="C556" i="4"/>
  <c r="C577" i="4"/>
  <c r="C580" i="4"/>
  <c r="C568" i="4"/>
  <c r="C567" i="4"/>
  <c r="C608" i="4"/>
  <c r="C558" i="4"/>
  <c r="C607" i="4"/>
  <c r="C557" i="4"/>
  <c r="C598" i="4"/>
  <c r="C597" i="4"/>
  <c r="C588" i="4"/>
  <c r="C587" i="4"/>
  <c r="C655" i="4"/>
  <c r="C645" i="4"/>
  <c r="C664" i="4"/>
  <c r="C654" i="4"/>
  <c r="C644" i="4"/>
  <c r="C663" i="4"/>
  <c r="C653" i="4"/>
  <c r="C643" i="4"/>
  <c r="C656" i="4"/>
  <c r="C646" i="4"/>
  <c r="C649" i="4"/>
  <c r="C636" i="4"/>
  <c r="C626" i="4"/>
  <c r="C615" i="4"/>
  <c r="C662" i="4"/>
  <c r="C648" i="4"/>
  <c r="C633" i="4"/>
  <c r="C625" i="4"/>
  <c r="C614" i="4"/>
  <c r="C661" i="4"/>
  <c r="C647" i="4"/>
  <c r="C632" i="4"/>
  <c r="C623" i="4"/>
  <c r="C613" i="4"/>
  <c r="C660" i="4"/>
  <c r="C642" i="4"/>
  <c r="C635" i="4"/>
  <c r="C622" i="4"/>
  <c r="C612" i="4"/>
  <c r="C659" i="4"/>
  <c r="C641" i="4"/>
  <c r="C634" i="4"/>
  <c r="C621" i="4"/>
  <c r="C611" i="4"/>
  <c r="C658" i="4"/>
  <c r="C624" i="4"/>
  <c r="C631" i="4"/>
  <c r="C620" i="4"/>
  <c r="C610" i="4"/>
  <c r="C657" i="4"/>
  <c r="C640" i="4"/>
  <c r="C630" i="4"/>
  <c r="C619" i="4"/>
  <c r="C650" i="4"/>
  <c r="C637" i="4"/>
  <c r="C627" i="4"/>
  <c r="C616" i="4"/>
  <c r="C629" i="4"/>
  <c r="C628" i="4"/>
  <c r="C618" i="4"/>
  <c r="C617" i="4"/>
  <c r="C652" i="4"/>
  <c r="C651" i="4"/>
  <c r="C639" i="4"/>
  <c r="C638" i="4"/>
  <c r="C715" i="4"/>
  <c r="C705" i="4"/>
  <c r="C679" i="4"/>
  <c r="C686" i="4"/>
  <c r="C675" i="4"/>
  <c r="C665" i="4"/>
  <c r="C714" i="4"/>
  <c r="C704" i="4"/>
  <c r="C695" i="4"/>
  <c r="C685" i="4"/>
  <c r="C674" i="4"/>
  <c r="C713" i="4"/>
  <c r="C703" i="4"/>
  <c r="C694" i="4"/>
  <c r="C684" i="4"/>
  <c r="C673" i="4"/>
  <c r="C716" i="4"/>
  <c r="C706" i="4"/>
  <c r="C696" i="4"/>
  <c r="C689" i="4"/>
  <c r="C676" i="4"/>
  <c r="C666" i="4"/>
  <c r="C717" i="4"/>
  <c r="C699" i="4"/>
  <c r="C682" i="4"/>
  <c r="C667" i="4"/>
  <c r="C712" i="4"/>
  <c r="C698" i="4"/>
  <c r="C681" i="4"/>
  <c r="C711" i="4"/>
  <c r="C697" i="4"/>
  <c r="C680" i="4"/>
  <c r="C710" i="4"/>
  <c r="C693" i="4"/>
  <c r="C678" i="4"/>
  <c r="C709" i="4"/>
  <c r="C692" i="4"/>
  <c r="C677" i="4"/>
  <c r="C708" i="4"/>
  <c r="C691" i="4"/>
  <c r="C672" i="4"/>
  <c r="C707" i="4"/>
  <c r="C688" i="4"/>
  <c r="C671" i="4"/>
  <c r="C718" i="4"/>
  <c r="C700" i="4"/>
  <c r="C683" i="4"/>
  <c r="C668" i="4"/>
  <c r="C702" i="4"/>
  <c r="C701" i="4"/>
  <c r="C687" i="4"/>
  <c r="C690" i="4"/>
  <c r="C670" i="4"/>
  <c r="C669" i="4"/>
  <c r="C719" i="4"/>
  <c r="C1268" i="4"/>
  <c r="C1258" i="4"/>
  <c r="C1231" i="4"/>
  <c r="C1239" i="4"/>
  <c r="C1227" i="4"/>
  <c r="C1217" i="4"/>
  <c r="C1267" i="4"/>
  <c r="C1257" i="4"/>
  <c r="C1248" i="4"/>
  <c r="C1238" i="4"/>
  <c r="C1226" i="4"/>
  <c r="C1266" i="4"/>
  <c r="C1256" i="4"/>
  <c r="C1247" i="4"/>
  <c r="C1237" i="4"/>
  <c r="C1225" i="4"/>
  <c r="C1269" i="4"/>
  <c r="C1259" i="4"/>
  <c r="C1249" i="4"/>
  <c r="C1242" i="4"/>
  <c r="C1228" i="4"/>
  <c r="C1218" i="4"/>
  <c r="C1270" i="4"/>
  <c r="C1252" i="4"/>
  <c r="C1234" i="4"/>
  <c r="C1219" i="4"/>
  <c r="C1265" i="4"/>
  <c r="C1251" i="4"/>
  <c r="C1233" i="4"/>
  <c r="C1264" i="4"/>
  <c r="C1250" i="4"/>
  <c r="C1232" i="4"/>
  <c r="C1263" i="4"/>
  <c r="C1246" i="4"/>
  <c r="C1230" i="4"/>
  <c r="C1262" i="4"/>
  <c r="C1245" i="4"/>
  <c r="C1229" i="4"/>
  <c r="C1261" i="4"/>
  <c r="C1244" i="4"/>
  <c r="C1224" i="4"/>
  <c r="C1260" i="4"/>
  <c r="C1241" i="4"/>
  <c r="C1223" i="4"/>
  <c r="C1271" i="4"/>
  <c r="C1253" i="4"/>
  <c r="C1236" i="4"/>
  <c r="C1220" i="4"/>
  <c r="C1272" i="4"/>
  <c r="C1255" i="4"/>
  <c r="C1254" i="4"/>
  <c r="C1240" i="4"/>
  <c r="C1243" i="4"/>
  <c r="C1222" i="4"/>
  <c r="C1221" i="4"/>
  <c r="C825" i="4"/>
  <c r="C815" i="4"/>
  <c r="C789" i="4"/>
  <c r="C796" i="4"/>
  <c r="C785" i="4"/>
  <c r="C775" i="4"/>
  <c r="C824" i="4"/>
  <c r="C814" i="4"/>
  <c r="C805" i="4"/>
  <c r="C795" i="4"/>
  <c r="C784" i="4"/>
  <c r="C823" i="4"/>
  <c r="C813" i="4"/>
  <c r="C804" i="4"/>
  <c r="C794" i="4"/>
  <c r="C783" i="4"/>
  <c r="C826" i="4"/>
  <c r="C816" i="4"/>
  <c r="C806" i="4"/>
  <c r="C799" i="4"/>
  <c r="C786" i="4"/>
  <c r="C776" i="4"/>
  <c r="C817" i="4"/>
  <c r="C798" i="4"/>
  <c r="C781" i="4"/>
  <c r="C812" i="4"/>
  <c r="C797" i="4"/>
  <c r="C780" i="4"/>
  <c r="C829" i="4"/>
  <c r="C811" i="4"/>
  <c r="C800" i="4"/>
  <c r="C779" i="4"/>
  <c r="C828" i="4"/>
  <c r="C810" i="4"/>
  <c r="C793" i="4"/>
  <c r="C778" i="4"/>
  <c r="C827" i="4"/>
  <c r="C809" i="4"/>
  <c r="C792" i="4"/>
  <c r="C777" i="4"/>
  <c r="C822" i="4"/>
  <c r="C808" i="4"/>
  <c r="C791" i="4"/>
  <c r="C821" i="4"/>
  <c r="C807" i="4"/>
  <c r="C790" i="4"/>
  <c r="C818" i="4"/>
  <c r="C801" i="4"/>
  <c r="C782" i="4"/>
  <c r="C788" i="4"/>
  <c r="C787" i="4"/>
  <c r="C820" i="4"/>
  <c r="C819" i="4"/>
  <c r="C803" i="4"/>
  <c r="C802" i="4"/>
  <c r="C1155" i="4"/>
  <c r="C1145" i="4"/>
  <c r="C1119" i="4"/>
  <c r="C1126" i="4"/>
  <c r="C1115" i="4"/>
  <c r="C1105" i="4"/>
  <c r="C1154" i="4"/>
  <c r="C1144" i="4"/>
  <c r="C1135" i="4"/>
  <c r="C1125" i="4"/>
  <c r="C1114" i="4"/>
  <c r="C1153" i="4"/>
  <c r="C1143" i="4"/>
  <c r="C1134" i="4"/>
  <c r="C1124" i="4"/>
  <c r="C1113" i="4"/>
  <c r="C1156" i="4"/>
  <c r="C1146" i="4"/>
  <c r="C1136" i="4"/>
  <c r="C1129" i="4"/>
  <c r="C1116" i="4"/>
  <c r="C1106" i="4"/>
  <c r="C1149" i="4"/>
  <c r="C1132" i="4"/>
  <c r="C1117" i="4"/>
  <c r="C1148" i="4"/>
  <c r="C1131" i="4"/>
  <c r="C1112" i="4"/>
  <c r="C1147" i="4"/>
  <c r="C1128" i="4"/>
  <c r="C1111" i="4"/>
  <c r="C1142" i="4"/>
  <c r="C1127" i="4"/>
  <c r="C1110" i="4"/>
  <c r="C1159" i="4"/>
  <c r="C1141" i="4"/>
  <c r="C1130" i="4"/>
  <c r="C1109" i="4"/>
  <c r="C1158" i="4"/>
  <c r="C1140" i="4"/>
  <c r="C1123" i="4"/>
  <c r="C1108" i="4"/>
  <c r="C1157" i="4"/>
  <c r="C1139" i="4"/>
  <c r="C1122" i="4"/>
  <c r="C1107" i="4"/>
  <c r="C1150" i="4"/>
  <c r="C1133" i="4"/>
  <c r="C1118" i="4"/>
  <c r="C1121" i="4"/>
  <c r="C1120" i="4"/>
  <c r="C1152" i="4"/>
  <c r="C1151" i="4"/>
  <c r="C1138" i="4"/>
  <c r="C1137" i="4"/>
  <c r="C215" i="4"/>
  <c r="C205" i="4"/>
  <c r="C196" i="4"/>
  <c r="C186" i="4"/>
  <c r="C175" i="4"/>
  <c r="C224" i="4"/>
  <c r="C214" i="4"/>
  <c r="C204" i="4"/>
  <c r="C193" i="4"/>
  <c r="C185" i="4"/>
  <c r="C174" i="4"/>
  <c r="C223" i="4"/>
  <c r="C213" i="4"/>
  <c r="C203" i="4"/>
  <c r="C192" i="4"/>
  <c r="C183" i="4"/>
  <c r="C173" i="4"/>
  <c r="C216" i="4"/>
  <c r="C206" i="4"/>
  <c r="C197" i="4"/>
  <c r="C187" i="4"/>
  <c r="C176" i="4"/>
  <c r="C210" i="4"/>
  <c r="C195" i="4"/>
  <c r="C178" i="4"/>
  <c r="C209" i="4"/>
  <c r="C194" i="4"/>
  <c r="C177" i="4"/>
  <c r="C222" i="4"/>
  <c r="C208" i="4"/>
  <c r="C191" i="4"/>
  <c r="C172" i="4"/>
  <c r="C221" i="4"/>
  <c r="C207" i="4"/>
  <c r="C190" i="4"/>
  <c r="C171" i="4"/>
  <c r="C220" i="4"/>
  <c r="C202" i="4"/>
  <c r="C189" i="4"/>
  <c r="C170" i="4"/>
  <c r="C219" i="4"/>
  <c r="C201" i="4"/>
  <c r="C188" i="4"/>
  <c r="C218" i="4"/>
  <c r="C184" i="4"/>
  <c r="C182" i="4"/>
  <c r="C217" i="4"/>
  <c r="C200" i="4"/>
  <c r="C181" i="4"/>
  <c r="C212" i="4"/>
  <c r="C199" i="4"/>
  <c r="C180" i="4"/>
  <c r="C211" i="4"/>
  <c r="C198" i="4"/>
  <c r="C179" i="4"/>
  <c r="C765" i="4"/>
  <c r="C755" i="4"/>
  <c r="C746" i="4"/>
  <c r="C736" i="4"/>
  <c r="C725" i="4"/>
  <c r="C774" i="4"/>
  <c r="C764" i="4"/>
  <c r="C754" i="4"/>
  <c r="C745" i="4"/>
  <c r="C735" i="4"/>
  <c r="C724" i="4"/>
  <c r="C773" i="4"/>
  <c r="C763" i="4"/>
  <c r="C753" i="4"/>
  <c r="C744" i="4"/>
  <c r="C733" i="4"/>
  <c r="C723" i="4"/>
  <c r="C766" i="4"/>
  <c r="C756" i="4"/>
  <c r="C747" i="4"/>
  <c r="C737" i="4"/>
  <c r="C726" i="4"/>
  <c r="C767" i="4"/>
  <c r="C750" i="4"/>
  <c r="C731" i="4"/>
  <c r="C762" i="4"/>
  <c r="C749" i="4"/>
  <c r="C730" i="4"/>
  <c r="C761" i="4"/>
  <c r="C748" i="4"/>
  <c r="C729" i="4"/>
  <c r="C760" i="4"/>
  <c r="C743" i="4"/>
  <c r="C728" i="4"/>
  <c r="C759" i="4"/>
  <c r="C742" i="4"/>
  <c r="C727" i="4"/>
  <c r="C772" i="4"/>
  <c r="C758" i="4"/>
  <c r="C741" i="4"/>
  <c r="C722" i="4"/>
  <c r="C771" i="4"/>
  <c r="C757" i="4"/>
  <c r="C740" i="4"/>
  <c r="C721" i="4"/>
  <c r="C768" i="4"/>
  <c r="C734" i="4"/>
  <c r="C732" i="4"/>
  <c r="C770" i="4"/>
  <c r="C769" i="4"/>
  <c r="C752" i="4"/>
  <c r="C751" i="4"/>
  <c r="C739" i="4"/>
  <c r="C738" i="4"/>
  <c r="C720" i="4"/>
  <c r="C1319" i="4"/>
  <c r="C1309" i="4"/>
  <c r="C1300" i="4"/>
  <c r="C1289" i="4"/>
  <c r="C1278" i="4"/>
  <c r="C1328" i="4"/>
  <c r="C1318" i="4"/>
  <c r="C1308" i="4"/>
  <c r="C1297" i="4"/>
  <c r="C1288" i="4"/>
  <c r="C1277" i="4"/>
  <c r="C1327" i="4"/>
  <c r="C1317" i="4"/>
  <c r="C1307" i="4"/>
  <c r="C1296" i="4"/>
  <c r="C1286" i="4"/>
  <c r="C1276" i="4"/>
  <c r="C1320" i="4"/>
  <c r="C1310" i="4"/>
  <c r="C1301" i="4"/>
  <c r="C1290" i="4"/>
  <c r="C1279" i="4"/>
  <c r="C1321" i="4"/>
  <c r="C1304" i="4"/>
  <c r="C1284" i="4"/>
  <c r="C1316" i="4"/>
  <c r="C1303" i="4"/>
  <c r="C1283" i="4"/>
  <c r="C1315" i="4"/>
  <c r="C1302" i="4"/>
  <c r="C1282" i="4"/>
  <c r="C1314" i="4"/>
  <c r="C1299" i="4"/>
  <c r="C1281" i="4"/>
  <c r="C1313" i="4"/>
  <c r="C1298" i="4"/>
  <c r="C1280" i="4"/>
  <c r="C1326" i="4"/>
  <c r="C1312" i="4"/>
  <c r="C1295" i="4"/>
  <c r="C1275" i="4"/>
  <c r="C1325" i="4"/>
  <c r="C1311" i="4"/>
  <c r="C1294" i="4"/>
  <c r="C1274" i="4"/>
  <c r="C1322" i="4"/>
  <c r="C1287" i="4"/>
  <c r="C1285" i="4"/>
  <c r="C1293" i="4"/>
  <c r="C1292" i="4"/>
  <c r="C1273" i="4"/>
  <c r="C1324" i="4"/>
  <c r="C1323" i="4"/>
  <c r="C1306" i="4"/>
  <c r="C1305" i="4"/>
  <c r="C275" i="4"/>
  <c r="C265" i="4"/>
  <c r="C239" i="4"/>
  <c r="C246" i="4"/>
  <c r="C235" i="4"/>
  <c r="C225" i="4"/>
  <c r="C274" i="4"/>
  <c r="C264" i="4"/>
  <c r="C255" i="4"/>
  <c r="C245" i="4"/>
  <c r="C234" i="4"/>
  <c r="C273" i="4"/>
  <c r="C263" i="4"/>
  <c r="C254" i="4"/>
  <c r="C244" i="4"/>
  <c r="C233" i="4"/>
  <c r="C276" i="4"/>
  <c r="C266" i="4"/>
  <c r="C256" i="4"/>
  <c r="C249" i="4"/>
  <c r="C236" i="4"/>
  <c r="C226" i="4"/>
  <c r="C278" i="4"/>
  <c r="C260" i="4"/>
  <c r="C243" i="4"/>
  <c r="C228" i="4"/>
  <c r="C277" i="4"/>
  <c r="C259" i="4"/>
  <c r="C242" i="4"/>
  <c r="C227" i="4"/>
  <c r="C272" i="4"/>
  <c r="C258" i="4"/>
  <c r="C241" i="4"/>
  <c r="C271" i="4"/>
  <c r="C257" i="4"/>
  <c r="C240" i="4"/>
  <c r="C270" i="4"/>
  <c r="C253" i="4"/>
  <c r="C238" i="4"/>
  <c r="C269" i="4"/>
  <c r="C252" i="4"/>
  <c r="C237" i="4"/>
  <c r="C268" i="4"/>
  <c r="C251" i="4"/>
  <c r="C232" i="4"/>
  <c r="C267" i="4"/>
  <c r="C248" i="4"/>
  <c r="C231" i="4"/>
  <c r="C262" i="4"/>
  <c r="C247" i="4"/>
  <c r="C230" i="4"/>
  <c r="C279" i="4"/>
  <c r="C261" i="4"/>
  <c r="C250" i="4"/>
  <c r="C229" i="4"/>
  <c r="C1381" i="4"/>
  <c r="C1371" i="4"/>
  <c r="C1343" i="4"/>
  <c r="C1351" i="4"/>
  <c r="C1339" i="4"/>
  <c r="C1329" i="4"/>
  <c r="C1380" i="4"/>
  <c r="C1370" i="4"/>
  <c r="C1361" i="4"/>
  <c r="C1350" i="4"/>
  <c r="C1338" i="4"/>
  <c r="C1379" i="4"/>
  <c r="C1369" i="4"/>
  <c r="C1360" i="4"/>
  <c r="C1349" i="4"/>
  <c r="C1337" i="4"/>
  <c r="C1382" i="4"/>
  <c r="C1372" i="4"/>
  <c r="C1362" i="4"/>
  <c r="C1355" i="4"/>
  <c r="C1340" i="4"/>
  <c r="C1330" i="4"/>
  <c r="C1373" i="4"/>
  <c r="C1353" i="4"/>
  <c r="C1335" i="4"/>
  <c r="C1368" i="4"/>
  <c r="C1352" i="4"/>
  <c r="C1334" i="4"/>
  <c r="C1388" i="4"/>
  <c r="C1367" i="4"/>
  <c r="C1356" i="4"/>
  <c r="C1333" i="4"/>
  <c r="C1387" i="4"/>
  <c r="G57" i="3" s="1"/>
  <c r="AC57" i="3" s="1"/>
  <c r="I70" i="2" s="1"/>
  <c r="J70" i="2" s="1"/>
  <c r="K70" i="2" s="1"/>
  <c r="AC70" i="2" s="1"/>
  <c r="C1366" i="4"/>
  <c r="C1348" i="4"/>
  <c r="C1332" i="4"/>
  <c r="C1386" i="4"/>
  <c r="G56" i="3" s="1"/>
  <c r="AC56" i="3" s="1"/>
  <c r="I69" i="2" s="1"/>
  <c r="J69" i="2" s="1"/>
  <c r="K69" i="2" s="1"/>
  <c r="AC69" i="2" s="1"/>
  <c r="C1365" i="4"/>
  <c r="C1346" i="4"/>
  <c r="C1331" i="4"/>
  <c r="C1378" i="4"/>
  <c r="C1364" i="4"/>
  <c r="C1345" i="4"/>
  <c r="C1377" i="4"/>
  <c r="C1363" i="4"/>
  <c r="C1344" i="4"/>
  <c r="C1374" i="4"/>
  <c r="C1357" i="4"/>
  <c r="C1336" i="4"/>
  <c r="C1376" i="4"/>
  <c r="C1375" i="4"/>
  <c r="C1359" i="4"/>
  <c r="C1358" i="4"/>
  <c r="C1342" i="4"/>
  <c r="C1341" i="4"/>
  <c r="C1207" i="4"/>
  <c r="C1197" i="4"/>
  <c r="C1188" i="4"/>
  <c r="C1176" i="4"/>
  <c r="C1165" i="4"/>
  <c r="C1216" i="4"/>
  <c r="C1206" i="4"/>
  <c r="C1196" i="4"/>
  <c r="C1184" i="4"/>
  <c r="C1175" i="4"/>
  <c r="C1164" i="4"/>
  <c r="C1215" i="4"/>
  <c r="C1205" i="4"/>
  <c r="C1195" i="4"/>
  <c r="C1183" i="4"/>
  <c r="C1173" i="4"/>
  <c r="C1163" i="4"/>
  <c r="C1208" i="4"/>
  <c r="C1198" i="4"/>
  <c r="C1189" i="4"/>
  <c r="C1177" i="4"/>
  <c r="C1166" i="4"/>
  <c r="C1201" i="4"/>
  <c r="C1186" i="4"/>
  <c r="C1167" i="4"/>
  <c r="C1214" i="4"/>
  <c r="C1200" i="4"/>
  <c r="C1182" i="4"/>
  <c r="C1162" i="4"/>
  <c r="C1213" i="4"/>
  <c r="C1199" i="4"/>
  <c r="C1181" i="4"/>
  <c r="C1161" i="4"/>
  <c r="C1212" i="4"/>
  <c r="C1194" i="4"/>
  <c r="C1180" i="4"/>
  <c r="C1160" i="4"/>
  <c r="C1211" i="4"/>
  <c r="C1193" i="4"/>
  <c r="C1179" i="4"/>
  <c r="C1210" i="4"/>
  <c r="C1174" i="4"/>
  <c r="C1172" i="4"/>
  <c r="C1209" i="4"/>
  <c r="C1192" i="4"/>
  <c r="C1171" i="4"/>
  <c r="C1202" i="4"/>
  <c r="C1187" i="4"/>
  <c r="C1168" i="4"/>
  <c r="C1204" i="4"/>
  <c r="C1203" i="4"/>
  <c r="C1191" i="4"/>
  <c r="C1190" i="4"/>
  <c r="C1170" i="4"/>
  <c r="C1169" i="4"/>
  <c r="C325" i="4"/>
  <c r="C315" i="4"/>
  <c r="C306" i="4"/>
  <c r="C296" i="4"/>
  <c r="C285" i="4"/>
  <c r="C334" i="4"/>
  <c r="C324" i="4"/>
  <c r="C314" i="4"/>
  <c r="C303" i="4"/>
  <c r="C295" i="4"/>
  <c r="C284" i="4"/>
  <c r="C333" i="4"/>
  <c r="C323" i="4"/>
  <c r="C313" i="4"/>
  <c r="C302" i="4"/>
  <c r="C293" i="4"/>
  <c r="C283" i="4"/>
  <c r="C332" i="4"/>
  <c r="C322" i="4"/>
  <c r="C312" i="4"/>
  <c r="C305" i="4"/>
  <c r="C331" i="4"/>
  <c r="C321" i="4"/>
  <c r="C311" i="4"/>
  <c r="C304" i="4"/>
  <c r="C326" i="4"/>
  <c r="C316" i="4"/>
  <c r="C307" i="4"/>
  <c r="C297" i="4"/>
  <c r="C286" i="4"/>
  <c r="C318" i="4"/>
  <c r="C292" i="4"/>
  <c r="C317" i="4"/>
  <c r="C291" i="4"/>
  <c r="C294" i="4"/>
  <c r="C290" i="4"/>
  <c r="C310" i="4"/>
  <c r="C289" i="4"/>
  <c r="C330" i="4"/>
  <c r="C309" i="4"/>
  <c r="C288" i="4"/>
  <c r="C329" i="4"/>
  <c r="C308" i="4"/>
  <c r="C287" i="4"/>
  <c r="C328" i="4"/>
  <c r="C301" i="4"/>
  <c r="C282" i="4"/>
  <c r="C327" i="4"/>
  <c r="C300" i="4"/>
  <c r="C281" i="4"/>
  <c r="C320" i="4"/>
  <c r="C299" i="4"/>
  <c r="C280" i="4"/>
  <c r="C319" i="4"/>
  <c r="C298" i="4"/>
  <c r="C875" i="4"/>
  <c r="C865" i="4"/>
  <c r="C856" i="4"/>
  <c r="C846" i="4"/>
  <c r="C835" i="4"/>
  <c r="C884" i="4"/>
  <c r="C874" i="4"/>
  <c r="C864" i="4"/>
  <c r="C853" i="4"/>
  <c r="C845" i="4"/>
  <c r="C834" i="4"/>
  <c r="C883" i="4"/>
  <c r="C873" i="4"/>
  <c r="C863" i="4"/>
  <c r="C852" i="4"/>
  <c r="C843" i="4"/>
  <c r="C833" i="4"/>
  <c r="C876" i="4"/>
  <c r="C866" i="4"/>
  <c r="C857" i="4"/>
  <c r="C847" i="4"/>
  <c r="C836" i="4"/>
  <c r="C881" i="4"/>
  <c r="C867" i="4"/>
  <c r="C850" i="4"/>
  <c r="C831" i="4"/>
  <c r="C880" i="4"/>
  <c r="C862" i="4"/>
  <c r="C849" i="4"/>
  <c r="C830" i="4"/>
  <c r="C879" i="4"/>
  <c r="C861" i="4"/>
  <c r="C848" i="4"/>
  <c r="C878" i="4"/>
  <c r="C844" i="4"/>
  <c r="C842" i="4"/>
  <c r="C877" i="4"/>
  <c r="C860" i="4"/>
  <c r="C841" i="4"/>
  <c r="C872" i="4"/>
  <c r="C859" i="4"/>
  <c r="C840" i="4"/>
  <c r="C871" i="4"/>
  <c r="C858" i="4"/>
  <c r="C839" i="4"/>
  <c r="C882" i="4"/>
  <c r="C868" i="4"/>
  <c r="C851" i="4"/>
  <c r="C832" i="4"/>
  <c r="C870" i="4"/>
  <c r="C869" i="4"/>
  <c r="C855" i="4"/>
  <c r="C854" i="4"/>
  <c r="C838" i="4"/>
  <c r="C837" i="4"/>
  <c r="C1416" i="4"/>
  <c r="C1405" i="4"/>
  <c r="C1394" i="4"/>
  <c r="C1413" i="4"/>
  <c r="C1404" i="4"/>
  <c r="C1393" i="4"/>
  <c r="C1412" i="4"/>
  <c r="C1402" i="4"/>
  <c r="C1392" i="4"/>
  <c r="C1417" i="4"/>
  <c r="C1406" i="4"/>
  <c r="C1395" i="4"/>
  <c r="C1410" i="4"/>
  <c r="G28" i="3" s="1"/>
  <c r="C1390" i="4"/>
  <c r="C1409" i="4"/>
  <c r="G27" i="3" s="1"/>
  <c r="C1389" i="4"/>
  <c r="C1408" i="4"/>
  <c r="C1403" i="4"/>
  <c r="C1401" i="4"/>
  <c r="G19" i="3" s="1"/>
  <c r="AC19" i="3" s="1"/>
  <c r="C1400" i="4"/>
  <c r="C1419" i="4"/>
  <c r="C1399" i="4"/>
  <c r="C1418" i="4"/>
  <c r="C1398" i="4"/>
  <c r="C1411" i="4"/>
  <c r="G29" i="3" s="1"/>
  <c r="AC29" i="3" s="1"/>
  <c r="I42" i="2" s="1"/>
  <c r="J42" i="2" s="1"/>
  <c r="C1391" i="4"/>
  <c r="C1415" i="4"/>
  <c r="G33" i="3" s="1"/>
  <c r="AC33" i="3" s="1"/>
  <c r="C1414" i="4"/>
  <c r="C1397" i="4"/>
  <c r="C1396" i="4"/>
  <c r="C385" i="4"/>
  <c r="C375" i="4"/>
  <c r="C349" i="4"/>
  <c r="C356" i="4"/>
  <c r="C345" i="4"/>
  <c r="C335" i="4"/>
  <c r="C384" i="4"/>
  <c r="C374" i="4"/>
  <c r="C365" i="4"/>
  <c r="C355" i="4"/>
  <c r="C344" i="4"/>
  <c r="C383" i="4"/>
  <c r="C373" i="4"/>
  <c r="C364" i="4"/>
  <c r="C354" i="4"/>
  <c r="C343" i="4"/>
  <c r="C382" i="4"/>
  <c r="C372" i="4"/>
  <c r="C363" i="4"/>
  <c r="C353" i="4"/>
  <c r="C342" i="4"/>
  <c r="C381" i="4"/>
  <c r="C371" i="4"/>
  <c r="C362" i="4"/>
  <c r="C352" i="4"/>
  <c r="C341" i="4"/>
  <c r="C380" i="4"/>
  <c r="C370" i="4"/>
  <c r="C361" i="4"/>
  <c r="C389" i="4"/>
  <c r="C379" i="4"/>
  <c r="C369" i="4"/>
  <c r="C358" i="4"/>
  <c r="C386" i="4"/>
  <c r="C376" i="4"/>
  <c r="C366" i="4"/>
  <c r="C359" i="4"/>
  <c r="C346" i="4"/>
  <c r="C336" i="4"/>
  <c r="C378" i="4"/>
  <c r="C340" i="4"/>
  <c r="C377" i="4"/>
  <c r="C339" i="4"/>
  <c r="C368" i="4"/>
  <c r="C338" i="4"/>
  <c r="C367" i="4"/>
  <c r="C337" i="4"/>
  <c r="C357" i="4"/>
  <c r="C360" i="4"/>
  <c r="C351" i="4"/>
  <c r="C350" i="4"/>
  <c r="C388" i="4"/>
  <c r="C348" i="4"/>
  <c r="C387" i="4"/>
  <c r="C347" i="4"/>
  <c r="C935" i="4"/>
  <c r="C925" i="4"/>
  <c r="C899" i="4"/>
  <c r="C906" i="4"/>
  <c r="C895" i="4"/>
  <c r="C885" i="4"/>
  <c r="C934" i="4"/>
  <c r="C924" i="4"/>
  <c r="C915" i="4"/>
  <c r="C905" i="4"/>
  <c r="C894" i="4"/>
  <c r="C933" i="4"/>
  <c r="C923" i="4"/>
  <c r="C914" i="4"/>
  <c r="C904" i="4"/>
  <c r="C893" i="4"/>
  <c r="C936" i="4"/>
  <c r="C926" i="4"/>
  <c r="C916" i="4"/>
  <c r="C909" i="4"/>
  <c r="C896" i="4"/>
  <c r="C886" i="4"/>
  <c r="C931" i="4"/>
  <c r="C917" i="4"/>
  <c r="C900" i="4"/>
  <c r="C930" i="4"/>
  <c r="C913" i="4"/>
  <c r="C898" i="4"/>
  <c r="C929" i="4"/>
  <c r="C912" i="4"/>
  <c r="C897" i="4"/>
  <c r="C928" i="4"/>
  <c r="C911" i="4"/>
  <c r="C892" i="4"/>
  <c r="C927" i="4"/>
  <c r="C908" i="4"/>
  <c r="C891" i="4"/>
  <c r="C922" i="4"/>
  <c r="C907" i="4"/>
  <c r="C890" i="4"/>
  <c r="C939" i="4"/>
  <c r="C921" i="4"/>
  <c r="C910" i="4"/>
  <c r="C889" i="4"/>
  <c r="C932" i="4"/>
  <c r="C918" i="4"/>
  <c r="C901" i="4"/>
  <c r="C938" i="4"/>
  <c r="C937" i="4"/>
  <c r="C920" i="4"/>
  <c r="C919" i="4"/>
  <c r="C903" i="4"/>
  <c r="C902" i="4"/>
  <c r="C888" i="4"/>
  <c r="C887" i="4"/>
  <c r="C435" i="4"/>
  <c r="C425" i="4"/>
  <c r="C416" i="4"/>
  <c r="C406" i="4"/>
  <c r="C395" i="4"/>
  <c r="C444" i="4"/>
  <c r="C434" i="4"/>
  <c r="C424" i="4"/>
  <c r="C413" i="4"/>
  <c r="C405" i="4"/>
  <c r="C394" i="4"/>
  <c r="C443" i="4"/>
  <c r="C433" i="4"/>
  <c r="C423" i="4"/>
  <c r="C412" i="4"/>
  <c r="C403" i="4"/>
  <c r="C393" i="4"/>
  <c r="C442" i="4"/>
  <c r="C432" i="4"/>
  <c r="C422" i="4"/>
  <c r="C415" i="4"/>
  <c r="C402" i="4"/>
  <c r="C392" i="4"/>
  <c r="C441" i="4"/>
  <c r="C431" i="4"/>
  <c r="C421" i="4"/>
  <c r="C414" i="4"/>
  <c r="C401" i="4"/>
  <c r="C391" i="4"/>
  <c r="C440" i="4"/>
  <c r="C430" i="4"/>
  <c r="C404" i="4"/>
  <c r="C411" i="4"/>
  <c r="C400" i="4"/>
  <c r="C390" i="4"/>
  <c r="C439" i="4"/>
  <c r="C429" i="4"/>
  <c r="C420" i="4"/>
  <c r="C410" i="4"/>
  <c r="C399" i="4"/>
  <c r="C436" i="4"/>
  <c r="C426" i="4"/>
  <c r="C417" i="4"/>
  <c r="C407" i="4"/>
  <c r="C396" i="4"/>
  <c r="C428" i="4"/>
  <c r="C427" i="4"/>
  <c r="C419" i="4"/>
  <c r="C418" i="4"/>
  <c r="C409" i="4"/>
  <c r="C408" i="4"/>
  <c r="C398" i="4"/>
  <c r="C397" i="4"/>
  <c r="C438" i="4"/>
  <c r="C437" i="4"/>
  <c r="C985" i="4"/>
  <c r="C975" i="4"/>
  <c r="C966" i="4"/>
  <c r="C956" i="4"/>
  <c r="C945" i="4"/>
  <c r="C994" i="4"/>
  <c r="C984" i="4"/>
  <c r="C974" i="4"/>
  <c r="C963" i="4"/>
  <c r="C955" i="4"/>
  <c r="C944" i="4"/>
  <c r="C993" i="4"/>
  <c r="C983" i="4"/>
  <c r="C973" i="4"/>
  <c r="C962" i="4"/>
  <c r="C953" i="4"/>
  <c r="C943" i="4"/>
  <c r="C986" i="4"/>
  <c r="C976" i="4"/>
  <c r="C967" i="4"/>
  <c r="C957" i="4"/>
  <c r="C946" i="4"/>
  <c r="C981" i="4"/>
  <c r="C968" i="4"/>
  <c r="C949" i="4"/>
  <c r="C980" i="4"/>
  <c r="C965" i="4"/>
  <c r="C948" i="4"/>
  <c r="C979" i="4"/>
  <c r="C964" i="4"/>
  <c r="C947" i="4"/>
  <c r="C992" i="4"/>
  <c r="C978" i="4"/>
  <c r="C961" i="4"/>
  <c r="C942" i="4"/>
  <c r="C991" i="4"/>
  <c r="C977" i="4"/>
  <c r="C960" i="4"/>
  <c r="C941" i="4"/>
  <c r="C990" i="4"/>
  <c r="C972" i="4"/>
  <c r="C959" i="4"/>
  <c r="C940" i="4"/>
  <c r="C989" i="4"/>
  <c r="C971" i="4"/>
  <c r="C958" i="4"/>
  <c r="C982" i="4"/>
  <c r="C969" i="4"/>
  <c r="C950" i="4"/>
  <c r="C952" i="4"/>
  <c r="C951" i="4"/>
  <c r="C988" i="4"/>
  <c r="C987" i="4"/>
  <c r="C954" i="4"/>
  <c r="C970" i="4"/>
  <c r="X85" i="3"/>
  <c r="Y85" i="3"/>
  <c r="G72" i="3" l="1"/>
  <c r="AC72" i="3" s="1"/>
  <c r="G37" i="3"/>
  <c r="AC37" i="3" s="1"/>
  <c r="I50" i="2" s="1"/>
  <c r="J50" i="2" s="1"/>
  <c r="K50" i="2" s="1"/>
  <c r="AC50" i="2" s="1"/>
  <c r="G43" i="3"/>
  <c r="AC43" i="3" s="1"/>
  <c r="I56" i="2" s="1"/>
  <c r="J56" i="2" s="1"/>
  <c r="K56" i="2" s="1"/>
  <c r="AC56" i="2" s="1"/>
  <c r="I32" i="2"/>
  <c r="J32" i="2" s="1"/>
  <c r="K32" i="2" s="1"/>
  <c r="AC32" i="2" s="1"/>
  <c r="I46" i="2"/>
  <c r="J46" i="2" s="1"/>
  <c r="K46" i="2" s="1"/>
  <c r="AC46" i="2" s="1"/>
  <c r="S101" i="3"/>
  <c r="AA111" i="2" s="1"/>
  <c r="AB111" i="2" s="1"/>
  <c r="J101" i="3"/>
  <c r="O111" i="2" s="1"/>
  <c r="P111" i="2" s="1"/>
  <c r="K101" i="3"/>
  <c r="V101" i="3"/>
  <c r="M101" i="3"/>
  <c r="Q111" i="2" s="1"/>
  <c r="R111" i="2" s="1"/>
  <c r="G59" i="3"/>
  <c r="AC59" i="3" s="1"/>
  <c r="I72" i="2" s="1"/>
  <c r="J72" i="2" s="1"/>
  <c r="K72" i="2" s="1"/>
  <c r="AC72" i="2" s="1"/>
  <c r="K42" i="2"/>
  <c r="AC42" i="2" s="1"/>
  <c r="AC28" i="3"/>
  <c r="AC27" i="3"/>
  <c r="I40" i="2" s="1"/>
  <c r="J40" i="2" s="1"/>
  <c r="K40" i="2" s="1"/>
  <c r="AC40" i="2" s="1"/>
  <c r="T101" i="3"/>
  <c r="Y111" i="2" s="1"/>
  <c r="Z111" i="2" s="1"/>
  <c r="E102" i="3"/>
  <c r="H102" i="3" s="1"/>
  <c r="U101" i="3"/>
  <c r="L101" i="3"/>
  <c r="H107" i="3"/>
  <c r="G100" i="3"/>
  <c r="I110" i="2" s="1"/>
  <c r="G64" i="3"/>
  <c r="AC64" i="3" s="1"/>
  <c r="I77" i="2" s="1"/>
  <c r="G66" i="3"/>
  <c r="AC66" i="3" s="1"/>
  <c r="I79" i="2" s="1"/>
  <c r="J79" i="2" s="1"/>
  <c r="K79" i="2" s="1"/>
  <c r="AC79" i="2" s="1"/>
  <c r="G68" i="3"/>
  <c r="AC68" i="3" s="1"/>
  <c r="I81" i="2" s="1"/>
  <c r="G46" i="3"/>
  <c r="AC46" i="3" s="1"/>
  <c r="I59" i="2" s="1"/>
  <c r="G22" i="3"/>
  <c r="AC22" i="3" s="1"/>
  <c r="I35" i="2" s="1"/>
  <c r="AC73" i="3"/>
  <c r="G14" i="3"/>
  <c r="AC14" i="3" s="1"/>
  <c r="I27" i="2" s="1"/>
  <c r="G15" i="3"/>
  <c r="AC15" i="3" s="1"/>
  <c r="I28" i="2" s="1"/>
  <c r="G60" i="3"/>
  <c r="AC60" i="3" s="1"/>
  <c r="I73" i="2" s="1"/>
  <c r="G35" i="3"/>
  <c r="AC35" i="3" s="1"/>
  <c r="I48" i="2" s="1"/>
  <c r="J48" i="2" s="1"/>
  <c r="K48" i="2" s="1"/>
  <c r="G106" i="3"/>
  <c r="I116" i="2" s="1"/>
  <c r="G18" i="3"/>
  <c r="AC18" i="3" s="1"/>
  <c r="I31" i="2" s="1"/>
  <c r="G70" i="3"/>
  <c r="AC70" i="3" s="1"/>
  <c r="G48" i="3"/>
  <c r="AC48" i="3" s="1"/>
  <c r="G31" i="3"/>
  <c r="AC31" i="3" s="1"/>
  <c r="I44" i="2" s="1"/>
  <c r="G41" i="3"/>
  <c r="AC41" i="3" s="1"/>
  <c r="I54" i="2" s="1"/>
  <c r="G44" i="3"/>
  <c r="AC44" i="3" s="1"/>
  <c r="I57" i="2" s="1"/>
  <c r="G34" i="3"/>
  <c r="AC34" i="3" s="1"/>
  <c r="I47" i="2" s="1"/>
  <c r="G9" i="3"/>
  <c r="AC9" i="3" s="1"/>
  <c r="I22" i="2" s="1"/>
  <c r="G62" i="3"/>
  <c r="AC62" i="3" s="1"/>
  <c r="I75" i="2" s="1"/>
  <c r="G26" i="3"/>
  <c r="AC26" i="3" s="1"/>
  <c r="I39" i="2" s="1"/>
  <c r="G51" i="3"/>
  <c r="AC51" i="3" s="1"/>
  <c r="I64" i="2" s="1"/>
  <c r="G53" i="3"/>
  <c r="AC53" i="3" s="1"/>
  <c r="I66" i="2" s="1"/>
  <c r="J66" i="2" s="1"/>
  <c r="K66" i="2" s="1"/>
  <c r="AC66" i="2" s="1"/>
  <c r="G23" i="3"/>
  <c r="AC23" i="3" s="1"/>
  <c r="I36" i="2" s="1"/>
  <c r="G21" i="3"/>
  <c r="AC21" i="3" s="1"/>
  <c r="I34" i="2" s="1"/>
  <c r="G65" i="3"/>
  <c r="AC65" i="3" s="1"/>
  <c r="I78" i="2" s="1"/>
  <c r="G67" i="3"/>
  <c r="AC67" i="3" s="1"/>
  <c r="I80" i="2" s="1"/>
  <c r="G55" i="3"/>
  <c r="AC55" i="3" s="1"/>
  <c r="I68" i="2" s="1"/>
  <c r="J68" i="2" s="1"/>
  <c r="K68" i="2" s="1"/>
  <c r="AC68" i="2" s="1"/>
  <c r="G39" i="3"/>
  <c r="AC39" i="3" s="1"/>
  <c r="I52" i="2" s="1"/>
  <c r="G11" i="3"/>
  <c r="AC11" i="3" s="1"/>
  <c r="I24" i="2" s="1"/>
  <c r="J24" i="2" s="1"/>
  <c r="K24" i="2" s="1"/>
  <c r="AC24" i="2" s="1"/>
  <c r="G13" i="3"/>
  <c r="AC13" i="3" s="1"/>
  <c r="I26" i="2" s="1"/>
  <c r="G69" i="3"/>
  <c r="AC69" i="3" s="1"/>
  <c r="G47" i="3"/>
  <c r="AC47" i="3" s="1"/>
  <c r="I60" i="2" s="1"/>
  <c r="G24" i="3"/>
  <c r="AC24" i="3" s="1"/>
  <c r="I37" i="2" s="1"/>
  <c r="G105" i="3"/>
  <c r="G99" i="3"/>
  <c r="G12" i="3"/>
  <c r="AC12" i="3" s="1"/>
  <c r="I25" i="2" s="1"/>
  <c r="G17" i="3"/>
  <c r="AC17" i="3" s="1"/>
  <c r="I30" i="2" s="1"/>
  <c r="G25" i="3"/>
  <c r="AC25" i="3" s="1"/>
  <c r="I38" i="2" s="1"/>
  <c r="G30" i="3"/>
  <c r="AC30" i="3" s="1"/>
  <c r="I43" i="2" s="1"/>
  <c r="J43" i="2" s="1"/>
  <c r="K43" i="2" s="1"/>
  <c r="AC43" i="2" s="1"/>
  <c r="G32" i="3"/>
  <c r="AC32" i="3" s="1"/>
  <c r="I45" i="2" s="1"/>
  <c r="G61" i="3"/>
  <c r="AC61" i="3" s="1"/>
  <c r="I74" i="2" s="1"/>
  <c r="G36" i="3"/>
  <c r="AC36" i="3" s="1"/>
  <c r="I49" i="2" s="1"/>
  <c r="G40" i="3"/>
  <c r="AC40" i="3" s="1"/>
  <c r="I53" i="2" s="1"/>
  <c r="G42" i="3"/>
  <c r="AC42" i="3" s="1"/>
  <c r="I55" i="2" s="1"/>
  <c r="G45" i="3"/>
  <c r="AC45" i="3" s="1"/>
  <c r="I58" i="2" s="1"/>
  <c r="G20" i="3"/>
  <c r="AC20" i="3" s="1"/>
  <c r="I33" i="2" s="1"/>
  <c r="G71" i="3"/>
  <c r="AC71" i="3" s="1"/>
  <c r="G49" i="3"/>
  <c r="AC49" i="3" s="1"/>
  <c r="I62" i="2" s="1"/>
  <c r="G101" i="3"/>
  <c r="I111" i="2" s="1"/>
  <c r="G50" i="3"/>
  <c r="AC50" i="3" s="1"/>
  <c r="I63" i="2" s="1"/>
  <c r="G52" i="3"/>
  <c r="AC52" i="3" s="1"/>
  <c r="I65" i="2" s="1"/>
  <c r="G54" i="3"/>
  <c r="G38" i="3"/>
  <c r="AC38" i="3" s="1"/>
  <c r="I51" i="2" s="1"/>
  <c r="J51" i="2" s="1"/>
  <c r="K51" i="2" s="1"/>
  <c r="G10" i="3"/>
  <c r="AC10" i="3" s="1"/>
  <c r="I23" i="2" s="1"/>
  <c r="G63" i="3"/>
  <c r="AC63" i="3" s="1"/>
  <c r="I76" i="2" s="1"/>
  <c r="M110" i="2"/>
  <c r="N110" i="2" s="1"/>
  <c r="Q110" i="2"/>
  <c r="R110" i="2" s="1"/>
  <c r="AA110" i="2"/>
  <c r="AB110" i="2" s="1"/>
  <c r="G110" i="2"/>
  <c r="H110" i="2" s="1"/>
  <c r="U110" i="2"/>
  <c r="V110" i="2" s="1"/>
  <c r="Y110" i="2"/>
  <c r="Z110" i="2" s="1"/>
  <c r="S110" i="2"/>
  <c r="T110" i="2" s="1"/>
  <c r="F107" i="3"/>
  <c r="P107" i="3"/>
  <c r="M116" i="2"/>
  <c r="N116" i="2" s="1"/>
  <c r="S116" i="2"/>
  <c r="T116" i="2" s="1"/>
  <c r="G107" i="3"/>
  <c r="V107" i="3"/>
  <c r="F117" i="2"/>
  <c r="AG117" i="2" s="1"/>
  <c r="C108" i="3"/>
  <c r="K107" i="3"/>
  <c r="J107" i="3"/>
  <c r="O117" i="2" s="1"/>
  <c r="P117" i="2" s="1"/>
  <c r="O107" i="3"/>
  <c r="S107" i="3"/>
  <c r="R107" i="3"/>
  <c r="X103" i="2"/>
  <c r="Q107" i="3"/>
  <c r="U107" i="3"/>
  <c r="I107" i="3"/>
  <c r="L117" i="2" s="1"/>
  <c r="T107" i="3"/>
  <c r="L107" i="3"/>
  <c r="Y116" i="2"/>
  <c r="Z116" i="2" s="1"/>
  <c r="M107" i="3"/>
  <c r="N107" i="3"/>
  <c r="AA116" i="2"/>
  <c r="AB116" i="2" s="1"/>
  <c r="G116" i="2"/>
  <c r="H116" i="2" s="1"/>
  <c r="U116" i="2"/>
  <c r="V116" i="2" s="1"/>
  <c r="Q116" i="2"/>
  <c r="R116" i="2" s="1"/>
  <c r="E7" i="7"/>
  <c r="C96" i="3"/>
  <c r="M111" i="2"/>
  <c r="N111" i="2" s="1"/>
  <c r="S111" i="2"/>
  <c r="T111" i="2" s="1"/>
  <c r="C103" i="3"/>
  <c r="C22" i="7" s="1"/>
  <c r="D22" i="7"/>
  <c r="G98" i="3"/>
  <c r="J108" i="2" s="1"/>
  <c r="G104" i="3"/>
  <c r="G8" i="3"/>
  <c r="AC8" i="3" s="1"/>
  <c r="I21" i="2" s="1"/>
  <c r="I82" i="2" l="1"/>
  <c r="I83" i="2"/>
  <c r="I61" i="2"/>
  <c r="I84" i="2"/>
  <c r="G86" i="3"/>
  <c r="J99" i="2" s="1"/>
  <c r="K99" i="2" s="1"/>
  <c r="G80" i="3"/>
  <c r="J93" i="2" s="1"/>
  <c r="K93" i="2" s="1"/>
  <c r="AC93" i="2" s="1"/>
  <c r="U102" i="3"/>
  <c r="L102" i="3"/>
  <c r="V102" i="3"/>
  <c r="M102" i="3"/>
  <c r="I41" i="2"/>
  <c r="J41" i="2" s="1"/>
  <c r="K41" i="2" s="1"/>
  <c r="AC41" i="2" s="1"/>
  <c r="G79" i="3"/>
  <c r="J92" i="2" s="1"/>
  <c r="K92" i="2" s="1"/>
  <c r="I85" i="2"/>
  <c r="J85" i="2" s="1"/>
  <c r="K85" i="2" s="1"/>
  <c r="AC85" i="2" s="1"/>
  <c r="I102" i="3"/>
  <c r="L112" i="2" s="1"/>
  <c r="F102" i="3"/>
  <c r="S102" i="3"/>
  <c r="P102" i="3"/>
  <c r="J102" i="3"/>
  <c r="O112" i="2" s="1"/>
  <c r="P112" i="2" s="1"/>
  <c r="R102" i="3"/>
  <c r="T102" i="3"/>
  <c r="E103" i="3"/>
  <c r="F113" i="2" s="1"/>
  <c r="AG113" i="2" s="1"/>
  <c r="N102" i="3"/>
  <c r="O102" i="3"/>
  <c r="F112" i="2"/>
  <c r="AG112" i="2" s="1"/>
  <c r="I86" i="2"/>
  <c r="AC54" i="3"/>
  <c r="I67" i="2" s="1"/>
  <c r="J67" i="2" s="1"/>
  <c r="K67" i="2" s="1"/>
  <c r="AC67" i="2" s="1"/>
  <c r="G81" i="3"/>
  <c r="I90" i="2"/>
  <c r="I89" i="2"/>
  <c r="AO89" i="2" s="1"/>
  <c r="I87" i="2"/>
  <c r="I88" i="2"/>
  <c r="AO88" i="2" s="1"/>
  <c r="AC80" i="3"/>
  <c r="I94" i="2" s="1"/>
  <c r="AC86" i="3"/>
  <c r="J60" i="2"/>
  <c r="K60" i="2" s="1"/>
  <c r="AC60" i="2" s="1"/>
  <c r="J61" i="2"/>
  <c r="K61" i="2" s="1"/>
  <c r="AC61" i="2" s="1"/>
  <c r="J59" i="2"/>
  <c r="K59" i="2" s="1"/>
  <c r="AC59" i="2" s="1"/>
  <c r="J82" i="2"/>
  <c r="K82" i="2" s="1"/>
  <c r="AC82" i="2" s="1"/>
  <c r="J83" i="2"/>
  <c r="K83" i="2" s="1"/>
  <c r="AC83" i="2" s="1"/>
  <c r="J81" i="2"/>
  <c r="K81" i="2" s="1"/>
  <c r="AC81" i="2" s="1"/>
  <c r="J76" i="2"/>
  <c r="K76" i="2" s="1"/>
  <c r="AC76" i="2" s="1"/>
  <c r="J38" i="2"/>
  <c r="K38" i="2" s="1"/>
  <c r="AC38" i="2" s="1"/>
  <c r="J30" i="2"/>
  <c r="K30" i="2" s="1"/>
  <c r="AC30" i="2" s="1"/>
  <c r="J26" i="2"/>
  <c r="K26" i="2" s="1"/>
  <c r="AC26" i="2" s="1"/>
  <c r="J64" i="2"/>
  <c r="K64" i="2" s="1"/>
  <c r="AC64" i="2" s="1"/>
  <c r="J31" i="2"/>
  <c r="K31" i="2" s="1"/>
  <c r="AC31" i="2" s="1"/>
  <c r="J36" i="2"/>
  <c r="K36" i="2" s="1"/>
  <c r="AC36" i="2" s="1"/>
  <c r="J62" i="2"/>
  <c r="K62" i="2" s="1"/>
  <c r="AC62" i="2" s="1"/>
  <c r="J84" i="2"/>
  <c r="K84" i="2" s="1"/>
  <c r="AC84" i="2" s="1"/>
  <c r="J33" i="2"/>
  <c r="K33" i="2" s="1"/>
  <c r="AC33" i="2" s="1"/>
  <c r="J25" i="2"/>
  <c r="K25" i="2" s="1"/>
  <c r="AC25" i="2" s="1"/>
  <c r="J39" i="2"/>
  <c r="K39" i="2" s="1"/>
  <c r="AC39" i="2" s="1"/>
  <c r="J77" i="2"/>
  <c r="K77" i="2" s="1"/>
  <c r="AC77" i="2" s="1"/>
  <c r="J52" i="2"/>
  <c r="K52" i="2" s="1"/>
  <c r="AC52" i="2" s="1"/>
  <c r="J75" i="2"/>
  <c r="K75" i="2" s="1"/>
  <c r="AC75" i="2" s="1"/>
  <c r="AC48" i="2"/>
  <c r="J58" i="2"/>
  <c r="K58" i="2" s="1"/>
  <c r="AC58" i="2" s="1"/>
  <c r="J21" i="2"/>
  <c r="K21" i="2" s="1"/>
  <c r="AC21" i="2" s="1"/>
  <c r="J23" i="2"/>
  <c r="K23" i="2" s="1"/>
  <c r="AC23" i="2" s="1"/>
  <c r="J55" i="2"/>
  <c r="K55" i="2" s="1"/>
  <c r="AC55" i="2" s="1"/>
  <c r="J22" i="2"/>
  <c r="K22" i="2" s="1"/>
  <c r="AC22" i="2" s="1"/>
  <c r="J73" i="2"/>
  <c r="K73" i="2" s="1"/>
  <c r="AC73" i="2" s="1"/>
  <c r="J47" i="2"/>
  <c r="K47" i="2" s="1"/>
  <c r="AC47" i="2" s="1"/>
  <c r="J28" i="2"/>
  <c r="K28" i="2" s="1"/>
  <c r="AC28" i="2" s="1"/>
  <c r="J49" i="2"/>
  <c r="K49" i="2" s="1"/>
  <c r="AC49" i="2" s="1"/>
  <c r="J78" i="2"/>
  <c r="K78" i="2" s="1"/>
  <c r="AC78" i="2" s="1"/>
  <c r="J57" i="2"/>
  <c r="K57" i="2" s="1"/>
  <c r="AC57" i="2" s="1"/>
  <c r="J27" i="2"/>
  <c r="K27" i="2" s="1"/>
  <c r="AC27" i="2" s="1"/>
  <c r="AC51" i="2"/>
  <c r="J80" i="2"/>
  <c r="K80" i="2" s="1"/>
  <c r="AC80" i="2" s="1"/>
  <c r="J65" i="2"/>
  <c r="K65" i="2" s="1"/>
  <c r="AC65" i="2" s="1"/>
  <c r="J54" i="2"/>
  <c r="K54" i="2" s="1"/>
  <c r="AC54" i="2" s="1"/>
  <c r="J86" i="2"/>
  <c r="K86" i="2" s="1"/>
  <c r="AC86" i="2" s="1"/>
  <c r="J53" i="2"/>
  <c r="K53" i="2" s="1"/>
  <c r="AC53" i="2" s="1"/>
  <c r="J74" i="2"/>
  <c r="K74" i="2" s="1"/>
  <c r="AC74" i="2" s="1"/>
  <c r="J63" i="2"/>
  <c r="K63" i="2" s="1"/>
  <c r="AC63" i="2" s="1"/>
  <c r="J45" i="2"/>
  <c r="K45" i="2" s="1"/>
  <c r="AC45" i="2" s="1"/>
  <c r="J37" i="2"/>
  <c r="K37" i="2" s="1"/>
  <c r="AC37" i="2" s="1"/>
  <c r="J34" i="2"/>
  <c r="K34" i="2" s="1"/>
  <c r="AC34" i="2" s="1"/>
  <c r="J44" i="2"/>
  <c r="K44" i="2" s="1"/>
  <c r="AC44" i="2" s="1"/>
  <c r="J35" i="2"/>
  <c r="K35" i="2" s="1"/>
  <c r="AC35" i="2" s="1"/>
  <c r="G111" i="2"/>
  <c r="H111" i="2" s="1"/>
  <c r="U111" i="2"/>
  <c r="V111" i="2" s="1"/>
  <c r="G102" i="3"/>
  <c r="J112" i="2" s="1"/>
  <c r="K102" i="3"/>
  <c r="Q102" i="3"/>
  <c r="H103" i="3"/>
  <c r="D37" i="7"/>
  <c r="H108" i="3"/>
  <c r="J110" i="2"/>
  <c r="J111" i="2"/>
  <c r="I109" i="2"/>
  <c r="J109" i="2"/>
  <c r="J116" i="2"/>
  <c r="G83" i="3"/>
  <c r="I115" i="2"/>
  <c r="J115" i="2"/>
  <c r="G82" i="3"/>
  <c r="G85" i="3"/>
  <c r="G84" i="3"/>
  <c r="S117" i="2"/>
  <c r="T117" i="2" s="1"/>
  <c r="L108" i="3"/>
  <c r="O108" i="3"/>
  <c r="T108" i="3"/>
  <c r="S108" i="3"/>
  <c r="F108" i="3"/>
  <c r="C109" i="3"/>
  <c r="V108" i="3"/>
  <c r="R108" i="3"/>
  <c r="J108" i="3"/>
  <c r="O118" i="2" s="1"/>
  <c r="P118" i="2" s="1"/>
  <c r="I108" i="3"/>
  <c r="L118" i="2" s="1"/>
  <c r="M117" i="2"/>
  <c r="N117" i="2" s="1"/>
  <c r="Q108" i="3"/>
  <c r="J117" i="2"/>
  <c r="G108" i="3"/>
  <c r="K108" i="3"/>
  <c r="P108" i="3"/>
  <c r="U108" i="3"/>
  <c r="I117" i="2"/>
  <c r="M108" i="3"/>
  <c r="F118" i="2"/>
  <c r="AG118" i="2" s="1"/>
  <c r="N108" i="3"/>
  <c r="Y117" i="2"/>
  <c r="Z117" i="2" s="1"/>
  <c r="AA117" i="2"/>
  <c r="AB117" i="2" s="1"/>
  <c r="U117" i="2"/>
  <c r="V117" i="2" s="1"/>
  <c r="G117" i="2"/>
  <c r="H117" i="2" s="1"/>
  <c r="Q117" i="2"/>
  <c r="R117" i="2" s="1"/>
  <c r="D7" i="7"/>
  <c r="C97" i="3"/>
  <c r="C7" i="7" s="1"/>
  <c r="J114" i="2"/>
  <c r="I114" i="2"/>
  <c r="I108" i="2"/>
  <c r="J103" i="3" l="1"/>
  <c r="O113" i="2" s="1"/>
  <c r="P113" i="2" s="1"/>
  <c r="T103" i="3"/>
  <c r="U103" i="3"/>
  <c r="N103" i="3"/>
  <c r="V103" i="3"/>
  <c r="K103" i="3"/>
  <c r="M103" i="3"/>
  <c r="Q113" i="2" s="1"/>
  <c r="R113" i="2" s="1"/>
  <c r="O103" i="3"/>
  <c r="P103" i="3"/>
  <c r="S113" i="2" s="1"/>
  <c r="T113" i="2" s="1"/>
  <c r="Q103" i="3"/>
  <c r="Y113" i="2" s="1"/>
  <c r="Z113" i="2" s="1"/>
  <c r="F103" i="3"/>
  <c r="R103" i="3"/>
  <c r="G103" i="3"/>
  <c r="J113" i="2" s="1"/>
  <c r="L103" i="3"/>
  <c r="I103" i="3"/>
  <c r="L113" i="2" s="1"/>
  <c r="S103" i="3"/>
  <c r="U112" i="2"/>
  <c r="V112" i="2" s="1"/>
  <c r="G112" i="2"/>
  <c r="H112" i="2" s="1"/>
  <c r="Q112" i="2"/>
  <c r="R112" i="2" s="1"/>
  <c r="S112" i="2"/>
  <c r="T112" i="2" s="1"/>
  <c r="AA112" i="2"/>
  <c r="AB112" i="2" s="1"/>
  <c r="D88" i="12"/>
  <c r="D89" i="12"/>
  <c r="D87" i="12"/>
  <c r="D90" i="12"/>
  <c r="Y112" i="2"/>
  <c r="Z112" i="2" s="1"/>
  <c r="M112" i="2"/>
  <c r="N112" i="2" s="1"/>
  <c r="AC79" i="3"/>
  <c r="I93" i="2" s="1"/>
  <c r="AD93" i="2" s="1"/>
  <c r="J94" i="2"/>
  <c r="K94" i="2" s="1"/>
  <c r="AC94" i="2" s="1"/>
  <c r="AC81" i="3"/>
  <c r="I95" i="2" s="1"/>
  <c r="J87" i="2"/>
  <c r="AO87" i="2" s="1"/>
  <c r="AO86" i="2"/>
  <c r="AD86" i="2" s="1"/>
  <c r="AE86" i="2" s="1"/>
  <c r="J97" i="2"/>
  <c r="K97" i="2" s="1"/>
  <c r="AC84" i="3"/>
  <c r="I98" i="2" s="1"/>
  <c r="J98" i="2"/>
  <c r="K98" i="2" s="1"/>
  <c r="AC85" i="3"/>
  <c r="I99" i="2" s="1"/>
  <c r="J95" i="2"/>
  <c r="AC82" i="3"/>
  <c r="I96" i="2" s="1"/>
  <c r="J96" i="2"/>
  <c r="K96" i="2" s="1"/>
  <c r="AC96" i="2" s="1"/>
  <c r="AC83" i="3"/>
  <c r="I97" i="2" s="1"/>
  <c r="I112" i="2"/>
  <c r="C37" i="7"/>
  <c r="H109" i="3"/>
  <c r="S118" i="2"/>
  <c r="T118" i="2" s="1"/>
  <c r="L109" i="3"/>
  <c r="F119" i="2"/>
  <c r="AG119" i="2" s="1"/>
  <c r="R109" i="3"/>
  <c r="V109" i="3"/>
  <c r="F109" i="3"/>
  <c r="Y118" i="2"/>
  <c r="Z118" i="2" s="1"/>
  <c r="AA118" i="2"/>
  <c r="AB118" i="2" s="1"/>
  <c r="I118" i="2"/>
  <c r="M109" i="3"/>
  <c r="U109" i="3"/>
  <c r="T109" i="3"/>
  <c r="N109" i="3"/>
  <c r="Q109" i="3"/>
  <c r="J109" i="3"/>
  <c r="O119" i="2" s="1"/>
  <c r="P119" i="2" s="1"/>
  <c r="P109" i="3"/>
  <c r="O109" i="3"/>
  <c r="S109" i="3"/>
  <c r="G109" i="3"/>
  <c r="K109" i="3"/>
  <c r="I109" i="3"/>
  <c r="L119" i="2" s="1"/>
  <c r="U118" i="2"/>
  <c r="V118" i="2" s="1"/>
  <c r="Q118" i="2"/>
  <c r="R118" i="2" s="1"/>
  <c r="J118" i="2"/>
  <c r="M118" i="2"/>
  <c r="N118" i="2" s="1"/>
  <c r="G118" i="2"/>
  <c r="H118" i="2" s="1"/>
  <c r="AD87" i="2"/>
  <c r="AE87" i="2" s="1"/>
  <c r="G113" i="2" l="1"/>
  <c r="U113" i="2"/>
  <c r="V113" i="2" s="1"/>
  <c r="AA113" i="2"/>
  <c r="AB113" i="2" s="1"/>
  <c r="I113" i="2"/>
  <c r="M113" i="2"/>
  <c r="AD94" i="2"/>
  <c r="AD96" i="2"/>
  <c r="K95" i="2"/>
  <c r="AC95" i="2" s="1"/>
  <c r="AA119" i="2"/>
  <c r="AB119" i="2" s="1"/>
  <c r="U119" i="2"/>
  <c r="V119" i="2" s="1"/>
  <c r="I119" i="2"/>
  <c r="Y119" i="2"/>
  <c r="Z119" i="2" s="1"/>
  <c r="Q119" i="2"/>
  <c r="R119" i="2" s="1"/>
  <c r="M119" i="2"/>
  <c r="G119" i="2"/>
  <c r="S119" i="2"/>
  <c r="T119" i="2" s="1"/>
  <c r="J119" i="2"/>
  <c r="N113" i="2"/>
  <c r="H113" i="2"/>
  <c r="AD95" i="2" l="1"/>
  <c r="H119" i="2"/>
  <c r="N119" i="2"/>
  <c r="X119" i="2"/>
  <c r="X107" i="2"/>
  <c r="K9" i="8"/>
  <c r="W91" i="2" l="1"/>
  <c r="J8" i="1" l="1"/>
  <c r="J7" i="12"/>
  <c r="X91" i="2"/>
  <c r="W20" i="2"/>
  <c r="X20" i="2" s="1"/>
  <c r="AB130" i="2" l="1"/>
  <c r="Z130" i="2"/>
  <c r="X130" i="2"/>
  <c r="V130" i="2"/>
  <c r="T130" i="2"/>
  <c r="R130" i="2"/>
  <c r="P130" i="2"/>
  <c r="N130" i="2"/>
  <c r="K130" i="2"/>
  <c r="H130" i="2"/>
  <c r="AO56" i="2" l="1"/>
  <c r="AD56" i="2" s="1"/>
  <c r="AE56" i="2" s="1"/>
  <c r="AO48" i="2"/>
  <c r="AD48" i="2" s="1"/>
  <c r="AE48" i="2" s="1"/>
  <c r="AO51" i="2"/>
  <c r="AD51" i="2" s="1"/>
  <c r="AE51" i="2" s="1"/>
  <c r="AO47" i="2"/>
  <c r="AD47" i="2" s="1"/>
  <c r="AE47" i="2" s="1"/>
  <c r="AO73" i="2"/>
  <c r="AD73" i="2" s="1"/>
  <c r="AE73" i="2" s="1"/>
  <c r="AO30" i="2"/>
  <c r="AD30" i="2" s="1"/>
  <c r="AE30" i="2" s="1"/>
  <c r="AO25" i="2"/>
  <c r="AD25" i="2" s="1"/>
  <c r="AE25" i="2" s="1"/>
  <c r="AO33" i="2"/>
  <c r="AD33" i="2" s="1"/>
  <c r="AE33" i="2" s="1"/>
  <c r="AO59" i="2"/>
  <c r="AD59" i="2" s="1"/>
  <c r="AE59" i="2" s="1"/>
  <c r="AO62" i="2"/>
  <c r="AD62" i="2" s="1"/>
  <c r="AE62" i="2" s="1"/>
  <c r="AO82" i="2"/>
  <c r="AD82" i="2" s="1"/>
  <c r="AE82" i="2" s="1"/>
  <c r="AO31" i="2"/>
  <c r="AD31" i="2" s="1"/>
  <c r="AE31" i="2" s="1"/>
  <c r="AO44" i="2"/>
  <c r="AD44" i="2" s="1"/>
  <c r="AE44" i="2" s="1"/>
  <c r="AO76" i="2"/>
  <c r="AD76" i="2" s="1"/>
  <c r="AE76" i="2" s="1"/>
  <c r="AO21" i="2"/>
  <c r="AD21" i="2" s="1"/>
  <c r="AE21" i="2" s="1"/>
  <c r="AO67" i="2"/>
  <c r="AD67" i="2" s="1"/>
  <c r="AE67" i="2" s="1"/>
  <c r="AO52" i="2"/>
  <c r="AD52" i="2" s="1"/>
  <c r="AE52" i="2" s="1"/>
  <c r="AO55" i="2"/>
  <c r="AD55" i="2" s="1"/>
  <c r="AE55" i="2" s="1"/>
  <c r="AO45" i="2"/>
  <c r="AD45" i="2" s="1"/>
  <c r="AE45" i="2" s="1"/>
  <c r="AO23" i="2"/>
  <c r="AD23" i="2" s="1"/>
  <c r="AE23" i="2" s="1"/>
  <c r="AO53" i="2"/>
  <c r="AD53" i="2" s="1"/>
  <c r="AE53" i="2" s="1"/>
  <c r="AO39" i="2"/>
  <c r="AD39" i="2" s="1"/>
  <c r="AE39" i="2" s="1"/>
  <c r="AO65" i="2"/>
  <c r="AD65" i="2" s="1"/>
  <c r="AE65" i="2" s="1"/>
  <c r="AO64" i="2"/>
  <c r="AD64" i="2" s="1"/>
  <c r="AE64" i="2" s="1"/>
  <c r="AO49" i="2"/>
  <c r="AD49" i="2" s="1"/>
  <c r="AE49" i="2" s="1"/>
  <c r="AO63" i="2"/>
  <c r="AD63" i="2" s="1"/>
  <c r="AE63" i="2" s="1"/>
  <c r="AO22" i="2"/>
  <c r="AD22" i="2" s="1"/>
  <c r="AE22" i="2" s="1"/>
  <c r="AO57" i="2"/>
  <c r="AD57" i="2" s="1"/>
  <c r="AE57" i="2" s="1"/>
  <c r="AO36" i="2"/>
  <c r="AD36" i="2" s="1"/>
  <c r="AE36" i="2" s="1"/>
  <c r="AO80" i="2"/>
  <c r="AD80" i="2" s="1"/>
  <c r="AE80" i="2" s="1"/>
  <c r="AO60" i="2"/>
  <c r="AD60" i="2" s="1"/>
  <c r="AE60" i="2" s="1"/>
  <c r="AO77" i="2"/>
  <c r="AD77" i="2" s="1"/>
  <c r="AE77" i="2" s="1"/>
  <c r="AO74" i="2"/>
  <c r="AD74" i="2" s="1"/>
  <c r="AE74" i="2" s="1"/>
  <c r="AO61" i="2"/>
  <c r="AD61" i="2" s="1"/>
  <c r="AE61" i="2" s="1"/>
  <c r="AO81" i="2"/>
  <c r="AD81" i="2" s="1"/>
  <c r="AE81" i="2" s="1"/>
  <c r="AO85" i="2"/>
  <c r="AD85" i="2" s="1"/>
  <c r="AE85" i="2" s="1"/>
  <c r="AO34" i="2"/>
  <c r="AD34" i="2" s="1"/>
  <c r="AE34" i="2" s="1"/>
  <c r="AO37" i="2"/>
  <c r="AD37" i="2" s="1"/>
  <c r="AE37" i="2" s="1"/>
  <c r="AO35" i="2"/>
  <c r="AD35" i="2" s="1"/>
  <c r="AE35" i="2" s="1"/>
  <c r="AO78" i="2"/>
  <c r="AD78" i="2" s="1"/>
  <c r="AE78" i="2" s="1"/>
  <c r="AO58" i="2"/>
  <c r="AD58" i="2" s="1"/>
  <c r="AE58" i="2" s="1"/>
  <c r="AO84" i="2"/>
  <c r="AD84" i="2" s="1"/>
  <c r="AE84" i="2" s="1"/>
  <c r="AO38" i="2"/>
  <c r="AD38" i="2" s="1"/>
  <c r="AE38" i="2" s="1"/>
  <c r="AO27" i="2"/>
  <c r="AD27" i="2" s="1"/>
  <c r="AE27" i="2" s="1"/>
  <c r="AO83" i="2"/>
  <c r="AD83" i="2" s="1"/>
  <c r="AE83" i="2" s="1"/>
  <c r="AO75" i="2"/>
  <c r="AD75" i="2" s="1"/>
  <c r="AE75" i="2" s="1"/>
  <c r="AO26" i="2"/>
  <c r="AD26" i="2" s="1"/>
  <c r="AE26" i="2" s="1"/>
  <c r="AO42" i="2"/>
  <c r="AD42" i="2" s="1"/>
  <c r="AE42" i="2" s="1"/>
  <c r="AO54" i="2"/>
  <c r="AD54" i="2" s="1"/>
  <c r="AE54" i="2" s="1"/>
  <c r="AO28" i="2"/>
  <c r="AD28" i="2" s="1"/>
  <c r="AE28" i="2" s="1"/>
  <c r="AO46" i="2"/>
  <c r="AD46" i="2" s="1"/>
  <c r="AE46" i="2" s="1"/>
  <c r="AO50" i="2"/>
  <c r="AD50" i="2" s="1"/>
  <c r="AE50" i="2" s="1"/>
  <c r="AO71" i="2"/>
  <c r="AD71" i="2" s="1"/>
  <c r="AE71" i="2" s="1"/>
  <c r="AO70" i="2"/>
  <c r="AD70" i="2" s="1"/>
  <c r="AE70" i="2" s="1"/>
  <c r="AO72" i="2"/>
  <c r="AD72" i="2" s="1"/>
  <c r="AE72" i="2" s="1"/>
  <c r="AO69" i="2"/>
  <c r="AD69" i="2" s="1"/>
  <c r="AE69" i="2" s="1"/>
  <c r="AO40" i="2"/>
  <c r="AD40" i="2" s="1"/>
  <c r="AE40" i="2" s="1"/>
  <c r="AO32" i="2"/>
  <c r="AD32" i="2" s="1"/>
  <c r="AE32" i="2" s="1"/>
  <c r="AO41" i="2"/>
  <c r="AD41" i="2" s="1"/>
  <c r="AE41" i="2" s="1"/>
  <c r="AO79" i="2"/>
  <c r="AD79" i="2" s="1"/>
  <c r="AE79" i="2" s="1"/>
  <c r="AO43" i="2"/>
  <c r="AD43" i="2" s="1"/>
  <c r="AE43" i="2" s="1"/>
  <c r="AO68" i="2"/>
  <c r="AD68" i="2" s="1"/>
  <c r="AE68" i="2" s="1"/>
  <c r="AO24" i="2"/>
  <c r="AD24" i="2" s="1"/>
  <c r="AE24" i="2" s="1"/>
  <c r="AO66" i="2"/>
  <c r="AD66" i="2" s="1"/>
  <c r="AE66" i="2" s="1"/>
  <c r="AC130" i="2"/>
  <c r="M88" i="12" l="1"/>
  <c r="M87" i="12"/>
  <c r="M89" i="12"/>
  <c r="M90" i="12"/>
  <c r="AE95" i="2"/>
  <c r="AE93" i="2"/>
  <c r="AE98" i="2"/>
  <c r="AE99" i="2"/>
  <c r="AE97" i="2"/>
  <c r="AE94" i="2"/>
  <c r="AE96" i="2"/>
  <c r="S1086" i="5"/>
  <c r="S1088" i="5"/>
  <c r="S1091" i="5"/>
  <c r="S1093" i="5"/>
  <c r="S1096" i="5"/>
  <c r="S1097" i="5"/>
  <c r="S1098" i="5"/>
  <c r="S1101" i="5"/>
  <c r="S1102" i="5"/>
  <c r="S1103" i="5"/>
  <c r="S1106" i="5"/>
  <c r="S1107" i="5"/>
  <c r="S1108" i="5"/>
  <c r="S1111" i="5"/>
  <c r="S1112" i="5"/>
  <c r="S1113" i="5"/>
  <c r="S1116" i="5"/>
  <c r="S1117" i="5"/>
  <c r="S1118" i="5"/>
  <c r="S1121" i="5"/>
  <c r="S1122" i="5"/>
  <c r="S1123" i="5"/>
  <c r="S1124" i="5"/>
  <c r="S1127" i="5"/>
  <c r="S1128" i="5"/>
  <c r="S1129" i="5"/>
  <c r="S1130" i="5"/>
  <c r="S1131" i="5"/>
  <c r="S1132" i="5"/>
  <c r="S1134" i="5"/>
  <c r="S1135" i="5"/>
  <c r="S1137" i="5"/>
  <c r="S1138" i="5"/>
  <c r="S1139" i="5"/>
  <c r="S1141" i="5"/>
  <c r="S1142" i="5"/>
  <c r="S1143" i="5"/>
  <c r="S1144" i="5"/>
  <c r="S1146" i="5"/>
  <c r="S1147" i="5"/>
  <c r="S1148" i="5"/>
  <c r="S1149" i="5"/>
  <c r="S1150" i="5"/>
  <c r="S1151" i="5"/>
  <c r="S1152" i="5"/>
  <c r="S1153" i="5"/>
  <c r="S1154" i="5"/>
  <c r="S1155" i="5"/>
  <c r="S1156" i="5"/>
  <c r="S1157" i="5"/>
  <c r="S1158" i="5"/>
  <c r="S1159" i="5"/>
  <c r="S1160" i="5"/>
  <c r="S1161" i="5"/>
  <c r="S1162" i="5"/>
  <c r="T1066" i="5"/>
  <c r="T1072" i="5"/>
  <c r="T1075" i="5"/>
  <c r="T1082" i="5"/>
  <c r="T1086" i="5"/>
  <c r="T1088" i="5"/>
  <c r="T1091" i="5"/>
  <c r="T1093" i="5"/>
  <c r="T1096" i="5"/>
  <c r="T1098" i="5"/>
  <c r="T1101" i="5"/>
  <c r="T1103" i="5"/>
  <c r="T1106" i="5"/>
  <c r="T1108" i="5"/>
  <c r="T1111" i="5"/>
  <c r="T1113" i="5"/>
  <c r="T1116" i="5"/>
  <c r="T1118" i="5"/>
  <c r="T1121" i="5"/>
  <c r="T1122" i="5"/>
  <c r="T1123" i="5"/>
  <c r="T1124" i="5"/>
  <c r="T1128" i="5"/>
  <c r="T1129" i="5"/>
  <c r="T1131" i="5"/>
  <c r="T1132" i="5"/>
  <c r="T1134" i="5"/>
  <c r="T1135" i="5"/>
  <c r="T1138" i="5"/>
  <c r="T1139" i="5"/>
  <c r="T1142" i="5"/>
  <c r="T1143" i="5"/>
  <c r="T1144" i="5"/>
  <c r="T1147" i="5"/>
  <c r="T1148" i="5"/>
  <c r="T1149" i="5"/>
  <c r="T1152" i="5"/>
  <c r="T1153" i="5"/>
  <c r="T1154" i="5"/>
  <c r="T1157" i="5"/>
  <c r="T1158" i="5"/>
  <c r="T1159" i="5"/>
  <c r="T1162" i="5"/>
  <c r="T1110" i="5" l="1"/>
  <c r="T1120" i="5"/>
  <c r="T1141" i="5"/>
  <c r="T1126" i="5"/>
  <c r="S1114" i="5"/>
  <c r="T1080" i="5"/>
  <c r="S1057" i="5"/>
  <c r="S1063" i="5"/>
  <c r="T1063" i="5"/>
  <c r="T1067" i="5"/>
  <c r="T1068" i="5"/>
  <c r="T1100" i="5"/>
  <c r="S1052" i="5"/>
  <c r="S1054" i="5"/>
  <c r="S1062" i="5"/>
  <c r="S1064" i="5"/>
  <c r="S929" i="5"/>
  <c r="S934" i="5"/>
  <c r="S939" i="5"/>
  <c r="S944" i="5"/>
  <c r="S949" i="5"/>
  <c r="S955" i="5"/>
  <c r="S960" i="5"/>
  <c r="S963" i="5"/>
  <c r="S968" i="5"/>
  <c r="S970" i="5"/>
  <c r="S972" i="5"/>
  <c r="S974" i="5"/>
  <c r="S977" i="5"/>
  <c r="S979" i="5"/>
  <c r="S980" i="5"/>
  <c r="S982" i="5"/>
  <c r="S984" i="5"/>
  <c r="S985" i="5"/>
  <c r="S987" i="5"/>
  <c r="S989" i="5"/>
  <c r="S990" i="5"/>
  <c r="S991" i="5"/>
  <c r="S992" i="5"/>
  <c r="S994" i="5"/>
  <c r="S995" i="5"/>
  <c r="S996" i="5"/>
  <c r="S997" i="5"/>
  <c r="S999" i="5"/>
  <c r="S1000" i="5"/>
  <c r="S1001" i="5"/>
  <c r="S1002" i="5"/>
  <c r="S1004" i="5"/>
  <c r="S1005" i="5"/>
  <c r="S1006" i="5"/>
  <c r="S1007" i="5"/>
  <c r="S1009" i="5"/>
  <c r="S1010" i="5"/>
  <c r="S1011" i="5"/>
  <c r="S1012" i="5"/>
  <c r="S1014" i="5"/>
  <c r="S1016" i="5"/>
  <c r="S1017" i="5"/>
  <c r="S1018" i="5"/>
  <c r="S1019" i="5"/>
  <c r="S1020" i="5"/>
  <c r="S1021" i="5"/>
  <c r="S1022" i="5"/>
  <c r="S1023" i="5"/>
  <c r="S1024" i="5"/>
  <c r="S1025" i="5"/>
  <c r="S1026" i="5"/>
  <c r="S1027" i="5"/>
  <c r="S1028" i="5"/>
  <c r="S1029" i="5"/>
  <c r="S1030" i="5"/>
  <c r="S1031" i="5"/>
  <c r="S1032" i="5"/>
  <c r="S1033" i="5"/>
  <c r="S1034" i="5"/>
  <c r="S1035" i="5"/>
  <c r="S1036" i="5"/>
  <c r="S1037" i="5"/>
  <c r="S1038" i="5"/>
  <c r="S1039" i="5"/>
  <c r="S1040" i="5"/>
  <c r="S1041" i="5"/>
  <c r="S1042" i="5"/>
  <c r="S1043" i="5"/>
  <c r="S1044" i="5"/>
  <c r="S1045" i="5"/>
  <c r="S1046" i="5"/>
  <c r="S1047" i="5"/>
  <c r="S1048" i="5"/>
  <c r="S1049" i="5"/>
  <c r="S1050" i="5"/>
  <c r="S1051" i="5"/>
  <c r="S1053" i="5"/>
  <c r="S1056" i="5"/>
  <c r="S1058" i="5"/>
  <c r="S1059" i="5"/>
  <c r="S1061" i="5"/>
  <c r="S1065" i="5"/>
  <c r="S1071" i="5"/>
  <c r="S1075" i="5"/>
  <c r="S1076" i="5"/>
  <c r="S1077" i="5"/>
  <c r="S1084" i="5"/>
  <c r="S1085" i="5"/>
  <c r="S1092" i="5"/>
  <c r="S1094" i="5"/>
  <c r="S1104" i="5"/>
  <c r="T1058" i="5"/>
  <c r="T1071" i="5"/>
  <c r="T1051" i="5"/>
  <c r="T1053" i="5"/>
  <c r="T1079" i="5"/>
  <c r="T1014" i="5"/>
  <c r="T1017" i="5"/>
  <c r="T1022" i="5"/>
  <c r="T1024" i="5"/>
  <c r="T928" i="5"/>
  <c r="T933" i="5"/>
  <c r="T938" i="5"/>
  <c r="T943" i="5"/>
  <c r="T948" i="5"/>
  <c r="T953" i="5"/>
  <c r="T959" i="5"/>
  <c r="T962" i="5"/>
  <c r="T965" i="5"/>
  <c r="T968" i="5"/>
  <c r="T969" i="5"/>
  <c r="T970" i="5"/>
  <c r="T972" i="5"/>
  <c r="T973" i="5"/>
  <c r="T974" i="5"/>
  <c r="T977" i="5"/>
  <c r="T978" i="5"/>
  <c r="T979" i="5"/>
  <c r="T982" i="5"/>
  <c r="T983" i="5"/>
  <c r="T984" i="5"/>
  <c r="T987" i="5"/>
  <c r="T988" i="5"/>
  <c r="T989" i="5"/>
  <c r="T992" i="5"/>
  <c r="T993" i="5"/>
  <c r="T994" i="5"/>
  <c r="T997" i="5"/>
  <c r="T998" i="5"/>
  <c r="T999" i="5"/>
  <c r="T1002" i="5"/>
  <c r="T1003" i="5"/>
  <c r="T1004" i="5"/>
  <c r="T1007" i="5"/>
  <c r="T1008" i="5"/>
  <c r="T1009" i="5"/>
  <c r="T1010" i="5"/>
  <c r="T1011" i="5"/>
  <c r="T1015" i="5"/>
  <c r="T1016" i="5"/>
  <c r="T1018" i="5"/>
  <c r="T1019" i="5"/>
  <c r="T1021" i="5"/>
  <c r="T1025" i="5"/>
  <c r="T1026" i="5"/>
  <c r="T1028" i="5"/>
  <c r="T1029" i="5"/>
  <c r="T1030" i="5"/>
  <c r="T1031" i="5"/>
  <c r="T1033" i="5"/>
  <c r="T1034" i="5"/>
  <c r="T1035" i="5"/>
  <c r="T1036" i="5"/>
  <c r="T1038" i="5"/>
  <c r="T1039" i="5"/>
  <c r="T1040" i="5"/>
  <c r="T1041" i="5"/>
  <c r="T1043" i="5"/>
  <c r="T1044" i="5"/>
  <c r="T1045" i="5"/>
  <c r="T1046" i="5"/>
  <c r="T1048" i="5"/>
  <c r="T1049" i="5"/>
  <c r="T1050" i="5"/>
  <c r="T890" i="5" l="1"/>
  <c r="T885" i="5"/>
  <c r="S911" i="5"/>
  <c r="S906" i="5"/>
  <c r="S901" i="5"/>
  <c r="S895" i="5"/>
  <c r="S890" i="5"/>
  <c r="S885" i="5"/>
  <c r="T908" i="5"/>
  <c r="T905" i="5"/>
  <c r="T900" i="5"/>
  <c r="T894" i="5"/>
  <c r="T889" i="5"/>
  <c r="T893" i="5"/>
  <c r="T888" i="5"/>
  <c r="S935" i="5"/>
  <c r="S928" i="5"/>
  <c r="S923" i="5"/>
  <c r="S918" i="5"/>
  <c r="S914" i="5"/>
  <c r="S907" i="5"/>
  <c r="S904" i="5"/>
  <c r="S898" i="5"/>
  <c r="S893" i="5"/>
  <c r="S888" i="5"/>
  <c r="T913" i="5"/>
  <c r="T910" i="5"/>
  <c r="T903" i="5"/>
  <c r="T897" i="5"/>
  <c r="T892" i="5"/>
  <c r="T887" i="5"/>
  <c r="S933" i="5"/>
  <c r="S927" i="5"/>
  <c r="S922" i="5"/>
  <c r="S917" i="5"/>
  <c r="S913" i="5"/>
  <c r="S910" i="5"/>
  <c r="S903" i="5"/>
  <c r="S897" i="5"/>
  <c r="S892" i="5"/>
  <c r="S887" i="5"/>
  <c r="T916" i="5"/>
  <c r="T912" i="5"/>
  <c r="T909" i="5"/>
  <c r="T902" i="5"/>
  <c r="T896" i="5"/>
  <c r="T891" i="5"/>
  <c r="T886" i="5"/>
  <c r="S938" i="5"/>
  <c r="S932" i="5"/>
  <c r="S926" i="5"/>
  <c r="S921" i="5"/>
  <c r="S916" i="5"/>
  <c r="S912" i="5"/>
  <c r="S909" i="5"/>
  <c r="S902" i="5"/>
  <c r="S896" i="5"/>
  <c r="S891" i="5"/>
  <c r="S886" i="5"/>
  <c r="T990" i="5"/>
  <c r="T976" i="5"/>
  <c r="T967" i="5"/>
  <c r="S961" i="5"/>
  <c r="S953" i="5"/>
  <c r="S947" i="5"/>
  <c r="S941" i="5"/>
  <c r="T966" i="5"/>
  <c r="S959" i="5"/>
  <c r="S952" i="5"/>
  <c r="S946" i="5"/>
  <c r="S940" i="5"/>
  <c r="S958" i="5"/>
  <c r="S951" i="5"/>
  <c r="S945" i="5"/>
  <c r="T1047" i="5"/>
  <c r="T1006" i="5"/>
  <c r="T768" i="5"/>
  <c r="T773" i="5"/>
  <c r="T811" i="5"/>
  <c r="T816" i="5"/>
  <c r="T821" i="5"/>
  <c r="T826" i="5"/>
  <c r="T812" i="5"/>
  <c r="T817" i="5"/>
  <c r="T822" i="5"/>
  <c r="T827" i="5"/>
  <c r="T778" i="5"/>
  <c r="T783" i="5"/>
  <c r="T788" i="5"/>
  <c r="T794" i="5"/>
  <c r="T797" i="5"/>
  <c r="T804" i="5"/>
  <c r="T808" i="5"/>
  <c r="T813" i="5"/>
  <c r="T818" i="5"/>
  <c r="T823" i="5"/>
  <c r="T828" i="5"/>
  <c r="T819" i="5"/>
  <c r="T824" i="5"/>
  <c r="T829" i="5"/>
  <c r="T791" i="5"/>
  <c r="T796" i="5"/>
  <c r="T801" i="5"/>
  <c r="T789" i="5"/>
  <c r="T810" i="5"/>
  <c r="T815" i="5"/>
  <c r="T820" i="5"/>
  <c r="T825" i="5"/>
  <c r="S861" i="5"/>
  <c r="S866" i="5"/>
  <c r="S871" i="5"/>
  <c r="S876" i="5"/>
  <c r="S881" i="5"/>
  <c r="T831" i="5"/>
  <c r="T836" i="5"/>
  <c r="T841" i="5"/>
  <c r="T847" i="5"/>
  <c r="T854" i="5"/>
  <c r="T857" i="5"/>
  <c r="T861" i="5"/>
  <c r="T866" i="5"/>
  <c r="T871" i="5"/>
  <c r="T876" i="5"/>
  <c r="T881" i="5"/>
  <c r="S867" i="5"/>
  <c r="S872" i="5"/>
  <c r="S877" i="5"/>
  <c r="S882" i="5"/>
  <c r="T832" i="5"/>
  <c r="T837" i="5"/>
  <c r="T842" i="5"/>
  <c r="T848" i="5"/>
  <c r="T855" i="5"/>
  <c r="T858" i="5"/>
  <c r="T862" i="5"/>
  <c r="T867" i="5"/>
  <c r="T872" i="5"/>
  <c r="T877" i="5"/>
  <c r="T882" i="5"/>
  <c r="T833" i="5"/>
  <c r="T838" i="5"/>
  <c r="T843" i="5"/>
  <c r="T849" i="5"/>
  <c r="T852" i="5"/>
  <c r="T859" i="5"/>
  <c r="T863" i="5"/>
  <c r="T868" i="5"/>
  <c r="T873" i="5"/>
  <c r="T878" i="5"/>
  <c r="T883" i="5"/>
  <c r="T834" i="5"/>
  <c r="T839" i="5"/>
  <c r="T845" i="5"/>
  <c r="T850" i="5"/>
  <c r="T853" i="5"/>
  <c r="T860" i="5"/>
  <c r="T864" i="5"/>
  <c r="T869" i="5"/>
  <c r="T874" i="5"/>
  <c r="T879" i="5"/>
  <c r="T884" i="5"/>
  <c r="S840" i="5"/>
  <c r="S846" i="5"/>
  <c r="S851" i="5"/>
  <c r="S856" i="5"/>
  <c r="S844" i="5"/>
  <c r="S865" i="5"/>
  <c r="S870" i="5"/>
  <c r="S875" i="5"/>
  <c r="S880" i="5"/>
  <c r="T830" i="5"/>
  <c r="T835" i="5"/>
  <c r="T840" i="5"/>
  <c r="T846" i="5"/>
  <c r="T851" i="5"/>
  <c r="T856" i="5"/>
  <c r="T844" i="5"/>
  <c r="T865" i="5"/>
  <c r="T870" i="5"/>
  <c r="T875" i="5"/>
  <c r="T880" i="5"/>
  <c r="T1057" i="5" l="1"/>
  <c r="T1052" i="5"/>
  <c r="S801" i="5" l="1"/>
  <c r="S834" i="5"/>
  <c r="S847" i="5"/>
  <c r="S720" i="5"/>
  <c r="S722" i="5"/>
  <c r="S725" i="5"/>
  <c r="S728" i="5"/>
  <c r="S665" i="5"/>
  <c r="S667" i="5"/>
  <c r="S668" i="5"/>
  <c r="S669" i="5"/>
  <c r="S670" i="5"/>
  <c r="S672" i="5"/>
  <c r="S673" i="5"/>
  <c r="S674" i="5"/>
  <c r="S675" i="5"/>
  <c r="S677" i="5"/>
  <c r="S678" i="5"/>
  <c r="S679" i="5"/>
  <c r="S680" i="5"/>
  <c r="S681" i="5"/>
  <c r="S683" i="5"/>
  <c r="S684" i="5"/>
  <c r="S685" i="5"/>
  <c r="S686" i="5"/>
  <c r="S687" i="5"/>
  <c r="S688" i="5"/>
  <c r="S690" i="5"/>
  <c r="S691" i="5"/>
  <c r="S693" i="5"/>
  <c r="S694" i="5"/>
  <c r="S695" i="5"/>
  <c r="S697" i="5"/>
  <c r="S698" i="5"/>
  <c r="S699" i="5"/>
  <c r="S700" i="5"/>
  <c r="S702" i="5"/>
  <c r="S703" i="5"/>
  <c r="S704" i="5"/>
  <c r="S705" i="5"/>
  <c r="S707" i="5"/>
  <c r="S708" i="5"/>
  <c r="S709" i="5"/>
  <c r="S710" i="5"/>
  <c r="S712" i="5"/>
  <c r="S713" i="5"/>
  <c r="S714" i="5"/>
  <c r="S715" i="5"/>
  <c r="S717" i="5"/>
  <c r="S718" i="5"/>
  <c r="S719" i="5"/>
  <c r="S723" i="5"/>
  <c r="S724" i="5"/>
  <c r="S726" i="5"/>
  <c r="S727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68" i="5"/>
  <c r="S770" i="5"/>
  <c r="S771" i="5"/>
  <c r="S773" i="5"/>
  <c r="S775" i="5"/>
  <c r="S776" i="5"/>
  <c r="S777" i="5"/>
  <c r="S778" i="5"/>
  <c r="S779" i="5"/>
  <c r="S782" i="5"/>
  <c r="S784" i="5"/>
  <c r="S788" i="5"/>
  <c r="S791" i="5"/>
  <c r="S795" i="5"/>
  <c r="S802" i="5"/>
  <c r="S807" i="5"/>
  <c r="S814" i="5"/>
  <c r="S823" i="5"/>
  <c r="S824" i="5"/>
  <c r="S859" i="5"/>
  <c r="S879" i="5"/>
  <c r="T720" i="5"/>
  <c r="T722" i="5"/>
  <c r="T725" i="5"/>
  <c r="T728" i="5"/>
  <c r="T672" i="5"/>
  <c r="T677" i="5"/>
  <c r="T678" i="5"/>
  <c r="T679" i="5"/>
  <c r="T683" i="5"/>
  <c r="T684" i="5"/>
  <c r="T686" i="5"/>
  <c r="T687" i="5"/>
  <c r="T688" i="5"/>
  <c r="T690" i="5"/>
  <c r="T691" i="5"/>
  <c r="T693" i="5"/>
  <c r="T694" i="5"/>
  <c r="T695" i="5"/>
  <c r="T697" i="5"/>
  <c r="T698" i="5"/>
  <c r="T699" i="5"/>
  <c r="T700" i="5"/>
  <c r="T702" i="5"/>
  <c r="T703" i="5"/>
  <c r="T704" i="5"/>
  <c r="T705" i="5"/>
  <c r="T707" i="5"/>
  <c r="T708" i="5"/>
  <c r="T709" i="5"/>
  <c r="T710" i="5"/>
  <c r="T712" i="5"/>
  <c r="T713" i="5"/>
  <c r="T714" i="5"/>
  <c r="T715" i="5"/>
  <c r="T717" i="5"/>
  <c r="T718" i="5"/>
  <c r="T719" i="5"/>
  <c r="T723" i="5"/>
  <c r="T724" i="5"/>
  <c r="T727" i="5"/>
  <c r="T729" i="5"/>
  <c r="T730" i="5"/>
  <c r="T732" i="5"/>
  <c r="T733" i="5"/>
  <c r="T734" i="5"/>
  <c r="T735" i="5"/>
  <c r="T736" i="5"/>
  <c r="T738" i="5"/>
  <c r="T739" i="5"/>
  <c r="T740" i="5"/>
  <c r="T741" i="5"/>
  <c r="T742" i="5"/>
  <c r="T743" i="5"/>
  <c r="T745" i="5"/>
  <c r="T746" i="5"/>
  <c r="T748" i="5"/>
  <c r="T749" i="5"/>
  <c r="T750" i="5"/>
  <c r="T752" i="5"/>
  <c r="T753" i="5"/>
  <c r="T754" i="5"/>
  <c r="T755" i="5"/>
  <c r="T757" i="5"/>
  <c r="T758" i="5"/>
  <c r="T759" i="5"/>
  <c r="T760" i="5"/>
  <c r="T762" i="5"/>
  <c r="T763" i="5"/>
  <c r="T764" i="5"/>
  <c r="T765" i="5"/>
  <c r="T767" i="5"/>
  <c r="T769" i="5"/>
  <c r="T770" i="5"/>
  <c r="T771" i="5"/>
  <c r="T772" i="5"/>
  <c r="T775" i="5"/>
  <c r="T776" i="5"/>
  <c r="T782" i="5"/>
  <c r="T784" i="5"/>
  <c r="T787" i="5"/>
  <c r="T790" i="5"/>
  <c r="T795" i="5"/>
  <c r="T806" i="5"/>
  <c r="T814" i="5"/>
  <c r="T747" i="5" l="1"/>
  <c r="S711" i="5"/>
  <c r="S689" i="5"/>
  <c r="T614" i="5"/>
  <c r="T616" i="5"/>
  <c r="T627" i="5"/>
  <c r="T648" i="5"/>
  <c r="T477" i="5"/>
  <c r="T482" i="5"/>
  <c r="T485" i="5"/>
  <c r="T487" i="5"/>
  <c r="T490" i="5"/>
  <c r="T492" i="5"/>
  <c r="T495" i="5"/>
  <c r="T497" i="5"/>
  <c r="T499" i="5"/>
  <c r="T500" i="5"/>
  <c r="T501" i="5"/>
  <c r="T502" i="5"/>
  <c r="T504" i="5"/>
  <c r="T505" i="5"/>
  <c r="T506" i="5"/>
  <c r="T507" i="5"/>
  <c r="T509" i="5"/>
  <c r="T510" i="5"/>
  <c r="T511" i="5"/>
  <c r="T512" i="5"/>
  <c r="T514" i="5"/>
  <c r="T515" i="5"/>
  <c r="T516" i="5"/>
  <c r="T517" i="5"/>
  <c r="T518" i="5"/>
  <c r="T520" i="5"/>
  <c r="T521" i="5"/>
  <c r="T523" i="5"/>
  <c r="T524" i="5"/>
  <c r="T525" i="5"/>
  <c r="T526" i="5"/>
  <c r="T527" i="5"/>
  <c r="T528" i="5"/>
  <c r="T530" i="5"/>
  <c r="T531" i="5"/>
  <c r="T532" i="5"/>
  <c r="T534" i="5"/>
  <c r="T535" i="5"/>
  <c r="T536" i="5"/>
  <c r="T537" i="5"/>
  <c r="T539" i="5"/>
  <c r="T540" i="5"/>
  <c r="T541" i="5"/>
  <c r="T542" i="5"/>
  <c r="T544" i="5"/>
  <c r="T545" i="5"/>
  <c r="T546" i="5"/>
  <c r="T547" i="5"/>
  <c r="T549" i="5"/>
  <c r="T550" i="5"/>
  <c r="T551" i="5"/>
  <c r="T552" i="5"/>
  <c r="T554" i="5"/>
  <c r="T555" i="5"/>
  <c r="T556" i="5"/>
  <c r="T557" i="5"/>
  <c r="T559" i="5"/>
  <c r="T560" i="5"/>
  <c r="T561" i="5"/>
  <c r="T562" i="5"/>
  <c r="T564" i="5"/>
  <c r="T565" i="5"/>
  <c r="T566" i="5"/>
  <c r="T567" i="5"/>
  <c r="T569" i="5"/>
  <c r="T570" i="5"/>
  <c r="T571" i="5"/>
  <c r="T572" i="5"/>
  <c r="T573" i="5"/>
  <c r="T575" i="5"/>
  <c r="T576" i="5"/>
  <c r="T577" i="5"/>
  <c r="T578" i="5"/>
  <c r="T580" i="5"/>
  <c r="T581" i="5"/>
  <c r="T582" i="5"/>
  <c r="T583" i="5"/>
  <c r="T585" i="5"/>
  <c r="T586" i="5"/>
  <c r="T587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3" i="5"/>
  <c r="T618" i="5"/>
  <c r="T619" i="5"/>
  <c r="T621" i="5"/>
  <c r="T623" i="5"/>
  <c r="T625" i="5"/>
  <c r="T629" i="5"/>
  <c r="T630" i="5"/>
  <c r="T632" i="5"/>
  <c r="T634" i="5"/>
  <c r="T637" i="5"/>
  <c r="T639" i="5"/>
  <c r="T641" i="5"/>
  <c r="T643" i="5"/>
  <c r="T646" i="5"/>
  <c r="T650" i="5"/>
  <c r="T654" i="5"/>
  <c r="T656" i="5"/>
  <c r="T661" i="5"/>
  <c r="T664" i="5"/>
  <c r="T673" i="5"/>
  <c r="S483" i="5"/>
  <c r="S488" i="5"/>
  <c r="S493" i="5"/>
  <c r="S497" i="5"/>
  <c r="S498" i="5"/>
  <c r="S502" i="5"/>
  <c r="S503" i="5"/>
  <c r="S506" i="5"/>
  <c r="S507" i="5"/>
  <c r="S508" i="5"/>
  <c r="S511" i="5"/>
  <c r="S512" i="5"/>
  <c r="S513" i="5"/>
  <c r="S514" i="5"/>
  <c r="S517" i="5"/>
  <c r="S518" i="5"/>
  <c r="S519" i="5"/>
  <c r="S522" i="5"/>
  <c r="S524" i="5"/>
  <c r="S525" i="5"/>
  <c r="S527" i="5"/>
  <c r="S528" i="5"/>
  <c r="S529" i="5"/>
  <c r="S531" i="5"/>
  <c r="S532" i="5"/>
  <c r="S533" i="5"/>
  <c r="S535" i="5"/>
  <c r="S536" i="5"/>
  <c r="S537" i="5"/>
  <c r="S538" i="5"/>
  <c r="S540" i="5"/>
  <c r="S541" i="5"/>
  <c r="S542" i="5"/>
  <c r="S543" i="5"/>
  <c r="S545" i="5"/>
  <c r="S546" i="5"/>
  <c r="S547" i="5"/>
  <c r="S548" i="5"/>
  <c r="S550" i="5"/>
  <c r="S551" i="5"/>
  <c r="S552" i="5"/>
  <c r="S553" i="5"/>
  <c r="S555" i="5"/>
  <c r="S556" i="5"/>
  <c r="S557" i="5"/>
  <c r="S558" i="5"/>
  <c r="S560" i="5"/>
  <c r="S561" i="5"/>
  <c r="S562" i="5"/>
  <c r="S563" i="5"/>
  <c r="S565" i="5"/>
  <c r="S566" i="5"/>
  <c r="S567" i="5"/>
  <c r="S568" i="5"/>
  <c r="S569" i="5"/>
  <c r="S571" i="5"/>
  <c r="S572" i="5"/>
  <c r="S573" i="5"/>
  <c r="S574" i="5"/>
  <c r="S576" i="5"/>
  <c r="S577" i="5"/>
  <c r="S578" i="5"/>
  <c r="S579" i="5"/>
  <c r="S581" i="5"/>
  <c r="S582" i="5"/>
  <c r="S583" i="5"/>
  <c r="S584" i="5"/>
  <c r="S586" i="5"/>
  <c r="S587" i="5"/>
  <c r="S588" i="5"/>
  <c r="S590" i="5"/>
  <c r="S591" i="5"/>
  <c r="S592" i="5"/>
  <c r="S593" i="5"/>
  <c r="S595" i="5"/>
  <c r="S596" i="5"/>
  <c r="S597" i="5"/>
  <c r="S598" i="5"/>
  <c r="S600" i="5"/>
  <c r="S601" i="5"/>
  <c r="S602" i="5"/>
  <c r="S603" i="5"/>
  <c r="S605" i="5"/>
  <c r="S606" i="5"/>
  <c r="S607" i="5"/>
  <c r="S608" i="5"/>
  <c r="S468" i="5" l="1"/>
  <c r="S465" i="5"/>
  <c r="S460" i="5"/>
  <c r="S454" i="5"/>
  <c r="S449" i="5"/>
  <c r="S492" i="5"/>
  <c r="S485" i="5"/>
  <c r="S479" i="5"/>
  <c r="T474" i="5"/>
  <c r="T467" i="5"/>
  <c r="T464" i="5"/>
  <c r="T458" i="5"/>
  <c r="T453" i="5"/>
  <c r="T448" i="5"/>
  <c r="S464" i="5"/>
  <c r="S458" i="5"/>
  <c r="S453" i="5"/>
  <c r="S448" i="5"/>
  <c r="S499" i="5"/>
  <c r="S491" i="5"/>
  <c r="S484" i="5"/>
  <c r="S478" i="5"/>
  <c r="T473" i="5"/>
  <c r="T470" i="5"/>
  <c r="T463" i="5"/>
  <c r="T457" i="5"/>
  <c r="T452" i="5"/>
  <c r="T447" i="5"/>
  <c r="S452" i="5"/>
  <c r="S447" i="5"/>
  <c r="T476" i="5"/>
  <c r="T472" i="5"/>
  <c r="T469" i="5"/>
  <c r="T462" i="5"/>
  <c r="T456" i="5"/>
  <c r="T451" i="5"/>
  <c r="T446" i="5"/>
  <c r="S476" i="5"/>
  <c r="S472" i="5"/>
  <c r="S469" i="5"/>
  <c r="S462" i="5"/>
  <c r="S456" i="5"/>
  <c r="S451" i="5"/>
  <c r="S446" i="5"/>
  <c r="T455" i="5"/>
  <c r="T450" i="5"/>
  <c r="T445" i="5"/>
  <c r="T460" i="5"/>
  <c r="T454" i="5"/>
  <c r="T449" i="5"/>
  <c r="T538" i="5"/>
  <c r="T519" i="5"/>
  <c r="S501" i="5"/>
  <c r="T314" i="5"/>
  <c r="T319" i="5"/>
  <c r="T324" i="5"/>
  <c r="T329" i="5"/>
  <c r="T334" i="5"/>
  <c r="T339" i="5"/>
  <c r="T344" i="5"/>
  <c r="T350" i="5"/>
  <c r="T355" i="5"/>
  <c r="T358" i="5"/>
  <c r="T365" i="5"/>
  <c r="T369" i="5"/>
  <c r="T374" i="5"/>
  <c r="T379" i="5"/>
  <c r="T384" i="5"/>
  <c r="T389" i="5"/>
  <c r="T356" i="5"/>
  <c r="T361" i="5"/>
  <c r="T349" i="5"/>
  <c r="T370" i="5"/>
  <c r="T375" i="5"/>
  <c r="T380" i="5"/>
  <c r="T385" i="5"/>
  <c r="S376" i="5"/>
  <c r="S381" i="5"/>
  <c r="S386" i="5"/>
  <c r="T359" i="5"/>
  <c r="T362" i="5"/>
  <c r="T366" i="5"/>
  <c r="T371" i="5"/>
  <c r="T376" i="5"/>
  <c r="T381" i="5"/>
  <c r="T386" i="5"/>
  <c r="S337" i="5"/>
  <c r="S342" i="5"/>
  <c r="S347" i="5"/>
  <c r="S353" i="5"/>
  <c r="S360" i="5"/>
  <c r="S363" i="5"/>
  <c r="S367" i="5"/>
  <c r="S372" i="5"/>
  <c r="S377" i="5"/>
  <c r="S382" i="5"/>
  <c r="S387" i="5"/>
  <c r="T382" i="5"/>
  <c r="T387" i="5"/>
  <c r="S343" i="5"/>
  <c r="S348" i="5"/>
  <c r="S354" i="5"/>
  <c r="S357" i="5"/>
  <c r="S364" i="5"/>
  <c r="S368" i="5"/>
  <c r="S373" i="5"/>
  <c r="S378" i="5"/>
  <c r="S383" i="5"/>
  <c r="S388" i="5"/>
  <c r="S379" i="5"/>
  <c r="S384" i="5"/>
  <c r="S389" i="5"/>
  <c r="T394" i="5"/>
  <c r="T399" i="5"/>
  <c r="T405" i="5"/>
  <c r="T410" i="5"/>
  <c r="T413" i="5"/>
  <c r="T420" i="5"/>
  <c r="T424" i="5"/>
  <c r="T429" i="5"/>
  <c r="T434" i="5"/>
  <c r="T439" i="5"/>
  <c r="T444" i="5"/>
  <c r="T390" i="5"/>
  <c r="T395" i="5"/>
  <c r="T400" i="5"/>
  <c r="T406" i="5"/>
  <c r="T411" i="5"/>
  <c r="T416" i="5"/>
  <c r="T404" i="5"/>
  <c r="T425" i="5"/>
  <c r="T430" i="5"/>
  <c r="T435" i="5"/>
  <c r="T440" i="5"/>
  <c r="S391" i="5"/>
  <c r="S396" i="5"/>
  <c r="S401" i="5"/>
  <c r="S407" i="5"/>
  <c r="S414" i="5"/>
  <c r="S417" i="5"/>
  <c r="S421" i="5"/>
  <c r="S426" i="5"/>
  <c r="S431" i="5"/>
  <c r="S436" i="5"/>
  <c r="S441" i="5"/>
  <c r="T391" i="5"/>
  <c r="T396" i="5"/>
  <c r="T401" i="5"/>
  <c r="T407" i="5"/>
  <c r="T414" i="5"/>
  <c r="T417" i="5"/>
  <c r="T421" i="5"/>
  <c r="T426" i="5"/>
  <c r="T431" i="5"/>
  <c r="T436" i="5"/>
  <c r="T441" i="5"/>
  <c r="S392" i="5"/>
  <c r="S397" i="5"/>
  <c r="S402" i="5"/>
  <c r="S408" i="5"/>
  <c r="S415" i="5"/>
  <c r="S418" i="5"/>
  <c r="S422" i="5"/>
  <c r="S427" i="5"/>
  <c r="S432" i="5"/>
  <c r="S437" i="5"/>
  <c r="S442" i="5"/>
  <c r="T392" i="5"/>
  <c r="T397" i="5"/>
  <c r="T402" i="5"/>
  <c r="T408" i="5"/>
  <c r="T415" i="5"/>
  <c r="T418" i="5"/>
  <c r="T422" i="5"/>
  <c r="T427" i="5"/>
  <c r="T432" i="5"/>
  <c r="T437" i="5"/>
  <c r="T442" i="5"/>
  <c r="S393" i="5"/>
  <c r="S398" i="5"/>
  <c r="S403" i="5"/>
  <c r="S409" i="5"/>
  <c r="S412" i="5"/>
  <c r="S419" i="5"/>
  <c r="S423" i="5"/>
  <c r="S428" i="5"/>
  <c r="S433" i="5"/>
  <c r="S438" i="5"/>
  <c r="S443" i="5"/>
  <c r="T419" i="5"/>
  <c r="T423" i="5"/>
  <c r="T428" i="5"/>
  <c r="T433" i="5"/>
  <c r="T438" i="5"/>
  <c r="T443" i="5"/>
  <c r="S394" i="5"/>
  <c r="S399" i="5"/>
  <c r="S405" i="5"/>
  <c r="S410" i="5"/>
  <c r="S413" i="5"/>
  <c r="S420" i="5"/>
  <c r="S424" i="5"/>
  <c r="S429" i="5"/>
  <c r="S434" i="5"/>
  <c r="S439" i="5"/>
  <c r="S444" i="5"/>
  <c r="T398" i="5" l="1"/>
  <c r="T354" i="5"/>
  <c r="S430" i="5"/>
  <c r="T364" i="5"/>
  <c r="S356" i="5"/>
  <c r="S375" i="5"/>
  <c r="T347" i="5"/>
  <c r="S349" i="5"/>
  <c r="T280" i="5"/>
  <c r="T282" i="5"/>
  <c r="T285" i="5"/>
  <c r="T288" i="5"/>
  <c r="T154" i="5"/>
  <c r="T159" i="5"/>
  <c r="T164" i="5"/>
  <c r="T167" i="5"/>
  <c r="T169" i="5"/>
  <c r="T170" i="5"/>
  <c r="T172" i="5"/>
  <c r="T174" i="5"/>
  <c r="T175" i="5"/>
  <c r="T177" i="5"/>
  <c r="T178" i="5"/>
  <c r="T179" i="5"/>
  <c r="T180" i="5"/>
  <c r="T182" i="5"/>
  <c r="T183" i="5"/>
  <c r="T184" i="5"/>
  <c r="T185" i="5"/>
  <c r="T186" i="5"/>
  <c r="T188" i="5"/>
  <c r="T189" i="5"/>
  <c r="T190" i="5"/>
  <c r="T191" i="5"/>
  <c r="T192" i="5"/>
  <c r="T193" i="5"/>
  <c r="T195" i="5"/>
  <c r="T196" i="5"/>
  <c r="T198" i="5"/>
  <c r="T199" i="5"/>
  <c r="T200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1" i="5"/>
  <c r="T283" i="5"/>
  <c r="T284" i="5"/>
  <c r="T286" i="5"/>
  <c r="T287" i="5"/>
  <c r="T289" i="5"/>
  <c r="T290" i="5"/>
  <c r="T291" i="5"/>
  <c r="T292" i="5"/>
  <c r="T293" i="5"/>
  <c r="T295" i="5"/>
  <c r="T296" i="5"/>
  <c r="T297" i="5"/>
  <c r="T298" i="5"/>
  <c r="T300" i="5"/>
  <c r="T301" i="5"/>
  <c r="T303" i="5"/>
  <c r="T304" i="5"/>
  <c r="T305" i="5"/>
  <c r="T306" i="5"/>
  <c r="T307" i="5"/>
  <c r="T308" i="5"/>
  <c r="T311" i="5"/>
  <c r="T315" i="5"/>
  <c r="T316" i="5"/>
  <c r="T317" i="5"/>
  <c r="T322" i="5"/>
  <c r="T326" i="5"/>
  <c r="T327" i="5"/>
  <c r="T328" i="5"/>
  <c r="T340" i="5"/>
  <c r="T563" i="5"/>
  <c r="S280" i="5"/>
  <c r="S282" i="5"/>
  <c r="S285" i="5"/>
  <c r="S289" i="5"/>
  <c r="S164" i="5"/>
  <c r="S169" i="5"/>
  <c r="S174" i="5"/>
  <c r="S179" i="5"/>
  <c r="S184" i="5"/>
  <c r="S185" i="5"/>
  <c r="S190" i="5"/>
  <c r="S193" i="5"/>
  <c r="S196" i="5"/>
  <c r="S200" i="5"/>
  <c r="S204" i="5"/>
  <c r="S205" i="5"/>
  <c r="S209" i="5"/>
  <c r="S210" i="5"/>
  <c r="S214" i="5"/>
  <c r="S215" i="5"/>
  <c r="S219" i="5"/>
  <c r="S220" i="5"/>
  <c r="S224" i="5"/>
  <c r="S225" i="5"/>
  <c r="S229" i="5"/>
  <c r="S230" i="5"/>
  <c r="S234" i="5"/>
  <c r="S235" i="5"/>
  <c r="S239" i="5"/>
  <c r="S240" i="5"/>
  <c r="S241" i="5"/>
  <c r="S245" i="5"/>
  <c r="S246" i="5"/>
  <c r="S248" i="5"/>
  <c r="S250" i="5"/>
  <c r="S251" i="5"/>
  <c r="S253" i="5"/>
  <c r="S255" i="5"/>
  <c r="S256" i="5"/>
  <c r="S257" i="5"/>
  <c r="S259" i="5"/>
  <c r="S260" i="5"/>
  <c r="S261" i="5"/>
  <c r="S262" i="5"/>
  <c r="S264" i="5"/>
  <c r="S265" i="5"/>
  <c r="S266" i="5"/>
  <c r="S267" i="5"/>
  <c r="S269" i="5"/>
  <c r="S270" i="5"/>
  <c r="S271" i="5"/>
  <c r="S272" i="5"/>
  <c r="S274" i="5"/>
  <c r="S275" i="5"/>
  <c r="S276" i="5"/>
  <c r="S277" i="5"/>
  <c r="S279" i="5"/>
  <c r="S281" i="5"/>
  <c r="S284" i="5"/>
  <c r="S286" i="5"/>
  <c r="S287" i="5"/>
  <c r="S290" i="5"/>
  <c r="S291" i="5"/>
  <c r="S292" i="5"/>
  <c r="S294" i="5"/>
  <c r="S295" i="5"/>
  <c r="S296" i="5"/>
  <c r="S297" i="5"/>
  <c r="S298" i="5"/>
  <c r="S300" i="5"/>
  <c r="S301" i="5"/>
  <c r="S303" i="5"/>
  <c r="S304" i="5"/>
  <c r="S305" i="5"/>
  <c r="S306" i="5"/>
  <c r="S307" i="5"/>
  <c r="S308" i="5"/>
  <c r="S311" i="5"/>
  <c r="S312" i="5"/>
  <c r="S317" i="5"/>
  <c r="S321" i="5"/>
  <c r="S322" i="5"/>
  <c r="S323" i="5"/>
  <c r="S328" i="5"/>
  <c r="S333" i="5"/>
  <c r="S334" i="5"/>
  <c r="S339" i="5"/>
  <c r="S346" i="5"/>
  <c r="T2252" i="5" l="1"/>
  <c r="T2254" i="5"/>
  <c r="S211" i="5"/>
  <c r="T197" i="5"/>
  <c r="S187" i="5"/>
  <c r="S176" i="5"/>
  <c r="S244" i="5"/>
  <c r="S227" i="5"/>
  <c r="T135" i="5"/>
  <c r="T130" i="5"/>
  <c r="T124" i="5"/>
  <c r="T119" i="5"/>
  <c r="S160" i="5"/>
  <c r="S154" i="5"/>
  <c r="S149" i="5"/>
  <c r="S145" i="5"/>
  <c r="S138" i="5"/>
  <c r="S135" i="5"/>
  <c r="S130" i="5"/>
  <c r="S124" i="5"/>
  <c r="S119" i="5"/>
  <c r="T165" i="5"/>
  <c r="S159" i="5"/>
  <c r="T153" i="5"/>
  <c r="T148" i="5"/>
  <c r="T144" i="5"/>
  <c r="T137" i="5"/>
  <c r="T134" i="5"/>
  <c r="T128" i="5"/>
  <c r="T123" i="5"/>
  <c r="T118" i="5"/>
  <c r="S144" i="5"/>
  <c r="S137" i="5"/>
  <c r="S134" i="5"/>
  <c r="S128" i="5"/>
  <c r="S123" i="5"/>
  <c r="S118" i="5"/>
  <c r="T133" i="5"/>
  <c r="T127" i="5"/>
  <c r="T122" i="5"/>
  <c r="T117" i="5"/>
  <c r="T132" i="5"/>
  <c r="T126" i="5"/>
  <c r="T121" i="5"/>
  <c r="T116" i="5"/>
  <c r="T156" i="5"/>
  <c r="S151" i="5"/>
  <c r="S146" i="5"/>
  <c r="S142" i="5"/>
  <c r="S139" i="5"/>
  <c r="S132" i="5"/>
  <c r="S126" i="5"/>
  <c r="S121" i="5"/>
  <c r="S116" i="5"/>
  <c r="S168" i="5"/>
  <c r="T161" i="5"/>
  <c r="S156" i="5"/>
  <c r="T150" i="5"/>
  <c r="T129" i="5"/>
  <c r="T141" i="5"/>
  <c r="T136" i="5"/>
  <c r="T131" i="5"/>
  <c r="T125" i="5"/>
  <c r="T120" i="5"/>
  <c r="T115" i="5"/>
  <c r="S167" i="5"/>
  <c r="S161" i="5"/>
  <c r="T155" i="5"/>
  <c r="S150" i="5"/>
  <c r="S129" i="5"/>
  <c r="S141" i="5"/>
  <c r="S136" i="5"/>
  <c r="S131" i="5"/>
  <c r="S125" i="5"/>
  <c r="S120" i="5"/>
  <c r="S115" i="5"/>
  <c r="S76" i="5"/>
  <c r="S81" i="5"/>
  <c r="S86" i="5"/>
  <c r="S74" i="5"/>
  <c r="S95" i="5"/>
  <c r="S100" i="5"/>
  <c r="S105" i="5"/>
  <c r="S110" i="5"/>
  <c r="T60" i="5"/>
  <c r="T65" i="5"/>
  <c r="T70" i="5"/>
  <c r="T76" i="5"/>
  <c r="T81" i="5"/>
  <c r="T86" i="5"/>
  <c r="T74" i="5"/>
  <c r="T95" i="5"/>
  <c r="T100" i="5"/>
  <c r="T105" i="5"/>
  <c r="T110" i="5"/>
  <c r="S61" i="5"/>
  <c r="S66" i="5"/>
  <c r="S71" i="5"/>
  <c r="S77" i="5"/>
  <c r="S84" i="5"/>
  <c r="S87" i="5"/>
  <c r="S91" i="5"/>
  <c r="S96" i="5"/>
  <c r="S101" i="5"/>
  <c r="S106" i="5"/>
  <c r="S111" i="5"/>
  <c r="T61" i="5"/>
  <c r="T66" i="5"/>
  <c r="T71" i="5"/>
  <c r="T77" i="5"/>
  <c r="T84" i="5"/>
  <c r="T87" i="5"/>
  <c r="T91" i="5"/>
  <c r="T96" i="5"/>
  <c r="T101" i="5"/>
  <c r="T106" i="5"/>
  <c r="T111" i="5"/>
  <c r="T62" i="5"/>
  <c r="T67" i="5"/>
  <c r="T72" i="5"/>
  <c r="T78" i="5"/>
  <c r="T85" i="5"/>
  <c r="T88" i="5"/>
  <c r="T92" i="5"/>
  <c r="T97" i="5"/>
  <c r="T102" i="5"/>
  <c r="T107" i="5"/>
  <c r="T112" i="5"/>
  <c r="S63" i="5"/>
  <c r="S68" i="5"/>
  <c r="S73" i="5"/>
  <c r="S79" i="5"/>
  <c r="S82" i="5"/>
  <c r="S89" i="5"/>
  <c r="S93" i="5"/>
  <c r="S98" i="5"/>
  <c r="S103" i="5"/>
  <c r="S108" i="5"/>
  <c r="S113" i="5"/>
  <c r="T63" i="5"/>
  <c r="T68" i="5"/>
  <c r="T73" i="5"/>
  <c r="T79" i="5"/>
  <c r="T82" i="5"/>
  <c r="T89" i="5"/>
  <c r="T93" i="5"/>
  <c r="T98" i="5"/>
  <c r="T103" i="5"/>
  <c r="T108" i="5"/>
  <c r="T113" i="5"/>
  <c r="S64" i="5"/>
  <c r="S69" i="5"/>
  <c r="S75" i="5"/>
  <c r="S80" i="5"/>
  <c r="S83" i="5"/>
  <c r="S90" i="5"/>
  <c r="S94" i="5"/>
  <c r="S99" i="5"/>
  <c r="S104" i="5"/>
  <c r="S109" i="5"/>
  <c r="S114" i="5"/>
  <c r="T64" i="5"/>
  <c r="T69" i="5"/>
  <c r="T75" i="5"/>
  <c r="T80" i="5"/>
  <c r="T83" i="5"/>
  <c r="T90" i="5"/>
  <c r="T94" i="5"/>
  <c r="T99" i="5"/>
  <c r="T104" i="5"/>
  <c r="T109" i="5"/>
  <c r="T114" i="5"/>
  <c r="T335" i="5"/>
  <c r="T176" i="5"/>
  <c r="T187" i="5"/>
  <c r="S198" i="5"/>
  <c r="S212" i="5"/>
  <c r="S228" i="5"/>
  <c r="S249" i="5"/>
  <c r="S288" i="5"/>
  <c r="T341" i="5"/>
  <c r="S56" i="5"/>
  <c r="S162" i="5"/>
  <c r="T168" i="5"/>
  <c r="S177" i="5"/>
  <c r="S188" i="5"/>
  <c r="S199" i="5"/>
  <c r="S213" i="5"/>
  <c r="S231" i="5"/>
  <c r="S247" i="5"/>
  <c r="S293" i="5"/>
  <c r="S350" i="5"/>
  <c r="T22" i="5"/>
  <c r="T29" i="5"/>
  <c r="T32" i="5"/>
  <c r="T36" i="5"/>
  <c r="T41" i="5"/>
  <c r="T46" i="5"/>
  <c r="T51" i="5"/>
  <c r="T56" i="5"/>
  <c r="T139" i="5"/>
  <c r="T142" i="5"/>
  <c r="T146" i="5"/>
  <c r="T151" i="5"/>
  <c r="S157" i="5"/>
  <c r="T162" i="5"/>
  <c r="S170" i="5"/>
  <c r="S178" i="5"/>
  <c r="S189" i="5"/>
  <c r="S201" i="5"/>
  <c r="S216" i="5"/>
  <c r="S232" i="5"/>
  <c r="S252" i="5"/>
  <c r="S299" i="5"/>
  <c r="T360" i="5"/>
  <c r="T367" i="5"/>
  <c r="T17" i="5"/>
  <c r="T23" i="5"/>
  <c r="T30" i="5"/>
  <c r="T33" i="5"/>
  <c r="T37" i="5"/>
  <c r="T42" i="5"/>
  <c r="T47" i="5"/>
  <c r="T52" i="5"/>
  <c r="T57" i="5"/>
  <c r="T140" i="5"/>
  <c r="T143" i="5"/>
  <c r="T147" i="5"/>
  <c r="T152" i="5"/>
  <c r="S158" i="5"/>
  <c r="T163" i="5"/>
  <c r="T171" i="5"/>
  <c r="S181" i="5"/>
  <c r="S194" i="5"/>
  <c r="S202" i="5"/>
  <c r="S218" i="5"/>
  <c r="S236" i="5"/>
  <c r="S258" i="5"/>
  <c r="S309" i="5"/>
  <c r="T378" i="5"/>
  <c r="S27" i="5"/>
  <c r="S34" i="5"/>
  <c r="S38" i="5"/>
  <c r="S43" i="5"/>
  <c r="S48" i="5"/>
  <c r="S53" i="5"/>
  <c r="S58" i="5"/>
  <c r="S148" i="5"/>
  <c r="S153" i="5"/>
  <c r="T158" i="5"/>
  <c r="S165" i="5"/>
  <c r="S172" i="5"/>
  <c r="T181" i="5"/>
  <c r="T194" i="5"/>
  <c r="S203" i="5"/>
  <c r="S221" i="5"/>
  <c r="S237" i="5"/>
  <c r="S263" i="5"/>
  <c r="S313" i="5"/>
  <c r="T403" i="5"/>
  <c r="T38" i="5"/>
  <c r="T43" i="5"/>
  <c r="T48" i="5"/>
  <c r="T53" i="5"/>
  <c r="T58" i="5"/>
  <c r="S173" i="5"/>
  <c r="S182" i="5"/>
  <c r="S195" i="5"/>
  <c r="S206" i="5"/>
  <c r="S222" i="5"/>
  <c r="S238" i="5"/>
  <c r="S268" i="5"/>
  <c r="T318" i="5"/>
  <c r="S440" i="5"/>
  <c r="S54" i="5"/>
  <c r="S59" i="5"/>
  <c r="S166" i="5"/>
  <c r="T173" i="5"/>
  <c r="S183" i="5"/>
  <c r="S192" i="5"/>
  <c r="S207" i="5"/>
  <c r="S223" i="5"/>
  <c r="S242" i="5"/>
  <c r="S273" i="5"/>
  <c r="S324" i="5"/>
  <c r="T20" i="5"/>
  <c r="T25" i="5"/>
  <c r="T28" i="5"/>
  <c r="T35" i="5"/>
  <c r="T39" i="5"/>
  <c r="T44" i="5"/>
  <c r="T49" i="5"/>
  <c r="T54" i="5"/>
  <c r="T59" i="5"/>
  <c r="T138" i="5"/>
  <c r="T145" i="5"/>
  <c r="T149" i="5"/>
  <c r="S155" i="5"/>
  <c r="T160" i="5"/>
  <c r="T166" i="5"/>
  <c r="S175" i="5"/>
  <c r="S186" i="5"/>
  <c r="S197" i="5"/>
  <c r="S208" i="5"/>
  <c r="S226" i="5"/>
  <c r="S243" i="5"/>
  <c r="S278" i="5"/>
  <c r="S330" i="5"/>
  <c r="T2250" i="5" l="1"/>
  <c r="T2230" i="5"/>
  <c r="T2231" i="5"/>
  <c r="T2232" i="5"/>
  <c r="T2224" i="5"/>
  <c r="T2229" i="5"/>
  <c r="T2227" i="5"/>
  <c r="T2226" i="5"/>
  <c r="T2228" i="5"/>
  <c r="S117" i="5" l="1"/>
  <c r="S140" i="5"/>
  <c r="S147" i="5"/>
  <c r="T157" i="5"/>
  <c r="T2225" i="5" s="1"/>
  <c r="S122" i="5"/>
  <c r="S152" i="5"/>
  <c r="S302" i="5"/>
  <c r="S9" i="5"/>
  <c r="S11" i="5"/>
  <c r="S17" i="5"/>
  <c r="S21" i="5"/>
  <c r="S5" i="5"/>
  <c r="S6" i="5"/>
  <c r="S7" i="5"/>
  <c r="S8" i="5"/>
  <c r="S10" i="5"/>
  <c r="S12" i="5"/>
  <c r="S13" i="5"/>
  <c r="S14" i="5"/>
  <c r="S15" i="5"/>
  <c r="S16" i="5"/>
  <c r="S18" i="5"/>
  <c r="S19" i="5"/>
  <c r="S20" i="5"/>
  <c r="S22" i="5"/>
  <c r="S23" i="5"/>
  <c r="S24" i="5"/>
  <c r="S25" i="5"/>
  <c r="S26" i="5"/>
  <c r="S28" i="5"/>
  <c r="S29" i="5"/>
  <c r="S30" i="5"/>
  <c r="S31" i="5"/>
  <c r="S32" i="5"/>
  <c r="S33" i="5"/>
  <c r="S35" i="5"/>
  <c r="S36" i="5"/>
  <c r="S37" i="5"/>
  <c r="S39" i="5"/>
  <c r="S40" i="5"/>
  <c r="S41" i="5"/>
  <c r="S42" i="5"/>
  <c r="S44" i="5"/>
  <c r="S45" i="5"/>
  <c r="S46" i="5"/>
  <c r="S47" i="5"/>
  <c r="S49" i="5"/>
  <c r="S50" i="5"/>
  <c r="S51" i="5"/>
  <c r="S52" i="5"/>
  <c r="S55" i="5"/>
  <c r="S57" i="5"/>
  <c r="S60" i="5"/>
  <c r="S62" i="5"/>
  <c r="S65" i="5"/>
  <c r="S70" i="5"/>
  <c r="S72" i="5"/>
  <c r="S78" i="5"/>
  <c r="S85" i="5"/>
  <c r="S88" i="5"/>
  <c r="S92" i="5"/>
  <c r="S97" i="5"/>
  <c r="S102" i="5"/>
  <c r="S107" i="5"/>
  <c r="S112" i="5"/>
  <c r="S127" i="5"/>
  <c r="S133" i="5"/>
  <c r="S143" i="5"/>
  <c r="S163" i="5"/>
  <c r="S171" i="5"/>
  <c r="S180" i="5"/>
  <c r="S191" i="5"/>
  <c r="S217" i="5"/>
  <c r="S233" i="5"/>
  <c r="S254" i="5"/>
  <c r="S2253" i="5" s="1"/>
  <c r="T9" i="5"/>
  <c r="T11" i="5"/>
  <c r="T21" i="5"/>
  <c r="T12" i="5"/>
  <c r="T19" i="5"/>
  <c r="T24" i="5"/>
  <c r="T55" i="5"/>
  <c r="T15" i="5"/>
  <c r="T26" i="5"/>
  <c r="T31" i="5"/>
  <c r="T50" i="5"/>
  <c r="T201" i="5"/>
  <c r="T6" i="5"/>
  <c r="T8" i="5"/>
  <c r="T16" i="5"/>
  <c r="T18" i="5"/>
  <c r="T5" i="5"/>
  <c r="T7" i="5"/>
  <c r="T10" i="5"/>
  <c r="T13" i="5"/>
  <c r="T14" i="5"/>
  <c r="T27" i="5"/>
  <c r="T34" i="5"/>
  <c r="T40" i="5"/>
  <c r="T45" i="5"/>
  <c r="S2233" i="5" l="1"/>
  <c r="S2239" i="5"/>
  <c r="T2236" i="5"/>
  <c r="S2237" i="5"/>
  <c r="T2238" i="5"/>
  <c r="T2233" i="5"/>
  <c r="S2241" i="5"/>
  <c r="S2236" i="5"/>
  <c r="T2237" i="5"/>
  <c r="S2238" i="5"/>
  <c r="S2235" i="5"/>
  <c r="T2234" i="5"/>
  <c r="T2239" i="5"/>
  <c r="T2235" i="5"/>
  <c r="T2220" i="5"/>
  <c r="T2221" i="5"/>
  <c r="T2223" i="5"/>
  <c r="S2222" i="5"/>
  <c r="S2232" i="5"/>
  <c r="R2232" i="5" s="1"/>
  <c r="T2222" i="5"/>
  <c r="S2230" i="5"/>
  <c r="R2230" i="5" s="1"/>
  <c r="S2223" i="5"/>
  <c r="S2234" i="5"/>
  <c r="S2229" i="5"/>
  <c r="R2229" i="5" s="1"/>
  <c r="S2215" i="5"/>
  <c r="S2224" i="5"/>
  <c r="R2224" i="5" s="1"/>
  <c r="S2227" i="5"/>
  <c r="R2227" i="5" s="1"/>
  <c r="S2225" i="5"/>
  <c r="R2225" i="5" s="1"/>
  <c r="T2215" i="5"/>
  <c r="S2216" i="5"/>
  <c r="S2217" i="5"/>
  <c r="S459" i="5"/>
  <c r="S425" i="5"/>
  <c r="T393" i="5"/>
  <c r="T338" i="5"/>
  <c r="S371" i="5"/>
  <c r="S370" i="5"/>
  <c r="T522" i="5"/>
  <c r="T325" i="5"/>
  <c r="S351" i="5"/>
  <c r="T494" i="5"/>
  <c r="S329" i="5"/>
  <c r="T503" i="5"/>
  <c r="S559" i="5"/>
  <c r="S395" i="5"/>
  <c r="T373" i="5"/>
  <c r="T332" i="5"/>
  <c r="S362" i="5"/>
  <c r="S361" i="5"/>
  <c r="S450" i="5"/>
  <c r="S320" i="5"/>
  <c r="T342" i="5"/>
  <c r="S487" i="5"/>
  <c r="T323" i="5"/>
  <c r="T493" i="5"/>
  <c r="S534" i="5"/>
  <c r="T584" i="5"/>
  <c r="T498" i="5"/>
  <c r="T579" i="5"/>
  <c r="S374" i="5"/>
  <c r="S599" i="5"/>
  <c r="S327" i="5"/>
  <c r="T352" i="5"/>
  <c r="S352" i="5"/>
  <c r="T409" i="5"/>
  <c r="S314" i="5"/>
  <c r="S336" i="5"/>
  <c r="S435" i="5"/>
  <c r="S318" i="5"/>
  <c r="S486" i="5"/>
  <c r="S516" i="5"/>
  <c r="T558" i="5"/>
  <c r="S365" i="5"/>
  <c r="S466" i="5"/>
  <c r="T321" i="5"/>
  <c r="S345" i="5"/>
  <c r="S344" i="5"/>
  <c r="T383" i="5"/>
  <c r="S310" i="5"/>
  <c r="T330" i="5"/>
  <c r="S400" i="5"/>
  <c r="T312" i="5"/>
  <c r="T479" i="5"/>
  <c r="S500" i="5"/>
  <c r="T533" i="5"/>
  <c r="S355" i="5"/>
  <c r="S416" i="5"/>
  <c r="S316" i="5"/>
  <c r="S338" i="5"/>
  <c r="T337" i="5"/>
  <c r="S369" i="5"/>
  <c r="S505" i="5"/>
  <c r="S325" i="5"/>
  <c r="T346" i="5"/>
  <c r="S390" i="5"/>
  <c r="S2250" i="5" s="1"/>
  <c r="R2250" i="5" s="1"/>
  <c r="T294" i="5"/>
  <c r="S332" i="5"/>
  <c r="T331" i="5"/>
  <c r="S358" i="5"/>
  <c r="S340" i="5"/>
  <c r="T372" i="5"/>
  <c r="S570" i="5"/>
  <c r="S544" i="5"/>
  <c r="S326" i="5"/>
  <c r="T351" i="5"/>
  <c r="S406" i="5"/>
  <c r="S2252" i="5" s="1"/>
  <c r="R2252" i="5" s="1"/>
  <c r="T313" i="5"/>
  <c r="S359" i="5"/>
  <c r="S589" i="5"/>
  <c r="T333" i="5"/>
  <c r="T363" i="5"/>
  <c r="S461" i="5"/>
  <c r="S455" i="5"/>
  <c r="T320" i="5"/>
  <c r="T343" i="5"/>
  <c r="S380" i="5"/>
  <c r="T309" i="5"/>
  <c r="T348" i="5"/>
  <c r="S564" i="5"/>
  <c r="T737" i="5"/>
  <c r="S474" i="5"/>
  <c r="S580" i="5"/>
  <c r="S471" i="5"/>
  <c r="T2219" i="5"/>
  <c r="T2217" i="5"/>
  <c r="S2220" i="5"/>
  <c r="R2220" i="5" s="1"/>
  <c r="S2219" i="5"/>
  <c r="S2218" i="5"/>
  <c r="T2218" i="5"/>
  <c r="T2216" i="5"/>
  <c r="S67" i="5"/>
  <c r="S2228" i="5" s="1"/>
  <c r="R2228" i="5" s="1"/>
  <c r="R2217" i="5" l="1"/>
  <c r="R2216" i="5"/>
  <c r="R2234" i="5"/>
  <c r="R2233" i="5"/>
  <c r="R2236" i="5"/>
  <c r="R2238" i="5"/>
  <c r="T2251" i="5"/>
  <c r="T2286" i="5"/>
  <c r="R2237" i="5"/>
  <c r="R2239" i="5"/>
  <c r="R2235" i="5"/>
  <c r="S2221" i="5"/>
  <c r="R2221" i="5" s="1"/>
  <c r="S2231" i="5"/>
  <c r="R2231" i="5" s="1"/>
  <c r="R2223" i="5"/>
  <c r="R2222" i="5"/>
  <c r="S2226" i="5"/>
  <c r="R2226" i="5" s="1"/>
  <c r="S2242" i="5"/>
  <c r="R2215" i="5"/>
  <c r="T1125" i="5"/>
  <c r="S1125" i="5"/>
  <c r="T1069" i="5"/>
  <c r="S1069" i="5"/>
  <c r="S621" i="5"/>
  <c r="T1013" i="5"/>
  <c r="S1013" i="5"/>
  <c r="Y25" i="3"/>
  <c r="S610" i="5"/>
  <c r="S620" i="5"/>
  <c r="S630" i="5"/>
  <c r="S640" i="5"/>
  <c r="S650" i="5"/>
  <c r="S660" i="5"/>
  <c r="S641" i="5"/>
  <c r="S663" i="5"/>
  <c r="S611" i="5"/>
  <c r="S612" i="5"/>
  <c r="S622" i="5"/>
  <c r="S613" i="5"/>
  <c r="S623" i="5"/>
  <c r="S633" i="5"/>
  <c r="S614" i="5"/>
  <c r="S624" i="5"/>
  <c r="S634" i="5"/>
  <c r="S644" i="5"/>
  <c r="S654" i="5"/>
  <c r="S664" i="5"/>
  <c r="S637" i="5"/>
  <c r="S651" i="5"/>
  <c r="S643" i="5"/>
  <c r="S615" i="5"/>
  <c r="S625" i="5"/>
  <c r="S635" i="5"/>
  <c r="S645" i="5"/>
  <c r="S655" i="5"/>
  <c r="S657" i="5"/>
  <c r="S652" i="5"/>
  <c r="S616" i="5"/>
  <c r="S626" i="5"/>
  <c r="S636" i="5"/>
  <c r="S646" i="5"/>
  <c r="S656" i="5"/>
  <c r="S647" i="5"/>
  <c r="S661" i="5"/>
  <c r="S617" i="5"/>
  <c r="S627" i="5"/>
  <c r="S618" i="5"/>
  <c r="S628" i="5"/>
  <c r="S638" i="5"/>
  <c r="S648" i="5"/>
  <c r="S658" i="5"/>
  <c r="S659" i="5"/>
  <c r="S642" i="5"/>
  <c r="S653" i="5"/>
  <c r="S619" i="5"/>
  <c r="S629" i="5"/>
  <c r="S639" i="5"/>
  <c r="S649" i="5"/>
  <c r="S631" i="5"/>
  <c r="S662" i="5"/>
  <c r="T915" i="5"/>
  <c r="S1083" i="5"/>
  <c r="R2219" i="5"/>
  <c r="S480" i="5"/>
  <c r="T995" i="5"/>
  <c r="T1060" i="5"/>
  <c r="T941" i="5"/>
  <c r="S1119" i="5"/>
  <c r="T1042" i="5"/>
  <c r="S833" i="5"/>
  <c r="S781" i="5"/>
  <c r="T1001" i="5"/>
  <c r="T1145" i="5"/>
  <c r="T800" i="5"/>
  <c r="T921" i="5"/>
  <c r="S785" i="5"/>
  <c r="T920" i="5"/>
  <c r="T1076" i="5"/>
  <c r="S957" i="5"/>
  <c r="T1156" i="5"/>
  <c r="S404" i="5"/>
  <c r="S585" i="5"/>
  <c r="T803" i="5"/>
  <c r="T345" i="5"/>
  <c r="S706" i="5"/>
  <c r="T680" i="5"/>
  <c r="S849" i="5"/>
  <c r="T798" i="5"/>
  <c r="S797" i="5"/>
  <c r="S894" i="5"/>
  <c r="S962" i="5"/>
  <c r="T895" i="5"/>
  <c r="S931" i="5"/>
  <c r="T949" i="5"/>
  <c r="T388" i="5"/>
  <c r="S530" i="5"/>
  <c r="T617" i="5"/>
  <c r="S836" i="5"/>
  <c r="S908" i="5"/>
  <c r="T780" i="5"/>
  <c r="S838" i="5"/>
  <c r="T957" i="5"/>
  <c r="S385" i="5"/>
  <c r="S2246" i="5" s="1"/>
  <c r="S671" i="5"/>
  <c r="S803" i="5"/>
  <c r="T310" i="5"/>
  <c r="S609" i="5"/>
  <c r="S993" i="5"/>
  <c r="S831" i="5"/>
  <c r="S839" i="5"/>
  <c r="S804" i="5"/>
  <c r="T944" i="5"/>
  <c r="T981" i="5"/>
  <c r="S331" i="5"/>
  <c r="S2244" i="5" s="1"/>
  <c r="T574" i="5"/>
  <c r="S919" i="5"/>
  <c r="S821" i="5"/>
  <c r="S829" i="5"/>
  <c r="T357" i="5"/>
  <c r="T299" i="5"/>
  <c r="T2241" i="5" s="1"/>
  <c r="R2241" i="5" s="1"/>
  <c r="S335" i="5"/>
  <c r="S2245" i="5" s="1"/>
  <c r="S843" i="5"/>
  <c r="S869" i="5"/>
  <c r="T792" i="5"/>
  <c r="T1077" i="5"/>
  <c r="T911" i="5"/>
  <c r="S950" i="5"/>
  <c r="S520" i="5"/>
  <c r="S682" i="5"/>
  <c r="S832" i="5"/>
  <c r="S852" i="5"/>
  <c r="S769" i="5"/>
  <c r="T1023" i="5"/>
  <c r="T906" i="5"/>
  <c r="S943" i="5"/>
  <c r="T954" i="5"/>
  <c r="R2218" i="5"/>
  <c r="T2244" i="5"/>
  <c r="S2249" i="5"/>
  <c r="T2247" i="5"/>
  <c r="T412" i="5"/>
  <c r="T2253" i="5" s="1"/>
  <c r="R2253" i="5" s="1"/>
  <c r="S411" i="5"/>
  <c r="S2254" i="5" s="1"/>
  <c r="R2254" i="5" s="1"/>
  <c r="T2240" i="5"/>
  <c r="T2246" i="5"/>
  <c r="T2264" i="5" l="1"/>
  <c r="S2269" i="5"/>
  <c r="S2251" i="5"/>
  <c r="R2251" i="5" s="1"/>
  <c r="S2281" i="5"/>
  <c r="S2284" i="5"/>
  <c r="S2276" i="5"/>
  <c r="T2242" i="5"/>
  <c r="R2242" i="5" s="1"/>
  <c r="T2267" i="5"/>
  <c r="Y84" i="3"/>
  <c r="S2267" i="5"/>
  <c r="R2246" i="5"/>
  <c r="R2244" i="5"/>
  <c r="T353" i="5"/>
  <c r="T2249" i="5" s="1"/>
  <c r="R2249" i="5" s="1"/>
  <c r="S341" i="5"/>
  <c r="S2247" i="5" s="1"/>
  <c r="R2247" i="5" s="1"/>
  <c r="S604" i="5"/>
  <c r="S482" i="5"/>
  <c r="S495" i="5"/>
  <c r="T459" i="5"/>
  <c r="T486" i="5"/>
  <c r="T488" i="5"/>
  <c r="T568" i="5"/>
  <c r="S366" i="5"/>
  <c r="S2248" i="5" s="1"/>
  <c r="T513" i="5"/>
  <c r="T529" i="5"/>
  <c r="S463" i="5"/>
  <c r="S473" i="5"/>
  <c r="S481" i="5"/>
  <c r="S489" i="5"/>
  <c r="S283" i="5"/>
  <c r="S315" i="5"/>
  <c r="S319" i="5"/>
  <c r="S445" i="5"/>
  <c r="S457" i="5"/>
  <c r="S467" i="5"/>
  <c r="S2258" i="5" s="1"/>
  <c r="S470" i="5"/>
  <c r="S475" i="5"/>
  <c r="S477" i="5"/>
  <c r="S490" i="5"/>
  <c r="S494" i="5"/>
  <c r="S496" i="5"/>
  <c r="S504" i="5"/>
  <c r="S509" i="5"/>
  <c r="S510" i="5"/>
  <c r="S515" i="5"/>
  <c r="S521" i="5"/>
  <c r="S523" i="5"/>
  <c r="S526" i="5"/>
  <c r="S539" i="5"/>
  <c r="S549" i="5"/>
  <c r="S554" i="5"/>
  <c r="S575" i="5"/>
  <c r="S594" i="5"/>
  <c r="S666" i="5"/>
  <c r="S676" i="5"/>
  <c r="S692" i="5"/>
  <c r="S696" i="5"/>
  <c r="S701" i="5"/>
  <c r="S716" i="5"/>
  <c r="S721" i="5"/>
  <c r="S772" i="5"/>
  <c r="S774" i="5"/>
  <c r="S2282" i="5" s="1"/>
  <c r="S780" i="5"/>
  <c r="S783" i="5"/>
  <c r="S786" i="5"/>
  <c r="S787" i="5"/>
  <c r="S789" i="5"/>
  <c r="S790" i="5"/>
  <c r="S793" i="5"/>
  <c r="S794" i="5"/>
  <c r="S796" i="5"/>
  <c r="S798" i="5"/>
  <c r="S799" i="5"/>
  <c r="S805" i="5"/>
  <c r="S808" i="5"/>
  <c r="S809" i="5"/>
  <c r="S810" i="5"/>
  <c r="S811" i="5"/>
  <c r="S812" i="5"/>
  <c r="S813" i="5"/>
  <c r="S815" i="5"/>
  <c r="S816" i="5"/>
  <c r="S817" i="5"/>
  <c r="S818" i="5"/>
  <c r="S820" i="5"/>
  <c r="S822" i="5"/>
  <c r="S825" i="5"/>
  <c r="S826" i="5"/>
  <c r="S827" i="5"/>
  <c r="S830" i="5"/>
  <c r="S835" i="5"/>
  <c r="S837" i="5"/>
  <c r="S841" i="5"/>
  <c r="S842" i="5"/>
  <c r="S848" i="5"/>
  <c r="S850" i="5"/>
  <c r="S853" i="5"/>
  <c r="S854" i="5"/>
  <c r="S855" i="5"/>
  <c r="S857" i="5"/>
  <c r="S858" i="5"/>
  <c r="S860" i="5"/>
  <c r="S862" i="5"/>
  <c r="S863" i="5"/>
  <c r="S864" i="5"/>
  <c r="S868" i="5"/>
  <c r="S874" i="5"/>
  <c r="S878" i="5"/>
  <c r="S883" i="5"/>
  <c r="S884" i="5"/>
  <c r="S889" i="5"/>
  <c r="S900" i="5"/>
  <c r="S905" i="5"/>
  <c r="S915" i="5"/>
  <c r="S924" i="5"/>
  <c r="S925" i="5"/>
  <c r="S930" i="5"/>
  <c r="S936" i="5"/>
  <c r="S942" i="5"/>
  <c r="S954" i="5"/>
  <c r="S964" i="5"/>
  <c r="S983" i="5"/>
  <c r="S998" i="5"/>
  <c r="T368" i="5"/>
  <c r="T377" i="5"/>
  <c r="T508" i="5"/>
  <c r="T553" i="5"/>
  <c r="T302" i="5"/>
  <c r="T2243" i="5" s="1"/>
  <c r="S2240" i="5"/>
  <c r="R2240" i="5" s="1"/>
  <c r="T336" i="5"/>
  <c r="T2248" i="5" s="1"/>
  <c r="T465" i="5"/>
  <c r="T468" i="5"/>
  <c r="T484" i="5"/>
  <c r="T588" i="5"/>
  <c r="T2265" i="5" s="1"/>
  <c r="T466" i="5"/>
  <c r="T471" i="5"/>
  <c r="T481" i="5"/>
  <c r="T489" i="5"/>
  <c r="T475" i="5"/>
  <c r="T478" i="5"/>
  <c r="T480" i="5"/>
  <c r="T483" i="5"/>
  <c r="T491" i="5"/>
  <c r="T496" i="5"/>
  <c r="T543" i="5"/>
  <c r="T2261" i="5" s="1"/>
  <c r="T548" i="5"/>
  <c r="T2262" i="5" s="1"/>
  <c r="T612" i="5"/>
  <c r="T615" i="5"/>
  <c r="T620" i="5"/>
  <c r="T622" i="5"/>
  <c r="T624" i="5"/>
  <c r="T626" i="5"/>
  <c r="T628" i="5"/>
  <c r="T631" i="5"/>
  <c r="T633" i="5"/>
  <c r="T635" i="5"/>
  <c r="T636" i="5"/>
  <c r="T638" i="5"/>
  <c r="T640" i="5"/>
  <c r="T642" i="5"/>
  <c r="T644" i="5"/>
  <c r="T645" i="5"/>
  <c r="T647" i="5"/>
  <c r="T649" i="5"/>
  <c r="T651" i="5"/>
  <c r="T652" i="5"/>
  <c r="T653" i="5"/>
  <c r="T655" i="5"/>
  <c r="T657" i="5"/>
  <c r="T658" i="5"/>
  <c r="T659" i="5"/>
  <c r="T660" i="5"/>
  <c r="T662" i="5"/>
  <c r="T663" i="5"/>
  <c r="T665" i="5"/>
  <c r="T666" i="5"/>
  <c r="T667" i="5"/>
  <c r="T668" i="5"/>
  <c r="T669" i="5"/>
  <c r="T670" i="5"/>
  <c r="T671" i="5"/>
  <c r="T674" i="5"/>
  <c r="T675" i="5"/>
  <c r="T676" i="5"/>
  <c r="T681" i="5"/>
  <c r="T682" i="5"/>
  <c r="T685" i="5"/>
  <c r="T689" i="5"/>
  <c r="T692" i="5"/>
  <c r="T696" i="5"/>
  <c r="T701" i="5"/>
  <c r="T706" i="5"/>
  <c r="T711" i="5"/>
  <c r="T716" i="5"/>
  <c r="T721" i="5"/>
  <c r="T726" i="5"/>
  <c r="T731" i="5"/>
  <c r="T744" i="5"/>
  <c r="T2280" i="5" s="1"/>
  <c r="T751" i="5"/>
  <c r="T756" i="5"/>
  <c r="T761" i="5"/>
  <c r="T2281" i="5" s="1"/>
  <c r="R2281" i="5" s="1"/>
  <c r="T766" i="5"/>
  <c r="T774" i="5"/>
  <c r="T777" i="5"/>
  <c r="T779" i="5"/>
  <c r="T781" i="5"/>
  <c r="T785" i="5"/>
  <c r="T793" i="5"/>
  <c r="T799" i="5"/>
  <c r="T802" i="5"/>
  <c r="T807" i="5"/>
  <c r="T809" i="5"/>
  <c r="T899" i="5"/>
  <c r="T929" i="5"/>
  <c r="T937" i="5"/>
  <c r="T956" i="5"/>
  <c r="T980" i="5"/>
  <c r="T1012" i="5"/>
  <c r="T1020" i="5"/>
  <c r="S2255" i="5"/>
  <c r="S2257" i="5"/>
  <c r="S2261" i="5"/>
  <c r="S2263" i="5"/>
  <c r="S2262" i="5"/>
  <c r="S2270" i="5"/>
  <c r="S2279" i="5"/>
  <c r="S2280" i="5"/>
  <c r="S2272" i="5"/>
  <c r="S2283" i="5"/>
  <c r="S2278" i="5"/>
  <c r="S2274" i="5" l="1"/>
  <c r="S2275" i="5"/>
  <c r="T2276" i="5"/>
  <c r="R2276" i="5" s="1"/>
  <c r="T2266" i="5"/>
  <c r="S2266" i="5"/>
  <c r="T2293" i="5"/>
  <c r="T2291" i="5"/>
  <c r="T2294" i="5"/>
  <c r="R2267" i="5"/>
  <c r="S2277" i="5"/>
  <c r="T2290" i="5"/>
  <c r="T2269" i="5"/>
  <c r="R2269" i="5" s="1"/>
  <c r="T2268" i="5"/>
  <c r="S2265" i="5"/>
  <c r="R2265" i="5" s="1"/>
  <c r="S2243" i="5"/>
  <c r="R2243" i="5" s="1"/>
  <c r="S2259" i="5"/>
  <c r="S2297" i="5"/>
  <c r="S2260" i="5"/>
  <c r="S2268" i="5"/>
  <c r="S2264" i="5"/>
  <c r="R2264" i="5" s="1"/>
  <c r="S2298" i="5"/>
  <c r="T2256" i="5"/>
  <c r="S2294" i="5"/>
  <c r="S2292" i="5"/>
  <c r="S2293" i="5"/>
  <c r="R2293" i="5" s="1"/>
  <c r="T2255" i="5"/>
  <c r="R2255" i="5" s="1"/>
  <c r="T461" i="5" s="1"/>
  <c r="T2282" i="5"/>
  <c r="R2282" i="5" s="1"/>
  <c r="T2279" i="5"/>
  <c r="R2279" i="5" s="1"/>
  <c r="S2290" i="5"/>
  <c r="S2286" i="5"/>
  <c r="R2286" i="5" s="1"/>
  <c r="T2273" i="5"/>
  <c r="T2289" i="5"/>
  <c r="T2284" i="5"/>
  <c r="R2284" i="5" s="1"/>
  <c r="T2272" i="5"/>
  <c r="R2272" i="5" s="1"/>
  <c r="T2274" i="5"/>
  <c r="R2274" i="5" s="1"/>
  <c r="T2260" i="5"/>
  <c r="S2256" i="5"/>
  <c r="T2245" i="5"/>
  <c r="R2245" i="5" s="1"/>
  <c r="T2283" i="5"/>
  <c r="R2283" i="5" s="1"/>
  <c r="T2285" i="5"/>
  <c r="T2277" i="5"/>
  <c r="R2280" i="5"/>
  <c r="R2248" i="5"/>
  <c r="T2263" i="5"/>
  <c r="R2263" i="5" s="1"/>
  <c r="R2262" i="5"/>
  <c r="T2275" i="5"/>
  <c r="R2275" i="5" s="1"/>
  <c r="T2278" i="5"/>
  <c r="R2278" i="5" s="1"/>
  <c r="T2270" i="5"/>
  <c r="R2270" i="5" s="1"/>
  <c r="R2261" i="5"/>
  <c r="T2271" i="5"/>
  <c r="T2259" i="5"/>
  <c r="T2258" i="5"/>
  <c r="R2258" i="5" s="1"/>
  <c r="S873" i="5"/>
  <c r="S845" i="5"/>
  <c r="T901" i="5"/>
  <c r="T923" i="5"/>
  <c r="T939" i="5"/>
  <c r="T898" i="5"/>
  <c r="T907" i="5"/>
  <c r="T914" i="5"/>
  <c r="T919" i="5"/>
  <c r="T786" i="5"/>
  <c r="T2288" i="5" s="1"/>
  <c r="T805" i="5"/>
  <c r="T2287" i="5" s="1"/>
  <c r="T904" i="5"/>
  <c r="T917" i="5"/>
  <c r="T918" i="5"/>
  <c r="T922" i="5"/>
  <c r="T924" i="5"/>
  <c r="T925" i="5"/>
  <c r="T926" i="5"/>
  <c r="T930" i="5"/>
  <c r="T931" i="5"/>
  <c r="T932" i="5"/>
  <c r="T934" i="5"/>
  <c r="T935" i="5"/>
  <c r="T936" i="5"/>
  <c r="T940" i="5"/>
  <c r="T942" i="5"/>
  <c r="T945" i="5"/>
  <c r="T946" i="5"/>
  <c r="T947" i="5"/>
  <c r="T950" i="5"/>
  <c r="T951" i="5"/>
  <c r="T952" i="5"/>
  <c r="T955" i="5"/>
  <c r="T958" i="5"/>
  <c r="T960" i="5"/>
  <c r="T961" i="5"/>
  <c r="T963" i="5"/>
  <c r="T964" i="5"/>
  <c r="T971" i="5"/>
  <c r="T975" i="5"/>
  <c r="T985" i="5"/>
  <c r="T986" i="5"/>
  <c r="T991" i="5"/>
  <c r="T996" i="5"/>
  <c r="T1000" i="5"/>
  <c r="T1005" i="5"/>
  <c r="T1027" i="5"/>
  <c r="T1032" i="5"/>
  <c r="T1037" i="5"/>
  <c r="T1054" i="5"/>
  <c r="T1055" i="5"/>
  <c r="T1056" i="5"/>
  <c r="T1059" i="5"/>
  <c r="T1061" i="5"/>
  <c r="T1062" i="5"/>
  <c r="T1064" i="5"/>
  <c r="T1065" i="5"/>
  <c r="T1070" i="5"/>
  <c r="T1073" i="5"/>
  <c r="T1074" i="5"/>
  <c r="T1078" i="5"/>
  <c r="T1081" i="5"/>
  <c r="T1083" i="5"/>
  <c r="T1084" i="5"/>
  <c r="T1085" i="5"/>
  <c r="T1087" i="5"/>
  <c r="T1089" i="5"/>
  <c r="T1090" i="5"/>
  <c r="T1092" i="5"/>
  <c r="T1094" i="5"/>
  <c r="T1095" i="5"/>
  <c r="T1097" i="5"/>
  <c r="T1099" i="5"/>
  <c r="T1102" i="5"/>
  <c r="T1104" i="5"/>
  <c r="T1105" i="5"/>
  <c r="T1107" i="5"/>
  <c r="T1109" i="5"/>
  <c r="T1112" i="5"/>
  <c r="T1114" i="5"/>
  <c r="T1115" i="5"/>
  <c r="T1117" i="5"/>
  <c r="T1119" i="5"/>
  <c r="T1127" i="5"/>
  <c r="T1130" i="5"/>
  <c r="T1133" i="5"/>
  <c r="T1136" i="5"/>
  <c r="T1137" i="5"/>
  <c r="T1140" i="5"/>
  <c r="T1150" i="5"/>
  <c r="T1151" i="5"/>
  <c r="T1155" i="5"/>
  <c r="T1160" i="5"/>
  <c r="T1161" i="5"/>
  <c r="S1008" i="5"/>
  <c r="S792" i="5"/>
  <c r="S2287" i="5" s="1"/>
  <c r="S899" i="5"/>
  <c r="S2296" i="5" s="1"/>
  <c r="S819" i="5"/>
  <c r="S2289" i="5" s="1"/>
  <c r="S800" i="5"/>
  <c r="S828" i="5"/>
  <c r="S948" i="5"/>
  <c r="S965" i="5"/>
  <c r="S967" i="5"/>
  <c r="S973" i="5"/>
  <c r="S806" i="5"/>
  <c r="S2288" i="5" s="1"/>
  <c r="S920" i="5"/>
  <c r="S937" i="5"/>
  <c r="S956" i="5"/>
  <c r="S966" i="5"/>
  <c r="S969" i="5"/>
  <c r="S971" i="5"/>
  <c r="S975" i="5"/>
  <c r="S976" i="5"/>
  <c r="S978" i="5"/>
  <c r="S981" i="5"/>
  <c r="S986" i="5"/>
  <c r="S988" i="5"/>
  <c r="S1003" i="5"/>
  <c r="S1015" i="5"/>
  <c r="S1055" i="5"/>
  <c r="S1060" i="5"/>
  <c r="S1066" i="5"/>
  <c r="S1067" i="5"/>
  <c r="S1068" i="5"/>
  <c r="S1070" i="5"/>
  <c r="S1072" i="5"/>
  <c r="S1073" i="5"/>
  <c r="S1074" i="5"/>
  <c r="S1078" i="5"/>
  <c r="S1079" i="5"/>
  <c r="S1080" i="5"/>
  <c r="S1081" i="5"/>
  <c r="S1082" i="5"/>
  <c r="S1087" i="5"/>
  <c r="S1089" i="5"/>
  <c r="S1090" i="5"/>
  <c r="S1095" i="5"/>
  <c r="S1099" i="5"/>
  <c r="S1100" i="5"/>
  <c r="S1105" i="5"/>
  <c r="S1109" i="5"/>
  <c r="S1110" i="5"/>
  <c r="S1115" i="5"/>
  <c r="S1120" i="5"/>
  <c r="S1126" i="5"/>
  <c r="S1133" i="5"/>
  <c r="S1136" i="5"/>
  <c r="S1140" i="5"/>
  <c r="S1145" i="5"/>
  <c r="R2259" i="5" l="1"/>
  <c r="R2289" i="5"/>
  <c r="R2277" i="5"/>
  <c r="S2401" i="5"/>
  <c r="R2266" i="5"/>
  <c r="S2403" i="5"/>
  <c r="R2294" i="5"/>
  <c r="S2402" i="5"/>
  <c r="S2393" i="5"/>
  <c r="S2400" i="5"/>
  <c r="S2399" i="5"/>
  <c r="T2399" i="5"/>
  <c r="R2290" i="5"/>
  <c r="S2395" i="5"/>
  <c r="R2268" i="5"/>
  <c r="T2257" i="5"/>
  <c r="R2257" i="5" s="1"/>
  <c r="T2292" i="5"/>
  <c r="R2292" i="5" s="1"/>
  <c r="T2403" i="5"/>
  <c r="T2395" i="5"/>
  <c r="T2393" i="5"/>
  <c r="T2397" i="5"/>
  <c r="T2298" i="5"/>
  <c r="R2298" i="5" s="1"/>
  <c r="R2256" i="5"/>
  <c r="R2260" i="5"/>
  <c r="S2397" i="5"/>
  <c r="R2288" i="5"/>
  <c r="S2295" i="5"/>
  <c r="T2394" i="5"/>
  <c r="T2296" i="5"/>
  <c r="R2296" i="5" s="1"/>
  <c r="T2398" i="5"/>
  <c r="S2398" i="5"/>
  <c r="S2396" i="5"/>
  <c r="T2402" i="5"/>
  <c r="S2271" i="5"/>
  <c r="R2271" i="5" s="1"/>
  <c r="S632" i="5"/>
  <c r="S2273" i="5" s="1"/>
  <c r="R2273" i="5" s="1"/>
  <c r="R2287" i="5"/>
  <c r="S2285" i="5"/>
  <c r="R2285" i="5" s="1"/>
  <c r="S2394" i="5"/>
  <c r="T2297" i="5"/>
  <c r="R2297" i="5" s="1"/>
  <c r="S2291" i="5"/>
  <c r="R2291" i="5" s="1"/>
  <c r="T927" i="5"/>
  <c r="T2295" i="5" s="1"/>
  <c r="R2402" i="5" l="1"/>
  <c r="R2295" i="5"/>
  <c r="R2403" i="5"/>
  <c r="R2399" i="5"/>
  <c r="R2393" i="5"/>
  <c r="R2395" i="5"/>
  <c r="R2397" i="5"/>
  <c r="R2394" i="5"/>
  <c r="X25" i="3" s="1"/>
  <c r="R2398" i="5"/>
  <c r="AC97" i="2"/>
  <c r="AD99" i="2"/>
  <c r="AC98" i="2"/>
  <c r="K113" i="2"/>
  <c r="K119" i="2"/>
  <c r="K112" i="2"/>
  <c r="K114" i="2"/>
  <c r="K111" i="2"/>
  <c r="K108" i="2"/>
  <c r="K118" i="2"/>
  <c r="K117" i="2"/>
  <c r="K116" i="2"/>
  <c r="K110" i="2"/>
  <c r="K109" i="2"/>
  <c r="K115" i="2"/>
  <c r="K144" i="2"/>
  <c r="AC144" i="2" s="1"/>
  <c r="K139" i="2"/>
  <c r="AD139" i="2" s="1"/>
  <c r="K198" i="2"/>
  <c r="AC198" i="2" s="1"/>
  <c r="K148" i="2"/>
  <c r="AC148" i="2" s="1"/>
  <c r="K186" i="2"/>
  <c r="AC186" i="2" s="1"/>
  <c r="K145" i="2"/>
  <c r="AC145" i="2" s="1"/>
  <c r="K165" i="2"/>
  <c r="AC165" i="2" s="1"/>
  <c r="K141" i="2"/>
  <c r="AC141" i="2" s="1"/>
  <c r="K155" i="2"/>
  <c r="AC155" i="2" s="1"/>
  <c r="K151" i="2"/>
  <c r="AD151" i="2" s="1"/>
  <c r="K176" i="2"/>
  <c r="AC176" i="2" s="1"/>
  <c r="K167" i="2"/>
  <c r="AC167" i="2" s="1"/>
  <c r="K177" i="2"/>
  <c r="AD177" i="2" s="1"/>
  <c r="K191" i="2"/>
  <c r="AD191" i="2" s="1"/>
  <c r="K173" i="2"/>
  <c r="AC173" i="2" s="1"/>
  <c r="K194" i="2"/>
  <c r="AC194" i="2" s="1"/>
  <c r="K179" i="2"/>
  <c r="AC179" i="2" s="1"/>
  <c r="K163" i="2"/>
  <c r="AC163" i="2" s="1"/>
  <c r="K152" i="2"/>
  <c r="AD152" i="2" s="1"/>
  <c r="K160" i="2"/>
  <c r="AC160" i="2" s="1"/>
  <c r="K192" i="2"/>
  <c r="AC192" i="2" s="1"/>
  <c r="K175" i="2"/>
  <c r="AC175" i="2" s="1"/>
  <c r="K153" i="2"/>
  <c r="AC153" i="2" s="1"/>
  <c r="K181" i="2"/>
  <c r="AC181" i="2" s="1"/>
  <c r="K178" i="2"/>
  <c r="AC178" i="2" s="1"/>
  <c r="K182" i="2"/>
  <c r="AD182" i="2" s="1"/>
  <c r="K199" i="2"/>
  <c r="AD199" i="2" s="1"/>
  <c r="K184" i="2"/>
  <c r="AC184" i="2" s="1"/>
  <c r="K183" i="2"/>
  <c r="AC183" i="2" s="1"/>
  <c r="K189" i="2"/>
  <c r="AC189" i="2" s="1"/>
  <c r="K143" i="2"/>
  <c r="AD143" i="2" s="1"/>
  <c r="K172" i="2"/>
  <c r="AD172" i="2" s="1"/>
  <c r="K169" i="2"/>
  <c r="AC169" i="2" s="1"/>
  <c r="K149" i="2"/>
  <c r="AD149" i="2" s="1"/>
  <c r="K164" i="2"/>
  <c r="AC164" i="2" s="1"/>
  <c r="K195" i="2"/>
  <c r="AC195" i="2" s="1"/>
  <c r="K185" i="2"/>
  <c r="AD185" i="2" s="1"/>
  <c r="K147" i="2"/>
  <c r="AD147" i="2" s="1"/>
  <c r="K150" i="2"/>
  <c r="AC150" i="2" s="1"/>
  <c r="K168" i="2"/>
  <c r="AC168" i="2" s="1"/>
  <c r="K166" i="2"/>
  <c r="AC166" i="2" s="1"/>
  <c r="K193" i="2"/>
  <c r="AC193" i="2" s="1"/>
  <c r="K171" i="2"/>
  <c r="AD171" i="2" s="1"/>
  <c r="K161" i="2"/>
  <c r="AC161" i="2" s="1"/>
  <c r="K140" i="2"/>
  <c r="AC140" i="2" s="1"/>
  <c r="K159" i="2"/>
  <c r="AD159" i="2" s="1"/>
  <c r="K142" i="2"/>
  <c r="AC142" i="2" s="1"/>
  <c r="K196" i="2"/>
  <c r="AC196" i="2" s="1"/>
  <c r="K170" i="2"/>
  <c r="AC170" i="2" s="1"/>
  <c r="K174" i="2"/>
  <c r="AD174" i="2" s="1"/>
  <c r="K157" i="2"/>
  <c r="AC157" i="2" s="1"/>
  <c r="K197" i="2"/>
  <c r="AD197" i="2" s="1"/>
  <c r="K156" i="2"/>
  <c r="AC156" i="2" s="1"/>
  <c r="K162" i="2"/>
  <c r="AC162" i="2" s="1"/>
  <c r="K146" i="2"/>
  <c r="AC146" i="2" s="1"/>
  <c r="K187" i="2"/>
  <c r="AC187" i="2" s="1"/>
  <c r="K158" i="2"/>
  <c r="AC158" i="2" s="1"/>
  <c r="K190" i="2"/>
  <c r="AC190" i="2" s="1"/>
  <c r="K180" i="2"/>
  <c r="AC180" i="2" s="1"/>
  <c r="K188" i="2"/>
  <c r="AC188" i="2" s="1"/>
  <c r="K154" i="2"/>
  <c r="AC154" i="2" s="1"/>
  <c r="T2396" i="5" l="1"/>
  <c r="R2396" i="5" s="1"/>
  <c r="T2401" i="5"/>
  <c r="R2401" i="5" s="1"/>
  <c r="X84" i="3"/>
  <c r="AC119" i="2"/>
  <c r="AO119" i="2"/>
  <c r="AD154" i="2"/>
  <c r="AE154" i="2" s="1"/>
  <c r="AD148" i="2"/>
  <c r="AE148" i="2" s="1"/>
  <c r="AD163" i="2"/>
  <c r="AE163" i="2" s="1"/>
  <c r="AD156" i="2"/>
  <c r="AE156" i="2" s="1"/>
  <c r="AD161" i="2"/>
  <c r="AE161" i="2" s="1"/>
  <c r="AD98" i="2"/>
  <c r="AD188" i="2"/>
  <c r="AE188" i="2" s="1"/>
  <c r="AC182" i="2"/>
  <c r="AE182" i="2" s="1"/>
  <c r="AD179" i="2"/>
  <c r="AE179" i="2" s="1"/>
  <c r="AC149" i="2"/>
  <c r="AE149" i="2" s="1"/>
  <c r="AC191" i="2"/>
  <c r="AE191" i="2" s="1"/>
  <c r="AD166" i="2"/>
  <c r="AE166" i="2" s="1"/>
  <c r="AD144" i="2"/>
  <c r="AE144" i="2" s="1"/>
  <c r="AD192" i="2"/>
  <c r="AE192" i="2" s="1"/>
  <c r="AD145" i="2"/>
  <c r="AE145" i="2" s="1"/>
  <c r="AD146" i="2"/>
  <c r="AE146" i="2" s="1"/>
  <c r="AD196" i="2"/>
  <c r="AD195" i="2"/>
  <c r="AD183" i="2"/>
  <c r="AE183" i="2" s="1"/>
  <c r="AD153" i="2"/>
  <c r="AE153" i="2" s="1"/>
  <c r="AD176" i="2"/>
  <c r="AE176" i="2" s="1"/>
  <c r="AC172" i="2"/>
  <c r="AE172" i="2" s="1"/>
  <c r="AC99" i="2"/>
  <c r="AD184" i="2"/>
  <c r="AE184" i="2" s="1"/>
  <c r="AD198" i="2"/>
  <c r="AD97" i="2"/>
  <c r="AC159" i="2"/>
  <c r="AE159" i="2" s="1"/>
  <c r="AD150" i="2"/>
  <c r="AE150" i="2" s="1"/>
  <c r="AD169" i="2"/>
  <c r="AE169" i="2" s="1"/>
  <c r="AC199" i="2"/>
  <c r="AD173" i="2"/>
  <c r="AE173" i="2" s="1"/>
  <c r="AC151" i="2"/>
  <c r="AE151" i="2" s="1"/>
  <c r="AC139" i="2"/>
  <c r="AE139" i="2" s="1"/>
  <c r="AD190" i="2"/>
  <c r="AE190" i="2" s="1"/>
  <c r="AD157" i="2"/>
  <c r="AE157" i="2" s="1"/>
  <c r="AD167" i="2"/>
  <c r="AE167" i="2" s="1"/>
  <c r="AC185" i="2"/>
  <c r="AE185" i="2" s="1"/>
  <c r="AC174" i="2"/>
  <c r="AE174" i="2" s="1"/>
  <c r="AD180" i="2"/>
  <c r="AE180" i="2" s="1"/>
  <c r="AD162" i="2"/>
  <c r="AE162" i="2" s="1"/>
  <c r="AD140" i="2"/>
  <c r="AE140" i="2" s="1"/>
  <c r="AD168" i="2"/>
  <c r="AE168" i="2" s="1"/>
  <c r="AD175" i="2"/>
  <c r="AE175" i="2" s="1"/>
  <c r="AC171" i="2"/>
  <c r="AE171" i="2" s="1"/>
  <c r="AC147" i="2"/>
  <c r="AE147" i="2" s="1"/>
  <c r="AC177" i="2"/>
  <c r="AE177" i="2" s="1"/>
  <c r="AD170" i="2"/>
  <c r="AE170" i="2" s="1"/>
  <c r="AD164" i="2"/>
  <c r="AE164" i="2" s="1"/>
  <c r="AD189" i="2"/>
  <c r="AE189" i="2" s="1"/>
  <c r="AD155" i="2"/>
  <c r="AE155" i="2" s="1"/>
  <c r="AD141" i="2"/>
  <c r="AE141" i="2" s="1"/>
  <c r="AD165" i="2"/>
  <c r="AE165" i="2" s="1"/>
  <c r="AD186" i="2"/>
  <c r="AE186" i="2" s="1"/>
  <c r="AD119" i="2"/>
  <c r="AC152" i="2"/>
  <c r="AE152" i="2" s="1"/>
  <c r="AD158" i="2"/>
  <c r="AE158" i="2" s="1"/>
  <c r="AC197" i="2"/>
  <c r="AD178" i="2"/>
  <c r="AE178" i="2" s="1"/>
  <c r="AD160" i="2"/>
  <c r="AE160" i="2" s="1"/>
  <c r="AD194" i="2"/>
  <c r="AD187" i="2"/>
  <c r="AE187" i="2" s="1"/>
  <c r="AD142" i="2"/>
  <c r="AE142" i="2" s="1"/>
  <c r="AD193" i="2"/>
  <c r="AE193" i="2" s="1"/>
  <c r="AD181" i="2"/>
  <c r="AE181" i="2" s="1"/>
  <c r="AC143" i="2"/>
  <c r="AE143" i="2" s="1"/>
  <c r="AE119" i="2" l="1"/>
  <c r="AE194" i="2"/>
  <c r="AE197" i="2" l="1"/>
  <c r="AE199" i="2"/>
  <c r="AE196" i="2"/>
  <c r="AE198" i="2"/>
  <c r="E90" i="1" l="1"/>
  <c r="I90" i="1"/>
  <c r="F90" i="1"/>
  <c r="K90" i="1"/>
  <c r="C90" i="1"/>
  <c r="M90" i="1"/>
  <c r="G90" i="1"/>
  <c r="D90" i="1"/>
  <c r="H90" i="1"/>
  <c r="J90" i="1"/>
  <c r="L90" i="1"/>
  <c r="M91" i="1"/>
  <c r="G91" i="1"/>
  <c r="D91" i="1"/>
  <c r="K91" i="1"/>
  <c r="F91" i="1"/>
  <c r="C91" i="1"/>
  <c r="L91" i="1"/>
  <c r="I91" i="1"/>
  <c r="E91" i="1"/>
  <c r="H91" i="1"/>
  <c r="J91" i="1"/>
  <c r="G89" i="1"/>
  <c r="K89" i="1"/>
  <c r="F89" i="1"/>
  <c r="M89" i="1"/>
  <c r="I89" i="1"/>
  <c r="E89" i="1"/>
  <c r="L89" i="1"/>
  <c r="H89" i="1"/>
  <c r="C89" i="1"/>
  <c r="J89" i="1"/>
  <c r="D89" i="1"/>
  <c r="X106" i="2" l="1"/>
  <c r="X105" i="2"/>
  <c r="X104" i="2"/>
  <c r="C103" i="7"/>
  <c r="E92" i="3" s="1"/>
  <c r="E93" i="3" l="1"/>
  <c r="H92" i="3"/>
  <c r="R92" i="3"/>
  <c r="J92" i="3"/>
  <c r="O102" i="2" s="1"/>
  <c r="P102" i="2" s="1"/>
  <c r="V92" i="3"/>
  <c r="P92" i="3"/>
  <c r="F92" i="3"/>
  <c r="N92" i="3"/>
  <c r="S92" i="3"/>
  <c r="U92" i="3"/>
  <c r="O92" i="3"/>
  <c r="I92" i="3"/>
  <c r="L102" i="2" s="1"/>
  <c r="K92" i="3"/>
  <c r="L92" i="3"/>
  <c r="M92" i="3"/>
  <c r="Q92" i="3"/>
  <c r="F102" i="2"/>
  <c r="G92" i="3"/>
  <c r="T92" i="3"/>
  <c r="J93" i="3"/>
  <c r="O103" i="2" s="1"/>
  <c r="P103" i="2" s="1"/>
  <c r="Q93" i="3"/>
  <c r="R93" i="3"/>
  <c r="I93" i="3"/>
  <c r="L103" i="2" s="1"/>
  <c r="F103" i="2"/>
  <c r="N93" i="3"/>
  <c r="L93" i="3"/>
  <c r="M93" i="3"/>
  <c r="S93" i="3"/>
  <c r="G93" i="3"/>
  <c r="K93" i="3"/>
  <c r="U93" i="3"/>
  <c r="P93" i="3"/>
  <c r="T93" i="3"/>
  <c r="V93" i="3"/>
  <c r="O93" i="3"/>
  <c r="F93" i="3"/>
  <c r="E94" i="3" l="1"/>
  <c r="H93" i="3"/>
  <c r="J103" i="2" s="1"/>
  <c r="K103" i="2" s="1"/>
  <c r="AA102" i="2"/>
  <c r="AB102" i="2" s="1"/>
  <c r="Y103" i="2"/>
  <c r="Z103" i="2" s="1"/>
  <c r="Q103" i="2"/>
  <c r="R103" i="2" s="1"/>
  <c r="S103" i="2"/>
  <c r="T103" i="2" s="1"/>
  <c r="Y102" i="2"/>
  <c r="Z102" i="2" s="1"/>
  <c r="AA103" i="2"/>
  <c r="AB103" i="2" s="1"/>
  <c r="M103" i="2"/>
  <c r="G103" i="2"/>
  <c r="U103" i="2"/>
  <c r="V103" i="2" s="1"/>
  <c r="S102" i="2"/>
  <c r="J102" i="2"/>
  <c r="K102" i="2" s="1"/>
  <c r="I102" i="2"/>
  <c r="U102" i="2"/>
  <c r="V102" i="2" s="1"/>
  <c r="G102" i="2"/>
  <c r="AG103" i="2"/>
  <c r="AG102" i="2"/>
  <c r="Q102" i="2"/>
  <c r="I103" i="2" l="1"/>
  <c r="H94" i="3"/>
  <c r="F94" i="3"/>
  <c r="T94" i="3"/>
  <c r="E95" i="3"/>
  <c r="F104" i="2"/>
  <c r="L94" i="3"/>
  <c r="M94" i="3"/>
  <c r="I94" i="3"/>
  <c r="L104" i="2" s="1"/>
  <c r="V94" i="3"/>
  <c r="S94" i="3"/>
  <c r="O94" i="3"/>
  <c r="N94" i="3"/>
  <c r="K94" i="3"/>
  <c r="U94" i="3"/>
  <c r="G94" i="3"/>
  <c r="J94" i="3"/>
  <c r="O104" i="2" s="1"/>
  <c r="P104" i="2" s="1"/>
  <c r="R94" i="3"/>
  <c r="Q94" i="3"/>
  <c r="P94" i="3"/>
  <c r="H14" i="7"/>
  <c r="G14" i="7"/>
  <c r="N103" i="2"/>
  <c r="H102" i="2"/>
  <c r="T102" i="2"/>
  <c r="H103" i="2"/>
  <c r="G8" i="7"/>
  <c r="H8" i="7"/>
  <c r="R102" i="2"/>
  <c r="AA104" i="2" l="1"/>
  <c r="AB104" i="2" s="1"/>
  <c r="S104" i="2"/>
  <c r="T104" i="2" s="1"/>
  <c r="AG104" i="2"/>
  <c r="Y104" i="2"/>
  <c r="Z104" i="2" s="1"/>
  <c r="Q104" i="2"/>
  <c r="R104" i="2" s="1"/>
  <c r="U104" i="2"/>
  <c r="M104" i="2"/>
  <c r="N104" i="2" s="1"/>
  <c r="G104" i="2"/>
  <c r="J95" i="3"/>
  <c r="O105" i="2" s="1"/>
  <c r="P105" i="2" s="1"/>
  <c r="H95" i="3"/>
  <c r="M95" i="3"/>
  <c r="L95" i="3"/>
  <c r="G95" i="3"/>
  <c r="U95" i="3"/>
  <c r="N95" i="3"/>
  <c r="E96" i="3"/>
  <c r="P95" i="3"/>
  <c r="T95" i="3"/>
  <c r="R95" i="3"/>
  <c r="S95" i="3"/>
  <c r="I95" i="3"/>
  <c r="L105" i="2" s="1"/>
  <c r="K95" i="3"/>
  <c r="O95" i="3"/>
  <c r="V95" i="3"/>
  <c r="Q95" i="3"/>
  <c r="F95" i="3"/>
  <c r="F105" i="2"/>
  <c r="J104" i="2"/>
  <c r="K104" i="2" s="1"/>
  <c r="I104" i="2"/>
  <c r="AC103" i="2"/>
  <c r="AD103" i="2"/>
  <c r="AO103" i="2"/>
  <c r="Y105" i="2" l="1"/>
  <c r="Z105" i="2" s="1"/>
  <c r="AA105" i="2"/>
  <c r="AB105" i="2" s="1"/>
  <c r="U105" i="2"/>
  <c r="V105" i="2" s="1"/>
  <c r="G105" i="2"/>
  <c r="E8" i="7" s="1"/>
  <c r="M105" i="2"/>
  <c r="N105" i="2" s="1"/>
  <c r="I105" i="2"/>
  <c r="J105" i="2"/>
  <c r="K105" i="2" s="1"/>
  <c r="S105" i="2"/>
  <c r="F8" i="7"/>
  <c r="H104" i="2"/>
  <c r="AG105" i="2"/>
  <c r="H96" i="3"/>
  <c r="N96" i="3"/>
  <c r="T96" i="3"/>
  <c r="I96" i="3"/>
  <c r="L106" i="2" s="1"/>
  <c r="L96" i="3"/>
  <c r="E97" i="3"/>
  <c r="O96" i="3"/>
  <c r="M96" i="3"/>
  <c r="R96" i="3"/>
  <c r="V96" i="3"/>
  <c r="S96" i="3"/>
  <c r="F96" i="3"/>
  <c r="F106" i="2"/>
  <c r="G96" i="3"/>
  <c r="Q96" i="3"/>
  <c r="P96" i="3"/>
  <c r="J96" i="3"/>
  <c r="O106" i="2" s="1"/>
  <c r="P106" i="2" s="1"/>
  <c r="U96" i="3"/>
  <c r="K96" i="3"/>
  <c r="Q105" i="2"/>
  <c r="R105" i="2" s="1"/>
  <c r="V104" i="2"/>
  <c r="F14" i="7" s="1"/>
  <c r="AE103" i="2"/>
  <c r="G17" i="7" s="1"/>
  <c r="E14" i="7" l="1"/>
  <c r="Q106" i="2"/>
  <c r="R106" i="2" s="1"/>
  <c r="S106" i="2"/>
  <c r="T106" i="2" s="1"/>
  <c r="AG106" i="2"/>
  <c r="T105" i="2"/>
  <c r="J106" i="2"/>
  <c r="K106" i="2" s="1"/>
  <c r="I106" i="2"/>
  <c r="G106" i="2"/>
  <c r="U106" i="2"/>
  <c r="V106" i="2" s="1"/>
  <c r="M106" i="2"/>
  <c r="N106" i="2" s="1"/>
  <c r="AA106" i="2"/>
  <c r="AB106" i="2" s="1"/>
  <c r="H105" i="2"/>
  <c r="Y106" i="2"/>
  <c r="Z106" i="2" s="1"/>
  <c r="H97" i="3"/>
  <c r="V97" i="3"/>
  <c r="M97" i="3"/>
  <c r="K97" i="3"/>
  <c r="Q97" i="3"/>
  <c r="J97" i="3"/>
  <c r="O107" i="2" s="1"/>
  <c r="P107" i="2" s="1"/>
  <c r="P97" i="3"/>
  <c r="S97" i="3"/>
  <c r="R97" i="3"/>
  <c r="O97" i="3"/>
  <c r="I97" i="3"/>
  <c r="L107" i="2" s="1"/>
  <c r="T97" i="3"/>
  <c r="G97" i="3"/>
  <c r="N97" i="3"/>
  <c r="F97" i="3"/>
  <c r="U97" i="3"/>
  <c r="L97" i="3"/>
  <c r="F107" i="2"/>
  <c r="F24" i="7" s="1"/>
  <c r="AD104" i="2"/>
  <c r="AC104" i="2"/>
  <c r="AO104" i="2"/>
  <c r="H28" i="7" l="1"/>
  <c r="C25" i="7"/>
  <c r="C29" i="7"/>
  <c r="E30" i="7"/>
  <c r="H15" i="7"/>
  <c r="C24" i="7"/>
  <c r="G10" i="7"/>
  <c r="H26" i="7"/>
  <c r="H43" i="7"/>
  <c r="H44" i="7"/>
  <c r="D43" i="7"/>
  <c r="G45" i="7"/>
  <c r="H31" i="7"/>
  <c r="D40" i="7"/>
  <c r="E29" i="7"/>
  <c r="G25" i="7"/>
  <c r="G47" i="7"/>
  <c r="D47" i="7"/>
  <c r="H29" i="7"/>
  <c r="D30" i="7"/>
  <c r="G43" i="7"/>
  <c r="D46" i="7"/>
  <c r="G39" i="7"/>
  <c r="G24" i="7"/>
  <c r="F25" i="7"/>
  <c r="G31" i="7"/>
  <c r="D23" i="7"/>
  <c r="E38" i="7"/>
  <c r="C38" i="7"/>
  <c r="D44" i="7"/>
  <c r="D31" i="7"/>
  <c r="G28" i="7"/>
  <c r="D39" i="7"/>
  <c r="D41" i="7"/>
  <c r="H40" i="7"/>
  <c r="C27" i="7"/>
  <c r="E31" i="7"/>
  <c r="G23" i="7"/>
  <c r="D27" i="7"/>
  <c r="F39" i="7"/>
  <c r="D32" i="7"/>
  <c r="F30" i="7"/>
  <c r="D28" i="7"/>
  <c r="D38" i="7"/>
  <c r="C28" i="7"/>
  <c r="E27" i="7"/>
  <c r="H41" i="7"/>
  <c r="F44" i="7"/>
  <c r="C31" i="7"/>
  <c r="F41" i="7"/>
  <c r="C42" i="7"/>
  <c r="H38" i="7"/>
  <c r="H30" i="7"/>
  <c r="F27" i="7"/>
  <c r="C45" i="7"/>
  <c r="D45" i="7"/>
  <c r="C23" i="7"/>
  <c r="G42" i="7"/>
  <c r="G38" i="7"/>
  <c r="F47" i="7"/>
  <c r="F28" i="7"/>
  <c r="E46" i="7"/>
  <c r="H46" i="7"/>
  <c r="F42" i="7"/>
  <c r="E25" i="7"/>
  <c r="C44" i="7"/>
  <c r="F26" i="7"/>
  <c r="F32" i="7"/>
  <c r="E44" i="7"/>
  <c r="C47" i="7"/>
  <c r="C32" i="7"/>
  <c r="C40" i="7"/>
  <c r="F29" i="7"/>
  <c r="H45" i="7"/>
  <c r="H27" i="7"/>
  <c r="G46" i="7"/>
  <c r="H23" i="7"/>
  <c r="E45" i="7"/>
  <c r="E43" i="7"/>
  <c r="C39" i="7"/>
  <c r="F45" i="7"/>
  <c r="E23" i="7"/>
  <c r="H24" i="7"/>
  <c r="E26" i="7"/>
  <c r="F40" i="7"/>
  <c r="D24" i="7"/>
  <c r="G29" i="7"/>
  <c r="F46" i="7"/>
  <c r="G27" i="7"/>
  <c r="E40" i="7"/>
  <c r="E28" i="7"/>
  <c r="G30" i="7"/>
  <c r="E41" i="7"/>
  <c r="G40" i="7"/>
  <c r="F31" i="7"/>
  <c r="G44" i="7"/>
  <c r="C30" i="7"/>
  <c r="H42" i="7"/>
  <c r="H39" i="7"/>
  <c r="G26" i="7"/>
  <c r="C26" i="7"/>
  <c r="F23" i="7"/>
  <c r="C43" i="7"/>
  <c r="G41" i="7"/>
  <c r="E39" i="7"/>
  <c r="F38" i="7"/>
  <c r="E47" i="7"/>
  <c r="G32" i="7"/>
  <c r="D42" i="7"/>
  <c r="E32" i="7"/>
  <c r="C46" i="7"/>
  <c r="C41" i="7"/>
  <c r="H25" i="7"/>
  <c r="F43" i="7"/>
  <c r="D26" i="7"/>
  <c r="D29" i="7"/>
  <c r="E24" i="7"/>
  <c r="E42" i="7"/>
  <c r="D25" i="7"/>
  <c r="E9" i="7"/>
  <c r="F9" i="7"/>
  <c r="AD105" i="2"/>
  <c r="AA107" i="2"/>
  <c r="AB107" i="2" s="1"/>
  <c r="Q107" i="2"/>
  <c r="R107" i="2" s="1"/>
  <c r="AE104" i="2"/>
  <c r="F17" i="7" s="1"/>
  <c r="AC105" i="2"/>
  <c r="S107" i="2"/>
  <c r="T107" i="2" s="1"/>
  <c r="E12" i="7"/>
  <c r="AG107" i="2"/>
  <c r="H16" i="7"/>
  <c r="E16" i="7"/>
  <c r="E10" i="7"/>
  <c r="F16" i="7"/>
  <c r="H12" i="7"/>
  <c r="H11" i="7"/>
  <c r="G12" i="7"/>
  <c r="H9" i="7"/>
  <c r="G11" i="7"/>
  <c r="G15" i="7"/>
  <c r="AO105" i="2"/>
  <c r="D8" i="7"/>
  <c r="H106" i="2"/>
  <c r="AC106" i="2" s="1"/>
  <c r="G13" i="7"/>
  <c r="E11" i="7"/>
  <c r="M107" i="2"/>
  <c r="N107" i="2" s="1"/>
  <c r="U107" i="2"/>
  <c r="V107" i="2" s="1"/>
  <c r="G107" i="2"/>
  <c r="F10" i="7"/>
  <c r="F13" i="7"/>
  <c r="D15" i="7"/>
  <c r="Y107" i="2"/>
  <c r="Z107" i="2" s="1"/>
  <c r="C11" i="7"/>
  <c r="D9" i="7"/>
  <c r="D16" i="7"/>
  <c r="D10" i="7"/>
  <c r="E15" i="7"/>
  <c r="F11" i="7"/>
  <c r="D13" i="7"/>
  <c r="G16" i="7"/>
  <c r="D12" i="7"/>
  <c r="D14" i="7"/>
  <c r="H13" i="7"/>
  <c r="E13" i="7"/>
  <c r="D11" i="7"/>
  <c r="I107" i="2"/>
  <c r="C9" i="7" s="1"/>
  <c r="J107" i="2"/>
  <c r="K107" i="2" s="1"/>
  <c r="F15" i="7"/>
  <c r="F12" i="7"/>
  <c r="G9" i="7"/>
  <c r="G7" i="3"/>
  <c r="S7" i="3"/>
  <c r="S77" i="3" s="1"/>
  <c r="P7" i="3"/>
  <c r="M7" i="3"/>
  <c r="K7" i="3"/>
  <c r="T7" i="3"/>
  <c r="X7" i="3"/>
  <c r="O7" i="3"/>
  <c r="O78" i="3" s="1"/>
  <c r="Y7" i="3"/>
  <c r="F7" i="3"/>
  <c r="F78" i="3" s="1"/>
  <c r="V7" i="3"/>
  <c r="Q7" i="3"/>
  <c r="I7" i="3"/>
  <c r="L7" i="3"/>
  <c r="N7" i="3"/>
  <c r="R7" i="3"/>
  <c r="H77" i="3"/>
  <c r="U7" i="3"/>
  <c r="U78" i="3" s="1"/>
  <c r="G77" i="3" l="1"/>
  <c r="AC77" i="3" s="1"/>
  <c r="AC7" i="3"/>
  <c r="I20" i="2" s="1"/>
  <c r="J20" i="2" s="1"/>
  <c r="AJ7" i="3"/>
  <c r="AA20" i="2" s="1"/>
  <c r="AB20" i="2" s="1"/>
  <c r="AB120" i="2" s="1"/>
  <c r="AF7" i="3"/>
  <c r="Q20" i="2" s="1"/>
  <c r="R20" i="2" s="1"/>
  <c r="R120" i="2" s="1"/>
  <c r="AE105" i="2"/>
  <c r="E17" i="7" s="1"/>
  <c r="AE7" i="3"/>
  <c r="O20" i="2" s="1"/>
  <c r="P20" i="2" s="1"/>
  <c r="P120" i="2" s="1"/>
  <c r="AG7" i="3"/>
  <c r="S20" i="2" s="1"/>
  <c r="T20" i="2" s="1"/>
  <c r="T120" i="2" s="1"/>
  <c r="AB7" i="3"/>
  <c r="G20" i="2" s="1"/>
  <c r="H20" i="2" s="1"/>
  <c r="Q77" i="3"/>
  <c r="AI7" i="3"/>
  <c r="Y20" i="2" s="1"/>
  <c r="Z20" i="2" s="1"/>
  <c r="Z120" i="2" s="1"/>
  <c r="C12" i="7"/>
  <c r="I77" i="3"/>
  <c r="AD7" i="3"/>
  <c r="M20" i="2" s="1"/>
  <c r="N20" i="2" s="1"/>
  <c r="V78" i="3"/>
  <c r="AH78" i="3" s="1"/>
  <c r="U92" i="2" s="1"/>
  <c r="V92" i="2" s="1"/>
  <c r="AH7" i="3"/>
  <c r="U20" i="2" s="1"/>
  <c r="V20" i="2" s="1"/>
  <c r="V120" i="2" s="1"/>
  <c r="C13" i="7"/>
  <c r="C16" i="7"/>
  <c r="K77" i="3"/>
  <c r="AO106" i="2"/>
  <c r="AD106" i="2"/>
  <c r="AE106" i="2" s="1"/>
  <c r="D17" i="7" s="1"/>
  <c r="H107" i="2"/>
  <c r="AC107" i="2" s="1"/>
  <c r="C14" i="7"/>
  <c r="C8" i="7"/>
  <c r="C10" i="7"/>
  <c r="C15" i="7"/>
  <c r="O77" i="3"/>
  <c r="N78" i="3"/>
  <c r="Q78" i="3"/>
  <c r="F77" i="3"/>
  <c r="N77" i="3"/>
  <c r="R78" i="3"/>
  <c r="R77" i="3"/>
  <c r="U77" i="3"/>
  <c r="H78" i="3"/>
  <c r="L77" i="3"/>
  <c r="L78" i="3"/>
  <c r="I78" i="3"/>
  <c r="AD78" i="3" s="1"/>
  <c r="M92" i="2" s="1"/>
  <c r="N92" i="2" s="1"/>
  <c r="T77" i="3"/>
  <c r="T78" i="3"/>
  <c r="M78" i="3"/>
  <c r="M77" i="3"/>
  <c r="K78" i="3"/>
  <c r="G78" i="3"/>
  <c r="P78" i="3"/>
  <c r="AG78" i="3" s="1"/>
  <c r="S92" i="2" s="1"/>
  <c r="T92" i="2" s="1"/>
  <c r="P77" i="3"/>
  <c r="AE78" i="3"/>
  <c r="O92" i="2" s="1"/>
  <c r="P92" i="2" s="1"/>
  <c r="S78" i="3"/>
  <c r="V77" i="3"/>
  <c r="I91" i="2" l="1"/>
  <c r="J91" i="2"/>
  <c r="K91" i="2" s="1"/>
  <c r="AC78" i="3"/>
  <c r="I92" i="2" s="1"/>
  <c r="E9" i="8" s="1"/>
  <c r="AH77" i="3"/>
  <c r="Y91" i="2"/>
  <c r="N120" i="2"/>
  <c r="AE77" i="3"/>
  <c r="O91" i="2" s="1"/>
  <c r="AB77" i="3"/>
  <c r="AB78" i="3"/>
  <c r="G92" i="2" s="1"/>
  <c r="H92" i="2" s="1"/>
  <c r="AF78" i="3"/>
  <c r="Q92" i="2" s="1"/>
  <c r="R92" i="2" s="1"/>
  <c r="AG77" i="3"/>
  <c r="AJ78" i="3"/>
  <c r="AA92" i="2" s="1"/>
  <c r="AB92" i="2" s="1"/>
  <c r="AA91" i="2"/>
  <c r="AJ77" i="3"/>
  <c r="AF77" i="3"/>
  <c r="AI78" i="3"/>
  <c r="Y92" i="2" s="1"/>
  <c r="Z92" i="2" s="1"/>
  <c r="AO90" i="2"/>
  <c r="AD77" i="3"/>
  <c r="M91" i="2" s="1"/>
  <c r="AI77" i="3"/>
  <c r="K20" i="2"/>
  <c r="AC20" i="2" s="1"/>
  <c r="AD107" i="2"/>
  <c r="AE107" i="2" s="1"/>
  <c r="C17" i="7" s="1"/>
  <c r="AO107" i="2"/>
  <c r="S91" i="2"/>
  <c r="Q91" i="2"/>
  <c r="G9" i="8"/>
  <c r="J9" i="8"/>
  <c r="G91" i="2"/>
  <c r="C7" i="12" s="1"/>
  <c r="U91" i="2"/>
  <c r="I7" i="12" s="1"/>
  <c r="I9" i="8"/>
  <c r="D8" i="1" l="1"/>
  <c r="D7" i="12"/>
  <c r="F8" i="1"/>
  <c r="F7" i="12"/>
  <c r="N91" i="2"/>
  <c r="E7" i="12"/>
  <c r="K8" i="1"/>
  <c r="K7" i="12"/>
  <c r="R91" i="2"/>
  <c r="G7" i="12"/>
  <c r="T91" i="2"/>
  <c r="H7" i="12"/>
  <c r="L8" i="1"/>
  <c r="L7" i="12"/>
  <c r="Z91" i="2"/>
  <c r="H9" i="8"/>
  <c r="P91" i="2"/>
  <c r="AC92" i="2"/>
  <c r="AB91" i="2"/>
  <c r="K120" i="2"/>
  <c r="L9" i="8"/>
  <c r="G8" i="1"/>
  <c r="D9" i="8"/>
  <c r="H8" i="1"/>
  <c r="E8" i="1"/>
  <c r="F9" i="8"/>
  <c r="M9" i="8"/>
  <c r="H120" i="2"/>
  <c r="I120" i="2" s="1"/>
  <c r="V91" i="2"/>
  <c r="I8" i="1"/>
  <c r="H91" i="2"/>
  <c r="C8" i="1"/>
  <c r="AO20" i="2"/>
  <c r="AD20" i="2" s="1"/>
  <c r="AE20" i="2" s="1"/>
  <c r="AE92" i="2" l="1"/>
  <c r="C56" i="2"/>
  <c r="D56" i="2" s="1"/>
  <c r="C87" i="2"/>
  <c r="D87" i="2" s="1"/>
  <c r="C32" i="2"/>
  <c r="D32" i="2" s="1"/>
  <c r="C42" i="2"/>
  <c r="D42" i="2" s="1"/>
  <c r="C61" i="2"/>
  <c r="D61" i="2" s="1"/>
  <c r="C33" i="2"/>
  <c r="D33" i="2" s="1"/>
  <c r="C53" i="2"/>
  <c r="D53" i="2" s="1"/>
  <c r="C20" i="2"/>
  <c r="D20" i="2" s="1"/>
  <c r="C25" i="2"/>
  <c r="D25" i="2" s="1"/>
  <c r="C60" i="2"/>
  <c r="D60" i="2" s="1"/>
  <c r="C80" i="2"/>
  <c r="D80" i="2" s="1"/>
  <c r="C84" i="2"/>
  <c r="D84" i="2" s="1"/>
  <c r="C85" i="2"/>
  <c r="D85" i="2" s="1"/>
  <c r="C38" i="2"/>
  <c r="D38" i="2" s="1"/>
  <c r="C77" i="2"/>
  <c r="D77" i="2" s="1"/>
  <c r="C45" i="2"/>
  <c r="D45" i="2" s="1"/>
  <c r="C74" i="2"/>
  <c r="D74" i="2" s="1"/>
  <c r="C39" i="2"/>
  <c r="D39" i="2" s="1"/>
  <c r="C28" i="2"/>
  <c r="D28" i="2" s="1"/>
  <c r="C73" i="2"/>
  <c r="D73" i="2" s="1"/>
  <c r="C46" i="2"/>
  <c r="D46" i="2" s="1"/>
  <c r="C64" i="2"/>
  <c r="D64" i="2" s="1"/>
  <c r="C79" i="2"/>
  <c r="D79" i="2" s="1"/>
  <c r="C24" i="2"/>
  <c r="D24" i="2" s="1"/>
  <c r="C37" i="2"/>
  <c r="D37" i="2" s="1"/>
  <c r="C66" i="2"/>
  <c r="D66" i="2" s="1"/>
  <c r="C48" i="2"/>
  <c r="D48" i="2" s="1"/>
  <c r="C58" i="2"/>
  <c r="D58" i="2" s="1"/>
  <c r="C31" i="2"/>
  <c r="D31" i="2" s="1"/>
  <c r="C40" i="2"/>
  <c r="D40" i="2" s="1"/>
  <c r="C71" i="2"/>
  <c r="D71" i="2" s="1"/>
  <c r="C76" i="2"/>
  <c r="D76" i="2" s="1"/>
  <c r="C59" i="2"/>
  <c r="D59" i="2" s="1"/>
  <c r="C83" i="2"/>
  <c r="D83" i="2" s="1"/>
  <c r="C65" i="2"/>
  <c r="D65" i="2" s="1"/>
  <c r="C50" i="2"/>
  <c r="D50" i="2" s="1"/>
  <c r="C69" i="2"/>
  <c r="D69" i="2" s="1"/>
  <c r="C70" i="2"/>
  <c r="D70" i="2" s="1"/>
  <c r="C54" i="2"/>
  <c r="D54" i="2" s="1"/>
  <c r="C21" i="2"/>
  <c r="D21" i="2" s="1"/>
  <c r="C51" i="2"/>
  <c r="D51" i="2" s="1"/>
  <c r="C86" i="2"/>
  <c r="D86" i="2" s="1"/>
  <c r="C47" i="2"/>
  <c r="D47" i="2" s="1"/>
  <c r="C82" i="2"/>
  <c r="D82" i="2" s="1"/>
  <c r="C27" i="2"/>
  <c r="D27" i="2" s="1"/>
  <c r="C62" i="2"/>
  <c r="D62" i="2" s="1"/>
  <c r="C52" i="2"/>
  <c r="D52" i="2" s="1"/>
  <c r="C36" i="2"/>
  <c r="D36" i="2" s="1"/>
  <c r="C78" i="2"/>
  <c r="D78" i="2" s="1"/>
  <c r="C43" i="2"/>
  <c r="D43" i="2" s="1"/>
  <c r="C30" i="2"/>
  <c r="D30" i="2" s="1"/>
  <c r="C63" i="2"/>
  <c r="D63" i="2" s="1"/>
  <c r="C49" i="2"/>
  <c r="D49" i="2" s="1"/>
  <c r="C22" i="2"/>
  <c r="D22" i="2" s="1"/>
  <c r="C81" i="2"/>
  <c r="D81" i="2" s="1"/>
  <c r="C44" i="2"/>
  <c r="D44" i="2" s="1"/>
  <c r="C35" i="2"/>
  <c r="D35" i="2" s="1"/>
  <c r="C41" i="2"/>
  <c r="D41" i="2" s="1"/>
  <c r="C67" i="2"/>
  <c r="D67" i="2" s="1"/>
  <c r="C72" i="2"/>
  <c r="D72" i="2" s="1"/>
  <c r="C75" i="2"/>
  <c r="D75" i="2" s="1"/>
  <c r="C23" i="2"/>
  <c r="D23" i="2" s="1"/>
  <c r="C68" i="2"/>
  <c r="D68" i="2" s="1"/>
  <c r="C26" i="2"/>
  <c r="D26" i="2" s="1"/>
  <c r="C34" i="2"/>
  <c r="D34" i="2" s="1"/>
  <c r="C55" i="2"/>
  <c r="D55" i="2" s="1"/>
  <c r="C57" i="2"/>
  <c r="D57" i="2" s="1"/>
  <c r="AD92" i="2"/>
  <c r="AD91" i="2"/>
  <c r="AC91" i="2"/>
  <c r="AH92" i="2" l="1"/>
  <c r="AJ92" i="2" s="1"/>
  <c r="AH97" i="2"/>
  <c r="AJ97" i="2" s="1"/>
  <c r="AH99" i="2"/>
  <c r="AJ99" i="2" s="1"/>
  <c r="AH98" i="2"/>
  <c r="AJ98" i="2" s="1"/>
  <c r="AH96" i="2"/>
  <c r="AJ96" i="2" s="1"/>
  <c r="AH94" i="2"/>
  <c r="AJ94" i="2" s="1"/>
  <c r="AH93" i="2"/>
  <c r="AJ93" i="2" s="1"/>
  <c r="AH95" i="2"/>
  <c r="AJ95" i="2" s="1"/>
  <c r="AI56" i="2"/>
  <c r="AF56" i="2" s="1"/>
  <c r="E56" i="2"/>
  <c r="AI41" i="2"/>
  <c r="AF41" i="2" s="1"/>
  <c r="AI36" i="2"/>
  <c r="AF36" i="2" s="1"/>
  <c r="AI25" i="2"/>
  <c r="AF25" i="2" s="1"/>
  <c r="AI60" i="2"/>
  <c r="AF60" i="2" s="1"/>
  <c r="AI40" i="2"/>
  <c r="AF40" i="2" s="1"/>
  <c r="AI73" i="2"/>
  <c r="AF73" i="2" s="1"/>
  <c r="AI70" i="2"/>
  <c r="AF70" i="2" s="1"/>
  <c r="AI31" i="2"/>
  <c r="AF31" i="2" s="1"/>
  <c r="AI34" i="2"/>
  <c r="AF34" i="2" s="1"/>
  <c r="AI68" i="2"/>
  <c r="AF68" i="2" s="1"/>
  <c r="AI67" i="2"/>
  <c r="AF67" i="2" s="1"/>
  <c r="AI78" i="2"/>
  <c r="AF78" i="2" s="1"/>
  <c r="AI54" i="2"/>
  <c r="AF54" i="2" s="1"/>
  <c r="AI71" i="2"/>
  <c r="AF71" i="2" s="1"/>
  <c r="AI46" i="2"/>
  <c r="AF46" i="2" s="1"/>
  <c r="AI80" i="2"/>
  <c r="AF80" i="2" s="1"/>
  <c r="AI44" i="2"/>
  <c r="AF44" i="2" s="1"/>
  <c r="AI62" i="2"/>
  <c r="AF62" i="2" s="1"/>
  <c r="AI69" i="2"/>
  <c r="AF69" i="2" s="1"/>
  <c r="AI58" i="2"/>
  <c r="AF58" i="2" s="1"/>
  <c r="AI39" i="2"/>
  <c r="AF39" i="2" s="1"/>
  <c r="AI20" i="2"/>
  <c r="AF20" i="2" s="1"/>
  <c r="AI57" i="2"/>
  <c r="AF57" i="2" s="1"/>
  <c r="AI81" i="2"/>
  <c r="AF81" i="2" s="1"/>
  <c r="AI27" i="2"/>
  <c r="AF27" i="2" s="1"/>
  <c r="AI50" i="2"/>
  <c r="AF50" i="2" s="1"/>
  <c r="AI48" i="2"/>
  <c r="AF48" i="2" s="1"/>
  <c r="AI74" i="2"/>
  <c r="AF74" i="2" s="1"/>
  <c r="AI53" i="2"/>
  <c r="AF53" i="2" s="1"/>
  <c r="AI82" i="2"/>
  <c r="AF82" i="2" s="1"/>
  <c r="AI66" i="2"/>
  <c r="AF66" i="2" s="1"/>
  <c r="AI45" i="2"/>
  <c r="AF45" i="2" s="1"/>
  <c r="AI33" i="2"/>
  <c r="AF33" i="2" s="1"/>
  <c r="AI35" i="2"/>
  <c r="AF35" i="2" s="1"/>
  <c r="AI49" i="2"/>
  <c r="AF49" i="2" s="1"/>
  <c r="AI37" i="2"/>
  <c r="AF37" i="2" s="1"/>
  <c r="AI77" i="2"/>
  <c r="AF77" i="2" s="1"/>
  <c r="AI61" i="2"/>
  <c r="AF61" i="2" s="1"/>
  <c r="AI52" i="2"/>
  <c r="AF52" i="2" s="1"/>
  <c r="AI26" i="2"/>
  <c r="AF26" i="2" s="1"/>
  <c r="AI47" i="2"/>
  <c r="AF47" i="2" s="1"/>
  <c r="AI63" i="2"/>
  <c r="AF63" i="2" s="1"/>
  <c r="AI86" i="2"/>
  <c r="AF86" i="2" s="1"/>
  <c r="AI59" i="2"/>
  <c r="AF59" i="2" s="1"/>
  <c r="AI24" i="2"/>
  <c r="AF24" i="2" s="1"/>
  <c r="AI38" i="2"/>
  <c r="AF38" i="2" s="1"/>
  <c r="AI42" i="2"/>
  <c r="AF42" i="2" s="1"/>
  <c r="AI28" i="2"/>
  <c r="AF28" i="2" s="1"/>
  <c r="AI22" i="2"/>
  <c r="AF22" i="2" s="1"/>
  <c r="AI83" i="2"/>
  <c r="AF83" i="2" s="1"/>
  <c r="AI75" i="2"/>
  <c r="AF75" i="2" s="1"/>
  <c r="AI51" i="2"/>
  <c r="AF51" i="2" s="1"/>
  <c r="AI79" i="2"/>
  <c r="AF79" i="2" s="1"/>
  <c r="AI85" i="2"/>
  <c r="AF85" i="2" s="1"/>
  <c r="AI32" i="2"/>
  <c r="AF32" i="2" s="1"/>
  <c r="AI55" i="2"/>
  <c r="AF55" i="2" s="1"/>
  <c r="AI65" i="2"/>
  <c r="AF65" i="2" s="1"/>
  <c r="AI23" i="2"/>
  <c r="AF23" i="2" s="1"/>
  <c r="AI30" i="2"/>
  <c r="AF30" i="2" s="1"/>
  <c r="AI72" i="2"/>
  <c r="AF72" i="2" s="1"/>
  <c r="AI43" i="2"/>
  <c r="AF43" i="2" s="1"/>
  <c r="AI21" i="2"/>
  <c r="AF21" i="2" s="1"/>
  <c r="AI76" i="2"/>
  <c r="AF76" i="2" s="1"/>
  <c r="AI64" i="2"/>
  <c r="AF64" i="2" s="1"/>
  <c r="AI84" i="2"/>
  <c r="AF84" i="2" s="1"/>
  <c r="AI87" i="2"/>
  <c r="AF87" i="2" s="1"/>
  <c r="E54" i="2"/>
  <c r="E71" i="2"/>
  <c r="E46" i="2"/>
  <c r="E67" i="2"/>
  <c r="E78" i="2"/>
  <c r="E73" i="2"/>
  <c r="E25" i="2"/>
  <c r="E60" i="2"/>
  <c r="E55" i="2"/>
  <c r="E58" i="2"/>
  <c r="E39" i="2"/>
  <c r="E20" i="2"/>
  <c r="E52" i="2"/>
  <c r="E34" i="2"/>
  <c r="E50" i="2"/>
  <c r="E48" i="2"/>
  <c r="E74" i="2"/>
  <c r="E53" i="2"/>
  <c r="E80" i="2"/>
  <c r="E70" i="2"/>
  <c r="E26" i="2"/>
  <c r="E66" i="2"/>
  <c r="E45" i="2"/>
  <c r="E33" i="2"/>
  <c r="E36" i="2"/>
  <c r="E35" i="2"/>
  <c r="E81" i="2"/>
  <c r="E47" i="2"/>
  <c r="E83" i="2"/>
  <c r="E37" i="2"/>
  <c r="E77" i="2"/>
  <c r="E61" i="2"/>
  <c r="E57" i="2"/>
  <c r="E44" i="2"/>
  <c r="E27" i="2"/>
  <c r="E65" i="2"/>
  <c r="E86" i="2"/>
  <c r="E38" i="2"/>
  <c r="E42" i="2"/>
  <c r="E40" i="2"/>
  <c r="E28" i="2"/>
  <c r="E62" i="2"/>
  <c r="E82" i="2"/>
  <c r="E68" i="2"/>
  <c r="E63" i="2"/>
  <c r="E24" i="2"/>
  <c r="E30" i="2"/>
  <c r="E51" i="2"/>
  <c r="E79" i="2"/>
  <c r="E85" i="2"/>
  <c r="E32" i="2"/>
  <c r="E41" i="2"/>
  <c r="E31" i="2"/>
  <c r="E69" i="2"/>
  <c r="E22" i="2"/>
  <c r="E49" i="2"/>
  <c r="E23" i="2"/>
  <c r="E59" i="2"/>
  <c r="E75" i="2"/>
  <c r="E72" i="2"/>
  <c r="E43" i="2"/>
  <c r="E21" i="2"/>
  <c r="E76" i="2"/>
  <c r="E64" i="2"/>
  <c r="E84" i="2"/>
  <c r="E87" i="2"/>
  <c r="AE91" i="2"/>
  <c r="AE195" i="2"/>
  <c r="M8" i="1" l="1"/>
  <c r="M7" i="12"/>
  <c r="B82" i="12"/>
  <c r="B75" i="12"/>
  <c r="B60" i="12"/>
  <c r="B49" i="12"/>
  <c r="B32" i="12"/>
  <c r="B23" i="12"/>
  <c r="B66" i="12"/>
  <c r="B30" i="12"/>
  <c r="B57" i="12"/>
  <c r="B53" i="12"/>
  <c r="B47" i="12"/>
  <c r="B29" i="12"/>
  <c r="B25" i="12"/>
  <c r="B21" i="12"/>
  <c r="B72" i="12"/>
  <c r="B51" i="12"/>
  <c r="B64" i="12"/>
  <c r="B79" i="12"/>
  <c r="B45" i="12"/>
  <c r="B62" i="12"/>
  <c r="B84" i="12"/>
  <c r="B43" i="12"/>
  <c r="B24" i="12"/>
  <c r="B81" i="12"/>
  <c r="B74" i="12"/>
  <c r="B67" i="12"/>
  <c r="B59" i="12"/>
  <c r="B41" i="12"/>
  <c r="B31" i="12"/>
  <c r="B77" i="12"/>
  <c r="B58" i="12"/>
  <c r="B54" i="12"/>
  <c r="B48" i="12"/>
  <c r="B39" i="12"/>
  <c r="B22" i="12"/>
  <c r="B80" i="12"/>
  <c r="B56" i="12"/>
  <c r="B28" i="12"/>
  <c r="B37" i="12"/>
  <c r="B70" i="12"/>
  <c r="B36" i="12"/>
  <c r="B78" i="12"/>
  <c r="B52" i="12"/>
  <c r="B35" i="12"/>
  <c r="B34" i="12"/>
  <c r="B83" i="12"/>
  <c r="B50" i="12"/>
  <c r="B33" i="12"/>
  <c r="B73" i="12"/>
  <c r="B65" i="12"/>
  <c r="B40" i="12"/>
  <c r="B71" i="12"/>
  <c r="B55" i="12"/>
  <c r="B46" i="12"/>
  <c r="B86" i="12"/>
  <c r="B63" i="12"/>
  <c r="B85" i="12"/>
  <c r="B69" i="12"/>
  <c r="B44" i="12"/>
  <c r="B27" i="12"/>
  <c r="B68" i="12"/>
  <c r="B38" i="12"/>
  <c r="B26" i="12"/>
  <c r="B76" i="12"/>
  <c r="B61" i="12"/>
  <c r="B42" i="12"/>
  <c r="AF95" i="2"/>
  <c r="AF93" i="2"/>
  <c r="AF94" i="2"/>
  <c r="AF96" i="2"/>
  <c r="AF98" i="2"/>
  <c r="AF99" i="2"/>
  <c r="AF97" i="2"/>
  <c r="AF92" i="2"/>
  <c r="N9" i="8"/>
  <c r="L80" i="12" l="1"/>
  <c r="D80" i="12"/>
  <c r="K80" i="12"/>
  <c r="G80" i="12"/>
  <c r="I80" i="12"/>
  <c r="F80" i="12"/>
  <c r="H80" i="12"/>
  <c r="C80" i="12"/>
  <c r="J80" i="12"/>
  <c r="M80" i="12"/>
  <c r="E80" i="12"/>
  <c r="G23" i="12"/>
  <c r="F23" i="12"/>
  <c r="D23" i="12"/>
  <c r="E23" i="12"/>
  <c r="H23" i="12"/>
  <c r="C23" i="12"/>
  <c r="L23" i="12"/>
  <c r="M23" i="12"/>
  <c r="K23" i="12"/>
  <c r="I23" i="12"/>
  <c r="J23" i="12"/>
  <c r="I22" i="12"/>
  <c r="L22" i="12"/>
  <c r="E22" i="12"/>
  <c r="F22" i="12"/>
  <c r="H22" i="12"/>
  <c r="D22" i="12"/>
  <c r="J22" i="12"/>
  <c r="G22" i="12"/>
  <c r="C22" i="12"/>
  <c r="K22" i="12"/>
  <c r="M22" i="12"/>
  <c r="I32" i="12"/>
  <c r="M32" i="12"/>
  <c r="D32" i="12"/>
  <c r="H32" i="12"/>
  <c r="F32" i="12"/>
  <c r="K32" i="12"/>
  <c r="E32" i="12"/>
  <c r="C32" i="12"/>
  <c r="J32" i="12"/>
  <c r="L32" i="12"/>
  <c r="G32" i="12"/>
  <c r="L35" i="12"/>
  <c r="G35" i="12"/>
  <c r="J35" i="12"/>
  <c r="E35" i="12"/>
  <c r="F35" i="12"/>
  <c r="I35" i="12"/>
  <c r="H35" i="12"/>
  <c r="D35" i="12"/>
  <c r="K35" i="12"/>
  <c r="M35" i="12"/>
  <c r="C35" i="12"/>
  <c r="K21" i="12"/>
  <c r="I21" i="12"/>
  <c r="E21" i="12"/>
  <c r="L21" i="12"/>
  <c r="M21" i="12"/>
  <c r="H21" i="12"/>
  <c r="F21" i="12"/>
  <c r="J21" i="12"/>
  <c r="G21" i="12"/>
  <c r="C21" i="12"/>
  <c r="D21" i="12"/>
  <c r="K26" i="12"/>
  <c r="I26" i="12"/>
  <c r="G26" i="12"/>
  <c r="D26" i="12"/>
  <c r="L26" i="12"/>
  <c r="M26" i="12"/>
  <c r="F26" i="12"/>
  <c r="E26" i="12"/>
  <c r="J26" i="12"/>
  <c r="H26" i="12"/>
  <c r="C26" i="12"/>
  <c r="F25" i="12"/>
  <c r="K25" i="12"/>
  <c r="I25" i="12"/>
  <c r="G25" i="12"/>
  <c r="L25" i="12"/>
  <c r="H25" i="12"/>
  <c r="M25" i="12"/>
  <c r="D25" i="12"/>
  <c r="J25" i="12"/>
  <c r="C25" i="12"/>
  <c r="E25" i="12"/>
  <c r="E84" i="12"/>
  <c r="L84" i="12"/>
  <c r="M84" i="12"/>
  <c r="G84" i="12"/>
  <c r="H84" i="12"/>
  <c r="C84" i="12"/>
  <c r="D84" i="12"/>
  <c r="I84" i="12"/>
  <c r="F84" i="12"/>
  <c r="K84" i="12"/>
  <c r="J84" i="12"/>
  <c r="I27" i="12"/>
  <c r="K27" i="12"/>
  <c r="J27" i="12"/>
  <c r="E27" i="12"/>
  <c r="G27" i="12"/>
  <c r="L27" i="12"/>
  <c r="D27" i="12"/>
  <c r="F27" i="12"/>
  <c r="C27" i="12"/>
  <c r="M27" i="12"/>
  <c r="H27" i="12"/>
  <c r="E69" i="12"/>
  <c r="C69" i="12"/>
  <c r="M69" i="12"/>
  <c r="F69" i="12"/>
  <c r="G69" i="12"/>
  <c r="L69" i="12"/>
  <c r="D69" i="12"/>
  <c r="H69" i="12"/>
  <c r="K69" i="12"/>
  <c r="J69" i="12"/>
  <c r="I69" i="12"/>
  <c r="G33" i="12"/>
  <c r="F33" i="12"/>
  <c r="L33" i="12"/>
  <c r="C33" i="12"/>
  <c r="H33" i="12"/>
  <c r="J33" i="12"/>
  <c r="D33" i="12"/>
  <c r="E33" i="12"/>
  <c r="I33" i="12"/>
  <c r="K33" i="12"/>
  <c r="M33" i="12"/>
  <c r="G28" i="12"/>
  <c r="D28" i="12"/>
  <c r="M28" i="12"/>
  <c r="F28" i="12"/>
  <c r="C28" i="12"/>
  <c r="H28" i="12"/>
  <c r="E28" i="12"/>
  <c r="J28" i="12"/>
  <c r="L28" i="12"/>
  <c r="I28" i="12"/>
  <c r="K28" i="12"/>
  <c r="K41" i="12"/>
  <c r="E41" i="12"/>
  <c r="H41" i="12"/>
  <c r="C41" i="12"/>
  <c r="F41" i="12"/>
  <c r="D41" i="12"/>
  <c r="G41" i="12"/>
  <c r="I41" i="12"/>
  <c r="J41" i="12"/>
  <c r="M41" i="12"/>
  <c r="L41" i="12"/>
  <c r="E79" i="12"/>
  <c r="C79" i="12"/>
  <c r="M79" i="12"/>
  <c r="F79" i="12"/>
  <c r="D79" i="12"/>
  <c r="J79" i="12"/>
  <c r="G79" i="12"/>
  <c r="I79" i="12"/>
  <c r="H79" i="12"/>
  <c r="K79" i="12"/>
  <c r="L79" i="12"/>
  <c r="L30" i="12"/>
  <c r="M30" i="12"/>
  <c r="H30" i="12"/>
  <c r="E30" i="12"/>
  <c r="C30" i="12"/>
  <c r="J30" i="12"/>
  <c r="F30" i="12"/>
  <c r="K30" i="12"/>
  <c r="I30" i="12"/>
  <c r="G30" i="12"/>
  <c r="D30" i="12"/>
  <c r="G83" i="12"/>
  <c r="K83" i="12"/>
  <c r="C83" i="12"/>
  <c r="H83" i="12"/>
  <c r="I83" i="12"/>
  <c r="J83" i="12"/>
  <c r="D83" i="12"/>
  <c r="M83" i="12"/>
  <c r="E83" i="12"/>
  <c r="F83" i="12"/>
  <c r="L83" i="12"/>
  <c r="E49" i="12"/>
  <c r="J49" i="12"/>
  <c r="L49" i="12"/>
  <c r="I49" i="12"/>
  <c r="G49" i="12"/>
  <c r="M49" i="12"/>
  <c r="F49" i="12"/>
  <c r="D49" i="12"/>
  <c r="H49" i="12"/>
  <c r="C49" i="12"/>
  <c r="K49" i="12"/>
  <c r="I52" i="12"/>
  <c r="L52" i="12"/>
  <c r="H52" i="12"/>
  <c r="K52" i="12"/>
  <c r="M52" i="12"/>
  <c r="E52" i="12"/>
  <c r="F52" i="12"/>
  <c r="J52" i="12"/>
  <c r="C52" i="12"/>
  <c r="G52" i="12"/>
  <c r="D52" i="12"/>
  <c r="G68" i="12"/>
  <c r="D68" i="12"/>
  <c r="H68" i="12"/>
  <c r="C68" i="12"/>
  <c r="M68" i="12"/>
  <c r="E68" i="12"/>
  <c r="I68" i="12"/>
  <c r="K68" i="12"/>
  <c r="L68" i="12"/>
  <c r="J68" i="12"/>
  <c r="F68" i="12"/>
  <c r="E85" i="12"/>
  <c r="F85" i="12"/>
  <c r="I85" i="12"/>
  <c r="L85" i="12"/>
  <c r="H85" i="12"/>
  <c r="D85" i="12"/>
  <c r="J85" i="12"/>
  <c r="K85" i="12"/>
  <c r="M85" i="12"/>
  <c r="G85" i="12"/>
  <c r="C85" i="12"/>
  <c r="L50" i="12"/>
  <c r="G50" i="12"/>
  <c r="I50" i="12"/>
  <c r="H50" i="12"/>
  <c r="F50" i="12"/>
  <c r="K50" i="12"/>
  <c r="E50" i="12"/>
  <c r="J50" i="12"/>
  <c r="D50" i="12"/>
  <c r="M50" i="12"/>
  <c r="C50" i="12"/>
  <c r="K56" i="12"/>
  <c r="H56" i="12"/>
  <c r="J56" i="12"/>
  <c r="F56" i="12"/>
  <c r="L56" i="12"/>
  <c r="E56" i="12"/>
  <c r="C56" i="12"/>
  <c r="I56" i="12"/>
  <c r="M56" i="12"/>
  <c r="D56" i="12"/>
  <c r="G56" i="12"/>
  <c r="E59" i="12"/>
  <c r="K59" i="12"/>
  <c r="L59" i="12"/>
  <c r="F59" i="12"/>
  <c r="J59" i="12"/>
  <c r="I59" i="12"/>
  <c r="M59" i="12"/>
  <c r="G59" i="12"/>
  <c r="H59" i="12"/>
  <c r="C59" i="12"/>
  <c r="D59" i="12"/>
  <c r="E64" i="12"/>
  <c r="F64" i="12"/>
  <c r="K64" i="12"/>
  <c r="M64" i="12"/>
  <c r="H64" i="12"/>
  <c r="I64" i="12"/>
  <c r="J64" i="12"/>
  <c r="L64" i="12"/>
  <c r="G64" i="12"/>
  <c r="C64" i="12"/>
  <c r="D64" i="12"/>
  <c r="K66" i="12"/>
  <c r="F66" i="12"/>
  <c r="C66" i="12"/>
  <c r="D66" i="12"/>
  <c r="G66" i="12"/>
  <c r="H66" i="12"/>
  <c r="L66" i="12"/>
  <c r="J66" i="12"/>
  <c r="M66" i="12"/>
  <c r="E66" i="12"/>
  <c r="I66" i="12"/>
  <c r="K86" i="12"/>
  <c r="C86" i="12"/>
  <c r="H86" i="12"/>
  <c r="J86" i="12"/>
  <c r="I86" i="12"/>
  <c r="L86" i="12"/>
  <c r="E86" i="12"/>
  <c r="G86" i="12"/>
  <c r="M86" i="12"/>
  <c r="F86" i="12"/>
  <c r="D86" i="12"/>
  <c r="I42" i="12"/>
  <c r="D42" i="12"/>
  <c r="K42" i="12"/>
  <c r="C42" i="12"/>
  <c r="M42" i="12"/>
  <c r="L42" i="12"/>
  <c r="H42" i="12"/>
  <c r="J42" i="12"/>
  <c r="E42" i="12"/>
  <c r="G42" i="12"/>
  <c r="F42" i="12"/>
  <c r="K51" i="12"/>
  <c r="I51" i="12"/>
  <c r="D51" i="12"/>
  <c r="G51" i="12"/>
  <c r="F51" i="12"/>
  <c r="L51" i="12"/>
  <c r="J51" i="12"/>
  <c r="E51" i="12"/>
  <c r="H51" i="12"/>
  <c r="M51" i="12"/>
  <c r="C51" i="12"/>
  <c r="E34" i="12"/>
  <c r="F34" i="12"/>
  <c r="L34" i="12"/>
  <c r="M34" i="12"/>
  <c r="G34" i="12"/>
  <c r="J34" i="12"/>
  <c r="D34" i="12"/>
  <c r="I34" i="12"/>
  <c r="H34" i="12"/>
  <c r="K34" i="12"/>
  <c r="C34" i="12"/>
  <c r="B19" i="1"/>
  <c r="B16" i="12"/>
  <c r="B15" i="12"/>
  <c r="B10" i="12"/>
  <c r="B11" i="12"/>
  <c r="B17" i="12"/>
  <c r="B12" i="12"/>
  <c r="B18" i="12"/>
  <c r="B14" i="12"/>
  <c r="B13" i="12"/>
  <c r="G48" i="12"/>
  <c r="J48" i="12"/>
  <c r="K48" i="12"/>
  <c r="L48" i="12"/>
  <c r="C48" i="12"/>
  <c r="M48" i="12"/>
  <c r="D48" i="12"/>
  <c r="E48" i="12"/>
  <c r="H48" i="12"/>
  <c r="I48" i="12"/>
  <c r="F48" i="12"/>
  <c r="G38" i="12"/>
  <c r="K38" i="12"/>
  <c r="I38" i="12"/>
  <c r="D38" i="12"/>
  <c r="J38" i="12"/>
  <c r="H38" i="12"/>
  <c r="F38" i="12"/>
  <c r="L38" i="12"/>
  <c r="E38" i="12"/>
  <c r="C38" i="12"/>
  <c r="M38" i="12"/>
  <c r="K71" i="12"/>
  <c r="L71" i="12"/>
  <c r="J71" i="12"/>
  <c r="M71" i="12"/>
  <c r="E71" i="12"/>
  <c r="D71" i="12"/>
  <c r="H71" i="12"/>
  <c r="G71" i="12"/>
  <c r="C71" i="12"/>
  <c r="I71" i="12"/>
  <c r="F71" i="12"/>
  <c r="G78" i="12"/>
  <c r="M78" i="12"/>
  <c r="K78" i="12"/>
  <c r="J78" i="12"/>
  <c r="I78" i="12"/>
  <c r="F78" i="12"/>
  <c r="E78" i="12"/>
  <c r="D78" i="12"/>
  <c r="H78" i="12"/>
  <c r="C78" i="12"/>
  <c r="L78" i="12"/>
  <c r="E54" i="12"/>
  <c r="D54" i="12"/>
  <c r="L54" i="12"/>
  <c r="C54" i="12"/>
  <c r="F54" i="12"/>
  <c r="I54" i="12"/>
  <c r="H54" i="12"/>
  <c r="K54" i="12"/>
  <c r="M54" i="12"/>
  <c r="G54" i="12"/>
  <c r="J54" i="12"/>
  <c r="G43" i="12"/>
  <c r="C43" i="12"/>
  <c r="J43" i="12"/>
  <c r="D43" i="12"/>
  <c r="K43" i="12"/>
  <c r="H43" i="12"/>
  <c r="I43" i="12"/>
  <c r="L43" i="12"/>
  <c r="M43" i="12"/>
  <c r="F43" i="12"/>
  <c r="E43" i="12"/>
  <c r="E29" i="12"/>
  <c r="G29" i="12"/>
  <c r="L29" i="12"/>
  <c r="I29" i="12"/>
  <c r="F29" i="12"/>
  <c r="K29" i="12"/>
  <c r="C29" i="12"/>
  <c r="J29" i="12"/>
  <c r="M29" i="12"/>
  <c r="D29" i="12"/>
  <c r="H29" i="12"/>
  <c r="L75" i="12"/>
  <c r="G75" i="12"/>
  <c r="E75" i="12"/>
  <c r="D75" i="12"/>
  <c r="I75" i="12"/>
  <c r="J75" i="12"/>
  <c r="H75" i="12"/>
  <c r="F75" i="12"/>
  <c r="M75" i="12"/>
  <c r="C75" i="12"/>
  <c r="K75" i="12"/>
  <c r="I82" i="12"/>
  <c r="D82" i="12"/>
  <c r="H82" i="12"/>
  <c r="J82" i="12"/>
  <c r="K82" i="12"/>
  <c r="E82" i="12"/>
  <c r="F82" i="12"/>
  <c r="L82" i="12"/>
  <c r="G82" i="12"/>
  <c r="C82" i="12"/>
  <c r="M82" i="12"/>
  <c r="I67" i="12"/>
  <c r="H67" i="12"/>
  <c r="L67" i="12"/>
  <c r="J67" i="12"/>
  <c r="D67" i="12"/>
  <c r="M67" i="12"/>
  <c r="C67" i="12"/>
  <c r="E67" i="12"/>
  <c r="K67" i="12"/>
  <c r="F67" i="12"/>
  <c r="G67" i="12"/>
  <c r="E74" i="12"/>
  <c r="M74" i="12"/>
  <c r="D74" i="12"/>
  <c r="I74" i="12"/>
  <c r="K74" i="12"/>
  <c r="F74" i="12"/>
  <c r="H74" i="12"/>
  <c r="J74" i="12"/>
  <c r="L74" i="12"/>
  <c r="G74" i="12"/>
  <c r="C74" i="12"/>
  <c r="K46" i="12"/>
  <c r="L46" i="12"/>
  <c r="H46" i="12"/>
  <c r="J46" i="12"/>
  <c r="F46" i="12"/>
  <c r="M46" i="12"/>
  <c r="D46" i="12"/>
  <c r="E46" i="12"/>
  <c r="C46" i="12"/>
  <c r="G46" i="12"/>
  <c r="I46" i="12"/>
  <c r="E39" i="12"/>
  <c r="D39" i="12"/>
  <c r="G39" i="12"/>
  <c r="C39" i="12"/>
  <c r="L39" i="12"/>
  <c r="J39" i="12"/>
  <c r="I39" i="12"/>
  <c r="K39" i="12"/>
  <c r="F39" i="12"/>
  <c r="H39" i="12"/>
  <c r="M39" i="12"/>
  <c r="L55" i="12"/>
  <c r="M55" i="12"/>
  <c r="C55" i="12"/>
  <c r="F55" i="12"/>
  <c r="G55" i="12"/>
  <c r="J55" i="12"/>
  <c r="I55" i="12"/>
  <c r="D55" i="12"/>
  <c r="E55" i="12"/>
  <c r="H55" i="12"/>
  <c r="K55" i="12"/>
  <c r="E24" i="12"/>
  <c r="L24" i="12"/>
  <c r="J24" i="12"/>
  <c r="I24" i="12"/>
  <c r="H24" i="12"/>
  <c r="F24" i="12"/>
  <c r="D24" i="12"/>
  <c r="M24" i="12"/>
  <c r="C24" i="12"/>
  <c r="G24" i="12"/>
  <c r="K24" i="12"/>
  <c r="K36" i="12"/>
  <c r="G36" i="12"/>
  <c r="D36" i="12"/>
  <c r="H36" i="12"/>
  <c r="L36" i="12"/>
  <c r="C36" i="12"/>
  <c r="F36" i="12"/>
  <c r="M36" i="12"/>
  <c r="E36" i="12"/>
  <c r="J36" i="12"/>
  <c r="I36" i="12"/>
  <c r="K70" i="12"/>
  <c r="M70" i="12"/>
  <c r="C70" i="12"/>
  <c r="F70" i="12"/>
  <c r="D70" i="12"/>
  <c r="G70" i="12"/>
  <c r="E70" i="12"/>
  <c r="I70" i="12"/>
  <c r="H70" i="12"/>
  <c r="L70" i="12"/>
  <c r="J70" i="12"/>
  <c r="I77" i="12"/>
  <c r="H77" i="12"/>
  <c r="G77" i="12"/>
  <c r="L77" i="12"/>
  <c r="K77" i="12"/>
  <c r="F77" i="12"/>
  <c r="J77" i="12"/>
  <c r="E77" i="12"/>
  <c r="C77" i="12"/>
  <c r="D77" i="12"/>
  <c r="M77" i="12"/>
  <c r="G53" i="12"/>
  <c r="C53" i="12"/>
  <c r="E53" i="12"/>
  <c r="M53" i="12"/>
  <c r="D53" i="12"/>
  <c r="L53" i="12"/>
  <c r="H53" i="12"/>
  <c r="I53" i="12"/>
  <c r="J53" i="12"/>
  <c r="F53" i="12"/>
  <c r="K53" i="12"/>
  <c r="G63" i="12"/>
  <c r="L63" i="12"/>
  <c r="F63" i="12"/>
  <c r="H63" i="12"/>
  <c r="C63" i="12"/>
  <c r="I63" i="12"/>
  <c r="K63" i="12"/>
  <c r="E63" i="12"/>
  <c r="M63" i="12"/>
  <c r="D63" i="12"/>
  <c r="J63" i="12"/>
  <c r="K61" i="12"/>
  <c r="I61" i="12"/>
  <c r="E61" i="12"/>
  <c r="G61" i="12"/>
  <c r="L61" i="12"/>
  <c r="M61" i="12"/>
  <c r="D61" i="12"/>
  <c r="J61" i="12"/>
  <c r="F61" i="12"/>
  <c r="H61" i="12"/>
  <c r="C61" i="12"/>
  <c r="I72" i="12"/>
  <c r="F72" i="12"/>
  <c r="G72" i="12"/>
  <c r="C72" i="12"/>
  <c r="K72" i="12"/>
  <c r="D72" i="12"/>
  <c r="L72" i="12"/>
  <c r="H72" i="12"/>
  <c r="E72" i="12"/>
  <c r="M72" i="12"/>
  <c r="J72" i="12"/>
  <c r="K76" i="12"/>
  <c r="L76" i="12"/>
  <c r="J76" i="12"/>
  <c r="F76" i="12"/>
  <c r="H76" i="12"/>
  <c r="I76" i="12"/>
  <c r="D76" i="12"/>
  <c r="M76" i="12"/>
  <c r="G76" i="12"/>
  <c r="E76" i="12"/>
  <c r="C76" i="12"/>
  <c r="K81" i="12"/>
  <c r="L81" i="12"/>
  <c r="D81" i="12"/>
  <c r="F81" i="12"/>
  <c r="E81" i="12"/>
  <c r="G81" i="12"/>
  <c r="I81" i="12"/>
  <c r="H81" i="12"/>
  <c r="J81" i="12"/>
  <c r="M81" i="12"/>
  <c r="C81" i="12"/>
  <c r="L60" i="12"/>
  <c r="K60" i="12"/>
  <c r="G60" i="12"/>
  <c r="J60" i="12"/>
  <c r="E60" i="12"/>
  <c r="H60" i="12"/>
  <c r="D60" i="12"/>
  <c r="F60" i="12"/>
  <c r="M60" i="12"/>
  <c r="I60" i="12"/>
  <c r="C60" i="12"/>
  <c r="G40" i="12"/>
  <c r="F40" i="12"/>
  <c r="I40" i="12"/>
  <c r="D40" i="12"/>
  <c r="M40" i="12"/>
  <c r="C40" i="12"/>
  <c r="E40" i="12"/>
  <c r="K40" i="12"/>
  <c r="H40" i="12"/>
  <c r="J40" i="12"/>
  <c r="L40" i="12"/>
  <c r="G58" i="12"/>
  <c r="D58" i="12"/>
  <c r="I58" i="12"/>
  <c r="F58" i="12"/>
  <c r="J58" i="12"/>
  <c r="M58" i="12"/>
  <c r="L58" i="12"/>
  <c r="C58" i="12"/>
  <c r="E58" i="12"/>
  <c r="K58" i="12"/>
  <c r="H58" i="12"/>
  <c r="I47" i="12"/>
  <c r="M47" i="12"/>
  <c r="D47" i="12"/>
  <c r="E47" i="12"/>
  <c r="J47" i="12"/>
  <c r="G47" i="12"/>
  <c r="C47" i="12"/>
  <c r="L47" i="12"/>
  <c r="K47" i="12"/>
  <c r="F47" i="12"/>
  <c r="H47" i="12"/>
  <c r="F65" i="12"/>
  <c r="G65" i="12"/>
  <c r="L65" i="12"/>
  <c r="M65" i="12"/>
  <c r="C65" i="12"/>
  <c r="I65" i="12"/>
  <c r="K65" i="12"/>
  <c r="J65" i="12"/>
  <c r="E65" i="12"/>
  <c r="D65" i="12"/>
  <c r="H65" i="12"/>
  <c r="I62" i="12"/>
  <c r="M62" i="12"/>
  <c r="D62" i="12"/>
  <c r="K62" i="12"/>
  <c r="J62" i="12"/>
  <c r="C62" i="12"/>
  <c r="F62" i="12"/>
  <c r="L62" i="12"/>
  <c r="E62" i="12"/>
  <c r="G62" i="12"/>
  <c r="H62" i="12"/>
  <c r="E44" i="12"/>
  <c r="F44" i="12"/>
  <c r="I44" i="12"/>
  <c r="C44" i="12"/>
  <c r="M44" i="12"/>
  <c r="J44" i="12"/>
  <c r="L44" i="12"/>
  <c r="H44" i="12"/>
  <c r="G44" i="12"/>
  <c r="K44" i="12"/>
  <c r="D44" i="12"/>
  <c r="G73" i="12"/>
  <c r="K73" i="12"/>
  <c r="J73" i="12"/>
  <c r="F73" i="12"/>
  <c r="E73" i="12"/>
  <c r="I73" i="12"/>
  <c r="D73" i="12"/>
  <c r="M73" i="12"/>
  <c r="L73" i="12"/>
  <c r="H73" i="12"/>
  <c r="C73" i="12"/>
  <c r="I37" i="12"/>
  <c r="K37" i="12"/>
  <c r="G37" i="12"/>
  <c r="F37" i="12"/>
  <c r="E37" i="12"/>
  <c r="H37" i="12"/>
  <c r="L37" i="12"/>
  <c r="J37" i="12"/>
  <c r="D37" i="12"/>
  <c r="M37" i="12"/>
  <c r="C37" i="12"/>
  <c r="K31" i="12"/>
  <c r="C31" i="12"/>
  <c r="J31" i="12"/>
  <c r="M31" i="12"/>
  <c r="D31" i="12"/>
  <c r="G31" i="12"/>
  <c r="I31" i="12"/>
  <c r="E31" i="12"/>
  <c r="F31" i="12"/>
  <c r="H31" i="12"/>
  <c r="L31" i="12"/>
  <c r="K45" i="12"/>
  <c r="C45" i="12"/>
  <c r="G45" i="12"/>
  <c r="H45" i="12"/>
  <c r="E45" i="12"/>
  <c r="I45" i="12"/>
  <c r="F45" i="12"/>
  <c r="D45" i="12"/>
  <c r="L45" i="12"/>
  <c r="J45" i="12"/>
  <c r="M45" i="12"/>
  <c r="I57" i="12"/>
  <c r="G57" i="12"/>
  <c r="K57" i="12"/>
  <c r="C57" i="12"/>
  <c r="E57" i="12"/>
  <c r="D57" i="12"/>
  <c r="H57" i="12"/>
  <c r="J57" i="12"/>
  <c r="L57" i="12"/>
  <c r="M57" i="12"/>
  <c r="F57" i="12"/>
  <c r="B13" i="1"/>
  <c r="B12" i="1"/>
  <c r="B15" i="1"/>
  <c r="B14" i="1"/>
  <c r="E14" i="1" s="1"/>
  <c r="B32" i="1"/>
  <c r="B65" i="1"/>
  <c r="B28" i="1"/>
  <c r="B82" i="1"/>
  <c r="B47" i="1"/>
  <c r="B34" i="1"/>
  <c r="B57" i="1"/>
  <c r="B38" i="1"/>
  <c r="B73" i="1"/>
  <c r="B39" i="1"/>
  <c r="B24" i="1"/>
  <c r="B71" i="1"/>
  <c r="B54" i="1"/>
  <c r="B29" i="1"/>
  <c r="B56" i="1"/>
  <c r="B49" i="1"/>
  <c r="B23" i="1"/>
  <c r="B25" i="1"/>
  <c r="B68" i="1"/>
  <c r="B67" i="1"/>
  <c r="B40" i="1"/>
  <c r="B46" i="1"/>
  <c r="B63" i="1"/>
  <c r="B70" i="1"/>
  <c r="B31" i="1"/>
  <c r="B52" i="1"/>
  <c r="B48" i="1"/>
  <c r="B35" i="1"/>
  <c r="B79" i="1"/>
  <c r="B55" i="1"/>
  <c r="B80" i="1"/>
  <c r="B27" i="1"/>
  <c r="B44" i="1"/>
  <c r="B43" i="1"/>
  <c r="B76" i="1"/>
  <c r="B64" i="1"/>
  <c r="B33" i="1"/>
  <c r="B30" i="1"/>
  <c r="B22" i="1"/>
  <c r="B75" i="1"/>
  <c r="B88" i="1"/>
  <c r="B83" i="1"/>
  <c r="B42" i="1"/>
  <c r="B85" i="1"/>
  <c r="B78" i="1"/>
  <c r="B84" i="1"/>
  <c r="B51" i="1"/>
  <c r="B69" i="1"/>
  <c r="B87" i="1"/>
  <c r="B60" i="1"/>
  <c r="B66" i="1"/>
  <c r="B62" i="1"/>
  <c r="B26" i="1"/>
  <c r="B36" i="1"/>
  <c r="B37" i="1"/>
  <c r="B45" i="1"/>
  <c r="B53" i="1"/>
  <c r="B41" i="1"/>
  <c r="B81" i="1"/>
  <c r="B61" i="1"/>
  <c r="B72" i="1"/>
  <c r="B50" i="1"/>
  <c r="B74" i="1"/>
  <c r="B58" i="1"/>
  <c r="B59" i="1"/>
  <c r="B86" i="1"/>
  <c r="B77" i="1"/>
  <c r="C42" i="8"/>
  <c r="C62" i="8"/>
  <c r="C23" i="8"/>
  <c r="C36" i="8"/>
  <c r="C51" i="8"/>
  <c r="C26" i="8"/>
  <c r="C65" i="8"/>
  <c r="C21" i="8"/>
  <c r="C32" i="8"/>
  <c r="C46" i="8"/>
  <c r="C44" i="8"/>
  <c r="C66" i="8"/>
  <c r="C22" i="8"/>
  <c r="C64" i="8"/>
  <c r="C57" i="8"/>
  <c r="C47" i="8"/>
  <c r="C37" i="8"/>
  <c r="C52" i="8"/>
  <c r="C30" i="8"/>
  <c r="C60" i="8"/>
  <c r="C12" i="8"/>
  <c r="C41" i="8"/>
  <c r="C24" i="8"/>
  <c r="C34" i="8"/>
  <c r="C29" i="8"/>
  <c r="C55" i="8"/>
  <c r="C17" i="8"/>
  <c r="C14" i="8"/>
  <c r="C56" i="8"/>
  <c r="C27" i="8"/>
  <c r="C38" i="8"/>
  <c r="C19" i="8"/>
  <c r="C54" i="8"/>
  <c r="C15" i="8"/>
  <c r="C35" i="8"/>
  <c r="C39" i="8"/>
  <c r="C28" i="8"/>
  <c r="C13" i="8"/>
  <c r="C45" i="8"/>
  <c r="C20" i="8"/>
  <c r="C43" i="8"/>
  <c r="C50" i="8"/>
  <c r="C16" i="8"/>
  <c r="C33" i="8"/>
  <c r="C25" i="8"/>
  <c r="C53" i="8"/>
  <c r="C48" i="8"/>
  <c r="C49" i="8"/>
  <c r="C58" i="8"/>
  <c r="C61" i="8"/>
  <c r="C18" i="8"/>
  <c r="C59" i="8"/>
  <c r="C40" i="8"/>
  <c r="C63" i="8"/>
  <c r="C31" i="8"/>
  <c r="B18" i="1"/>
  <c r="B16" i="1"/>
  <c r="B17" i="1"/>
  <c r="B11" i="1"/>
  <c r="H13" i="12" l="1"/>
  <c r="D13" i="12"/>
  <c r="G13" i="12"/>
  <c r="I13" i="12"/>
  <c r="E13" i="12"/>
  <c r="M13" i="12"/>
  <c r="C13" i="12"/>
  <c r="J13" i="12"/>
  <c r="L13" i="12"/>
  <c r="F13" i="12"/>
  <c r="K13" i="12"/>
  <c r="F14" i="12"/>
  <c r="K14" i="12"/>
  <c r="L14" i="12"/>
  <c r="E14" i="12"/>
  <c r="C14" i="12"/>
  <c r="G14" i="12"/>
  <c r="I14" i="12"/>
  <c r="M14" i="12"/>
  <c r="J14" i="12"/>
  <c r="H14" i="12"/>
  <c r="D14" i="12"/>
  <c r="M18" i="12"/>
  <c r="K18" i="12"/>
  <c r="C18" i="12"/>
  <c r="I18" i="12"/>
  <c r="D18" i="12"/>
  <c r="E18" i="12"/>
  <c r="L18" i="12"/>
  <c r="F18" i="12"/>
  <c r="G18" i="12"/>
  <c r="H18" i="12"/>
  <c r="J18" i="12"/>
  <c r="J12" i="12"/>
  <c r="M12" i="12"/>
  <c r="I12" i="12"/>
  <c r="D12" i="12"/>
  <c r="G12" i="12"/>
  <c r="F12" i="12"/>
  <c r="K12" i="12"/>
  <c r="C12" i="12"/>
  <c r="H12" i="12"/>
  <c r="E12" i="12"/>
  <c r="L12" i="12"/>
  <c r="J17" i="12"/>
  <c r="M17" i="12"/>
  <c r="G17" i="12"/>
  <c r="C17" i="12"/>
  <c r="E17" i="12"/>
  <c r="K17" i="12"/>
  <c r="I17" i="12"/>
  <c r="D17" i="12"/>
  <c r="L17" i="12"/>
  <c r="H17" i="12"/>
  <c r="F17" i="12"/>
  <c r="L11" i="12"/>
  <c r="H11" i="12"/>
  <c r="F11" i="12"/>
  <c r="D11" i="12"/>
  <c r="C11" i="12"/>
  <c r="G11" i="12"/>
  <c r="I11" i="12"/>
  <c r="K11" i="12"/>
  <c r="E11" i="12"/>
  <c r="J11" i="12"/>
  <c r="M11" i="12"/>
  <c r="D10" i="12"/>
  <c r="E10" i="12"/>
  <c r="F10" i="12"/>
  <c r="K10" i="12"/>
  <c r="H10" i="12"/>
  <c r="G10" i="12"/>
  <c r="I10" i="12"/>
  <c r="J10" i="12"/>
  <c r="L10" i="12"/>
  <c r="C10" i="12"/>
  <c r="M10" i="12"/>
  <c r="D15" i="12"/>
  <c r="J15" i="12"/>
  <c r="I15" i="12"/>
  <c r="K15" i="12"/>
  <c r="G15" i="12"/>
  <c r="E15" i="12"/>
  <c r="F15" i="12"/>
  <c r="C15" i="12"/>
  <c r="M15" i="12"/>
  <c r="L15" i="12"/>
  <c r="H15" i="12"/>
  <c r="L16" i="12"/>
  <c r="J16" i="12"/>
  <c r="K16" i="12"/>
  <c r="I16" i="12"/>
  <c r="H16" i="12"/>
  <c r="F16" i="12"/>
  <c r="D16" i="12"/>
  <c r="G16" i="12"/>
  <c r="M16" i="12"/>
  <c r="C16" i="12"/>
  <c r="E16" i="12"/>
  <c r="D14" i="1"/>
  <c r="J14" i="1"/>
  <c r="M14" i="1"/>
  <c r="K14" i="1"/>
  <c r="H14" i="1"/>
  <c r="F14" i="1"/>
  <c r="L14" i="1"/>
  <c r="C14" i="1"/>
  <c r="I14" i="1"/>
  <c r="G14" i="1"/>
  <c r="M15" i="1"/>
  <c r="F15" i="1"/>
  <c r="D15" i="1"/>
  <c r="C15" i="1"/>
  <c r="H15" i="1"/>
  <c r="G15" i="1"/>
  <c r="J15" i="1"/>
  <c r="I15" i="1"/>
  <c r="L15" i="1"/>
  <c r="K15" i="1"/>
  <c r="E15" i="1"/>
  <c r="I12" i="1"/>
  <c r="M12" i="1"/>
  <c r="G12" i="1"/>
  <c r="J12" i="1"/>
  <c r="C12" i="1"/>
  <c r="K12" i="1"/>
  <c r="D12" i="1"/>
  <c r="L12" i="1"/>
  <c r="H12" i="1"/>
  <c r="E12" i="1"/>
  <c r="F12" i="1"/>
  <c r="G13" i="1"/>
  <c r="H13" i="1"/>
  <c r="D13" i="1"/>
  <c r="K13" i="1"/>
  <c r="C13" i="1"/>
  <c r="M13" i="1"/>
  <c r="L13" i="1"/>
  <c r="E13" i="1"/>
  <c r="I13" i="1"/>
  <c r="J13" i="1"/>
  <c r="F13" i="1"/>
  <c r="F59" i="8"/>
  <c r="N59" i="8"/>
  <c r="K59" i="8"/>
  <c r="G59" i="8"/>
  <c r="L59" i="8"/>
  <c r="I59" i="8"/>
  <c r="M59" i="8"/>
  <c r="E59" i="8"/>
  <c r="J59" i="8"/>
  <c r="D59" i="8"/>
  <c r="H59" i="8"/>
  <c r="F66" i="8"/>
  <c r="K66" i="8"/>
  <c r="M66" i="8"/>
  <c r="I66" i="8"/>
  <c r="D66" i="8"/>
  <c r="G66" i="8"/>
  <c r="H66" i="8"/>
  <c r="L66" i="8"/>
  <c r="N66" i="8"/>
  <c r="J66" i="8"/>
  <c r="E66" i="8"/>
  <c r="J18" i="8"/>
  <c r="N18" i="8"/>
  <c r="L18" i="8"/>
  <c r="G18" i="8"/>
  <c r="I18" i="8"/>
  <c r="F18" i="8"/>
  <c r="E18" i="8"/>
  <c r="H18" i="8"/>
  <c r="M18" i="8"/>
  <c r="D18" i="8"/>
  <c r="K18" i="8"/>
  <c r="F43" i="8"/>
  <c r="G43" i="8"/>
  <c r="E43" i="8"/>
  <c r="H43" i="8"/>
  <c r="L43" i="8"/>
  <c r="N43" i="8"/>
  <c r="K43" i="8"/>
  <c r="D43" i="8"/>
  <c r="J43" i="8"/>
  <c r="I43" i="8"/>
  <c r="M43" i="8"/>
  <c r="K40" i="8"/>
  <c r="J40" i="8"/>
  <c r="D40" i="8"/>
  <c r="N40" i="8"/>
  <c r="M40" i="8"/>
  <c r="H40" i="8"/>
  <c r="E40" i="8"/>
  <c r="G40" i="8"/>
  <c r="F40" i="8"/>
  <c r="I40" i="8"/>
  <c r="L40" i="8"/>
  <c r="D16" i="8"/>
  <c r="G16" i="8"/>
  <c r="N16" i="8"/>
  <c r="F16" i="8"/>
  <c r="E16" i="8"/>
  <c r="M16" i="8"/>
  <c r="K16" i="8"/>
  <c r="L16" i="8"/>
  <c r="I16" i="8"/>
  <c r="H16" i="8"/>
  <c r="J16" i="8"/>
  <c r="G54" i="8"/>
  <c r="K54" i="8"/>
  <c r="I54" i="8"/>
  <c r="H54" i="8"/>
  <c r="F54" i="8"/>
  <c r="L54" i="8"/>
  <c r="E54" i="8"/>
  <c r="N54" i="8"/>
  <c r="J54" i="8"/>
  <c r="M54" i="8"/>
  <c r="D54" i="8"/>
  <c r="K24" i="8"/>
  <c r="I24" i="8"/>
  <c r="H24" i="8"/>
  <c r="N24" i="8"/>
  <c r="G24" i="8"/>
  <c r="E24" i="8"/>
  <c r="L24" i="8"/>
  <c r="F24" i="8"/>
  <c r="D24" i="8"/>
  <c r="M24" i="8"/>
  <c r="J24" i="8"/>
  <c r="G22" i="8"/>
  <c r="K22" i="8"/>
  <c r="N22" i="8"/>
  <c r="D22" i="8"/>
  <c r="I22" i="8"/>
  <c r="L22" i="8"/>
  <c r="M22" i="8"/>
  <c r="E22" i="8"/>
  <c r="F22" i="8"/>
  <c r="H22" i="8"/>
  <c r="J22" i="8"/>
  <c r="H23" i="8"/>
  <c r="I23" i="8"/>
  <c r="N23" i="8"/>
  <c r="L23" i="8"/>
  <c r="J23" i="8"/>
  <c r="D23" i="8"/>
  <c r="E23" i="8"/>
  <c r="K23" i="8"/>
  <c r="G23" i="8"/>
  <c r="M23" i="8"/>
  <c r="F23" i="8"/>
  <c r="I61" i="1"/>
  <c r="L61" i="1"/>
  <c r="J61" i="1"/>
  <c r="F61" i="1"/>
  <c r="G61" i="1"/>
  <c r="M61" i="1"/>
  <c r="C61" i="1"/>
  <c r="E61" i="1"/>
  <c r="K61" i="1"/>
  <c r="H61" i="1"/>
  <c r="D61" i="1"/>
  <c r="F60" i="1"/>
  <c r="J60" i="1"/>
  <c r="M60" i="1"/>
  <c r="I60" i="1"/>
  <c r="K60" i="1"/>
  <c r="E60" i="1"/>
  <c r="L60" i="1"/>
  <c r="D60" i="1"/>
  <c r="G60" i="1"/>
  <c r="C60" i="1"/>
  <c r="H60" i="1"/>
  <c r="D75" i="1"/>
  <c r="K75" i="1"/>
  <c r="M75" i="1"/>
  <c r="F75" i="1"/>
  <c r="J75" i="1"/>
  <c r="L75" i="1"/>
  <c r="I75" i="1"/>
  <c r="E75" i="1"/>
  <c r="H75" i="1"/>
  <c r="G75" i="1"/>
  <c r="C75" i="1"/>
  <c r="L55" i="1"/>
  <c r="F55" i="1"/>
  <c r="J55" i="1"/>
  <c r="C55" i="1"/>
  <c r="D55" i="1"/>
  <c r="E55" i="1"/>
  <c r="K55" i="1"/>
  <c r="M55" i="1"/>
  <c r="I55" i="1"/>
  <c r="H55" i="1"/>
  <c r="G55" i="1"/>
  <c r="D67" i="1"/>
  <c r="G67" i="1"/>
  <c r="L67" i="1"/>
  <c r="C67" i="1"/>
  <c r="H67" i="1"/>
  <c r="F67" i="1"/>
  <c r="J67" i="1"/>
  <c r="M67" i="1"/>
  <c r="E67" i="1"/>
  <c r="K67" i="1"/>
  <c r="I67" i="1"/>
  <c r="K39" i="1"/>
  <c r="H39" i="1"/>
  <c r="E39" i="1"/>
  <c r="G39" i="1"/>
  <c r="C39" i="1"/>
  <c r="L39" i="1"/>
  <c r="D39" i="1"/>
  <c r="F39" i="1"/>
  <c r="J39" i="1"/>
  <c r="M39" i="1"/>
  <c r="I39" i="1"/>
  <c r="F19" i="8"/>
  <c r="I19" i="8"/>
  <c r="H19" i="8"/>
  <c r="M19" i="8"/>
  <c r="K19" i="8"/>
  <c r="N19" i="8"/>
  <c r="L19" i="8"/>
  <c r="D19" i="8"/>
  <c r="J19" i="8"/>
  <c r="G19" i="8"/>
  <c r="E19" i="8"/>
  <c r="K62" i="8"/>
  <c r="I62" i="8"/>
  <c r="G62" i="8"/>
  <c r="E62" i="8"/>
  <c r="H62" i="8"/>
  <c r="F62" i="8"/>
  <c r="N62" i="8"/>
  <c r="J62" i="8"/>
  <c r="M62" i="8"/>
  <c r="D62" i="8"/>
  <c r="L62" i="8"/>
  <c r="G81" i="1"/>
  <c r="H81" i="1"/>
  <c r="J81" i="1"/>
  <c r="L81" i="1"/>
  <c r="K81" i="1"/>
  <c r="F81" i="1"/>
  <c r="M81" i="1"/>
  <c r="E81" i="1"/>
  <c r="D81" i="1"/>
  <c r="I81" i="1"/>
  <c r="C81" i="1"/>
  <c r="E87" i="1"/>
  <c r="F87" i="1"/>
  <c r="M87" i="1"/>
  <c r="J87" i="1"/>
  <c r="L87" i="1"/>
  <c r="C87" i="1"/>
  <c r="H87" i="1"/>
  <c r="G87" i="1"/>
  <c r="K87" i="1"/>
  <c r="I87" i="1"/>
  <c r="D87" i="1"/>
  <c r="F22" i="1"/>
  <c r="K22" i="1"/>
  <c r="E22" i="1"/>
  <c r="G22" i="1"/>
  <c r="H22" i="1"/>
  <c r="J22" i="1"/>
  <c r="D22" i="1"/>
  <c r="I22" i="1"/>
  <c r="L22" i="1"/>
  <c r="C22" i="1"/>
  <c r="M22" i="1"/>
  <c r="L79" i="1"/>
  <c r="J79" i="1"/>
  <c r="I79" i="1"/>
  <c r="M79" i="1"/>
  <c r="G79" i="1"/>
  <c r="K79" i="1"/>
  <c r="E79" i="1"/>
  <c r="H79" i="1"/>
  <c r="F79" i="1"/>
  <c r="C79" i="1"/>
  <c r="D79" i="1"/>
  <c r="H68" i="1"/>
  <c r="G68" i="1"/>
  <c r="K68" i="1"/>
  <c r="C68" i="1"/>
  <c r="E68" i="1"/>
  <c r="L68" i="1"/>
  <c r="F68" i="1"/>
  <c r="D68" i="1"/>
  <c r="J68" i="1"/>
  <c r="M68" i="1"/>
  <c r="I68" i="1"/>
  <c r="I73" i="1"/>
  <c r="C73" i="1"/>
  <c r="H73" i="1"/>
  <c r="K73" i="1"/>
  <c r="J73" i="1"/>
  <c r="D73" i="1"/>
  <c r="F73" i="1"/>
  <c r="L73" i="1"/>
  <c r="E73" i="1"/>
  <c r="M73" i="1"/>
  <c r="G73" i="1"/>
  <c r="J44" i="8"/>
  <c r="I44" i="8"/>
  <c r="D44" i="8"/>
  <c r="N44" i="8"/>
  <c r="F44" i="8"/>
  <c r="H44" i="8"/>
  <c r="L44" i="8"/>
  <c r="E44" i="8"/>
  <c r="M44" i="8"/>
  <c r="K44" i="8"/>
  <c r="G44" i="8"/>
  <c r="I30" i="1"/>
  <c r="G30" i="1"/>
  <c r="F30" i="1"/>
  <c r="C30" i="1"/>
  <c r="M30" i="1"/>
  <c r="E30" i="1"/>
  <c r="H30" i="1"/>
  <c r="J30" i="1"/>
  <c r="L30" i="1"/>
  <c r="K30" i="1"/>
  <c r="D30" i="1"/>
  <c r="C38" i="1"/>
  <c r="J38" i="1"/>
  <c r="M38" i="1"/>
  <c r="H38" i="1"/>
  <c r="L38" i="1"/>
  <c r="I38" i="1"/>
  <c r="F38" i="1"/>
  <c r="E38" i="1"/>
  <c r="K38" i="1"/>
  <c r="D38" i="1"/>
  <c r="G38" i="1"/>
  <c r="M42" i="8"/>
  <c r="D42" i="8"/>
  <c r="N42" i="8"/>
  <c r="K42" i="8"/>
  <c r="I42" i="8"/>
  <c r="L42" i="8"/>
  <c r="J42" i="8"/>
  <c r="F42" i="8"/>
  <c r="E42" i="8"/>
  <c r="G42" i="8"/>
  <c r="H42" i="8"/>
  <c r="I11" i="1"/>
  <c r="G11" i="1"/>
  <c r="H11" i="1"/>
  <c r="D11" i="1"/>
  <c r="C11" i="1"/>
  <c r="J11" i="1"/>
  <c r="E11" i="1"/>
  <c r="L11" i="1"/>
  <c r="M11" i="1"/>
  <c r="K11" i="1"/>
  <c r="F11" i="1"/>
  <c r="M20" i="8"/>
  <c r="J20" i="8"/>
  <c r="N20" i="8"/>
  <c r="H20" i="8"/>
  <c r="K20" i="8"/>
  <c r="F20" i="8"/>
  <c r="I20" i="8"/>
  <c r="E20" i="8"/>
  <c r="L20" i="8"/>
  <c r="G20" i="8"/>
  <c r="D20" i="8"/>
  <c r="H27" i="8"/>
  <c r="K27" i="8"/>
  <c r="D27" i="8"/>
  <c r="E27" i="8"/>
  <c r="J27" i="8"/>
  <c r="M27" i="8"/>
  <c r="F27" i="8"/>
  <c r="G27" i="8"/>
  <c r="I27" i="8"/>
  <c r="N27" i="8"/>
  <c r="L27" i="8"/>
  <c r="F60" i="8"/>
  <c r="H60" i="8"/>
  <c r="G60" i="8"/>
  <c r="E60" i="8"/>
  <c r="L60" i="8"/>
  <c r="M60" i="8"/>
  <c r="I60" i="8"/>
  <c r="J60" i="8"/>
  <c r="D60" i="8"/>
  <c r="K60" i="8"/>
  <c r="N60" i="8"/>
  <c r="F46" i="8"/>
  <c r="J46" i="8"/>
  <c r="N46" i="8"/>
  <c r="G46" i="8"/>
  <c r="I46" i="8"/>
  <c r="D46" i="8"/>
  <c r="L46" i="8"/>
  <c r="K46" i="8"/>
  <c r="M46" i="8"/>
  <c r="E46" i="8"/>
  <c r="H46" i="8"/>
  <c r="F77" i="1"/>
  <c r="M77" i="1"/>
  <c r="K77" i="1"/>
  <c r="H77" i="1"/>
  <c r="L77" i="1"/>
  <c r="D77" i="1"/>
  <c r="I77" i="1"/>
  <c r="G77" i="1"/>
  <c r="C77" i="1"/>
  <c r="J77" i="1"/>
  <c r="E77" i="1"/>
  <c r="G53" i="1"/>
  <c r="K53" i="1"/>
  <c r="F53" i="1"/>
  <c r="I53" i="1"/>
  <c r="J53" i="1"/>
  <c r="D53" i="1"/>
  <c r="H53" i="1"/>
  <c r="M53" i="1"/>
  <c r="C53" i="1"/>
  <c r="E53" i="1"/>
  <c r="L53" i="1"/>
  <c r="M51" i="1"/>
  <c r="F51" i="1"/>
  <c r="C51" i="1"/>
  <c r="H51" i="1"/>
  <c r="K51" i="1"/>
  <c r="J51" i="1"/>
  <c r="G51" i="1"/>
  <c r="I51" i="1"/>
  <c r="L51" i="1"/>
  <c r="D51" i="1"/>
  <c r="E51" i="1"/>
  <c r="C33" i="1"/>
  <c r="F33" i="1"/>
  <c r="K33" i="1"/>
  <c r="L33" i="1"/>
  <c r="M33" i="1"/>
  <c r="G33" i="1"/>
  <c r="E33" i="1"/>
  <c r="I33" i="1"/>
  <c r="J33" i="1"/>
  <c r="H33" i="1"/>
  <c r="D33" i="1"/>
  <c r="C48" i="1"/>
  <c r="K48" i="1"/>
  <c r="L48" i="1"/>
  <c r="F48" i="1"/>
  <c r="J48" i="1"/>
  <c r="D48" i="1"/>
  <c r="E48" i="1"/>
  <c r="G48" i="1"/>
  <c r="H48" i="1"/>
  <c r="M48" i="1"/>
  <c r="I48" i="1"/>
  <c r="D23" i="1"/>
  <c r="F23" i="1"/>
  <c r="I23" i="1"/>
  <c r="C23" i="1"/>
  <c r="K23" i="1"/>
  <c r="M23" i="1"/>
  <c r="H23" i="1"/>
  <c r="G23" i="1"/>
  <c r="E23" i="1"/>
  <c r="L23" i="1"/>
  <c r="J23" i="1"/>
  <c r="L57" i="1"/>
  <c r="F57" i="1"/>
  <c r="H57" i="1"/>
  <c r="C57" i="1"/>
  <c r="I57" i="1"/>
  <c r="K57" i="1"/>
  <c r="E57" i="1"/>
  <c r="J57" i="1"/>
  <c r="D57" i="1"/>
  <c r="G57" i="1"/>
  <c r="M57" i="1"/>
  <c r="H32" i="8"/>
  <c r="M32" i="8"/>
  <c r="G32" i="8"/>
  <c r="K32" i="8"/>
  <c r="F32" i="8"/>
  <c r="E32" i="8"/>
  <c r="L32" i="8"/>
  <c r="J32" i="8"/>
  <c r="D32" i="8"/>
  <c r="I32" i="8"/>
  <c r="N32" i="8"/>
  <c r="E86" i="1"/>
  <c r="F86" i="1"/>
  <c r="D86" i="1"/>
  <c r="I86" i="1"/>
  <c r="J86" i="1"/>
  <c r="M86" i="1"/>
  <c r="K86" i="1"/>
  <c r="L86" i="1"/>
  <c r="C86" i="1"/>
  <c r="H86" i="1"/>
  <c r="G86" i="1"/>
  <c r="H45" i="1"/>
  <c r="G45" i="1"/>
  <c r="D45" i="1"/>
  <c r="E45" i="1"/>
  <c r="M45" i="1"/>
  <c r="F45" i="1"/>
  <c r="J45" i="1"/>
  <c r="K45" i="1"/>
  <c r="C45" i="1"/>
  <c r="I45" i="1"/>
  <c r="L45" i="1"/>
  <c r="M84" i="1"/>
  <c r="G84" i="1"/>
  <c r="D84" i="1"/>
  <c r="C84" i="1"/>
  <c r="L84" i="1"/>
  <c r="K84" i="1"/>
  <c r="F84" i="1"/>
  <c r="J84" i="1"/>
  <c r="E84" i="1"/>
  <c r="H84" i="1"/>
  <c r="I84" i="1"/>
  <c r="M64" i="1"/>
  <c r="H64" i="1"/>
  <c r="L64" i="1"/>
  <c r="I64" i="1"/>
  <c r="F64" i="1"/>
  <c r="G64" i="1"/>
  <c r="D64" i="1"/>
  <c r="E64" i="1"/>
  <c r="J64" i="1"/>
  <c r="K64" i="1"/>
  <c r="C64" i="1"/>
  <c r="J52" i="1"/>
  <c r="L52" i="1"/>
  <c r="I52" i="1"/>
  <c r="E52" i="1"/>
  <c r="D52" i="1"/>
  <c r="K52" i="1"/>
  <c r="F52" i="1"/>
  <c r="C52" i="1"/>
  <c r="H52" i="1"/>
  <c r="G52" i="1"/>
  <c r="M52" i="1"/>
  <c r="C49" i="1"/>
  <c r="M49" i="1"/>
  <c r="L49" i="1"/>
  <c r="D49" i="1"/>
  <c r="K49" i="1"/>
  <c r="J49" i="1"/>
  <c r="G49" i="1"/>
  <c r="E49" i="1"/>
  <c r="H49" i="1"/>
  <c r="I49" i="1"/>
  <c r="F49" i="1"/>
  <c r="G34" i="1"/>
  <c r="D34" i="1"/>
  <c r="J34" i="1"/>
  <c r="E34" i="1"/>
  <c r="L34" i="1"/>
  <c r="C34" i="1"/>
  <c r="H34" i="1"/>
  <c r="I34" i="1"/>
  <c r="K34" i="1"/>
  <c r="F34" i="1"/>
  <c r="M34" i="1"/>
  <c r="J38" i="8"/>
  <c r="G38" i="8"/>
  <c r="F38" i="8"/>
  <c r="N38" i="8"/>
  <c r="K38" i="8"/>
  <c r="L38" i="8"/>
  <c r="D38" i="8"/>
  <c r="M38" i="8"/>
  <c r="E38" i="8"/>
  <c r="I38" i="8"/>
  <c r="H38" i="8"/>
  <c r="L69" i="1"/>
  <c r="K69" i="1"/>
  <c r="C69" i="1"/>
  <c r="E69" i="1"/>
  <c r="F69" i="1"/>
  <c r="I69" i="1"/>
  <c r="G69" i="1"/>
  <c r="M69" i="1"/>
  <c r="J69" i="1"/>
  <c r="D69" i="1"/>
  <c r="H69" i="1"/>
  <c r="E19" i="1"/>
  <c r="G19" i="1"/>
  <c r="M19" i="1"/>
  <c r="F19" i="1"/>
  <c r="C19" i="1"/>
  <c r="H19" i="1"/>
  <c r="I19" i="1"/>
  <c r="L19" i="1"/>
  <c r="K19" i="1"/>
  <c r="J19" i="1"/>
  <c r="D19" i="1"/>
  <c r="L45" i="8"/>
  <c r="K45" i="8"/>
  <c r="N45" i="8"/>
  <c r="G45" i="8"/>
  <c r="F45" i="8"/>
  <c r="M45" i="8"/>
  <c r="J45" i="8"/>
  <c r="H45" i="8"/>
  <c r="D45" i="8"/>
  <c r="I45" i="8"/>
  <c r="E45" i="8"/>
  <c r="J56" i="8"/>
  <c r="H56" i="8"/>
  <c r="F56" i="8"/>
  <c r="N56" i="8"/>
  <c r="L56" i="8"/>
  <c r="K56" i="8"/>
  <c r="I56" i="8"/>
  <c r="E56" i="8"/>
  <c r="M56" i="8"/>
  <c r="G56" i="8"/>
  <c r="D56" i="8"/>
  <c r="N49" i="8"/>
  <c r="H49" i="8"/>
  <c r="D49" i="8"/>
  <c r="L49" i="8"/>
  <c r="M49" i="8"/>
  <c r="I49" i="8"/>
  <c r="E49" i="8"/>
  <c r="K49" i="8"/>
  <c r="G49" i="8"/>
  <c r="F49" i="8"/>
  <c r="J49" i="8"/>
  <c r="D13" i="8"/>
  <c r="M13" i="8"/>
  <c r="N13" i="8"/>
  <c r="J13" i="8"/>
  <c r="L13" i="8"/>
  <c r="E13" i="8"/>
  <c r="K13" i="8"/>
  <c r="G13" i="8"/>
  <c r="I13" i="8"/>
  <c r="H13" i="8"/>
  <c r="F13" i="8"/>
  <c r="G14" i="8"/>
  <c r="H14" i="8"/>
  <c r="L14" i="8"/>
  <c r="M14" i="8"/>
  <c r="F14" i="8"/>
  <c r="I14" i="8"/>
  <c r="E14" i="8"/>
  <c r="D14" i="8"/>
  <c r="N14" i="8"/>
  <c r="J14" i="8"/>
  <c r="K14" i="8"/>
  <c r="H52" i="8"/>
  <c r="D52" i="8"/>
  <c r="J52" i="8"/>
  <c r="G52" i="8"/>
  <c r="M52" i="8"/>
  <c r="K52" i="8"/>
  <c r="N52" i="8"/>
  <c r="I52" i="8"/>
  <c r="E52" i="8"/>
  <c r="L52" i="8"/>
  <c r="F52" i="8"/>
  <c r="L21" i="8"/>
  <c r="J21" i="8"/>
  <c r="H21" i="8"/>
  <c r="F21" i="8"/>
  <c r="N21" i="8"/>
  <c r="D21" i="8"/>
  <c r="G21" i="8"/>
  <c r="I21" i="8"/>
  <c r="M21" i="8"/>
  <c r="K21" i="8"/>
  <c r="E21" i="8"/>
  <c r="F59" i="1"/>
  <c r="L59" i="1"/>
  <c r="H59" i="1"/>
  <c r="G59" i="1"/>
  <c r="I59" i="1"/>
  <c r="D59" i="1"/>
  <c r="C59" i="1"/>
  <c r="J59" i="1"/>
  <c r="E59" i="1"/>
  <c r="K59" i="1"/>
  <c r="M59" i="1"/>
  <c r="D37" i="1"/>
  <c r="E37" i="1"/>
  <c r="F37" i="1"/>
  <c r="L37" i="1"/>
  <c r="I37" i="1"/>
  <c r="C37" i="1"/>
  <c r="K37" i="1"/>
  <c r="G37" i="1"/>
  <c r="J37" i="1"/>
  <c r="M37" i="1"/>
  <c r="H37" i="1"/>
  <c r="E78" i="1"/>
  <c r="F78" i="1"/>
  <c r="L78" i="1"/>
  <c r="G78" i="1"/>
  <c r="K78" i="1"/>
  <c r="H78" i="1"/>
  <c r="M78" i="1"/>
  <c r="D78" i="1"/>
  <c r="C78" i="1"/>
  <c r="I78" i="1"/>
  <c r="J78" i="1"/>
  <c r="H76" i="1"/>
  <c r="J76" i="1"/>
  <c r="E76" i="1"/>
  <c r="M76" i="1"/>
  <c r="F76" i="1"/>
  <c r="G76" i="1"/>
  <c r="I76" i="1"/>
  <c r="L76" i="1"/>
  <c r="D76" i="1"/>
  <c r="K76" i="1"/>
  <c r="C76" i="1"/>
  <c r="M31" i="1"/>
  <c r="H31" i="1"/>
  <c r="I31" i="1"/>
  <c r="F31" i="1"/>
  <c r="L31" i="1"/>
  <c r="E31" i="1"/>
  <c r="C31" i="1"/>
  <c r="K31" i="1"/>
  <c r="D31" i="1"/>
  <c r="G31" i="1"/>
  <c r="J31" i="1"/>
  <c r="K56" i="1"/>
  <c r="E56" i="1"/>
  <c r="J56" i="1"/>
  <c r="I56" i="1"/>
  <c r="F56" i="1"/>
  <c r="L56" i="1"/>
  <c r="M56" i="1"/>
  <c r="G56" i="1"/>
  <c r="C56" i="1"/>
  <c r="D56" i="1"/>
  <c r="H56" i="1"/>
  <c r="K47" i="1"/>
  <c r="C47" i="1"/>
  <c r="L47" i="1"/>
  <c r="F47" i="1"/>
  <c r="E47" i="1"/>
  <c r="G47" i="1"/>
  <c r="M47" i="1"/>
  <c r="I47" i="1"/>
  <c r="H47" i="1"/>
  <c r="J47" i="1"/>
  <c r="D47" i="1"/>
  <c r="F16" i="1"/>
  <c r="E16" i="1"/>
  <c r="I16" i="1"/>
  <c r="H16" i="1"/>
  <c r="M16" i="1"/>
  <c r="G16" i="1"/>
  <c r="C16" i="1"/>
  <c r="D16" i="1"/>
  <c r="K16" i="1"/>
  <c r="J16" i="1"/>
  <c r="L16" i="1"/>
  <c r="D65" i="8"/>
  <c r="G65" i="8"/>
  <c r="I65" i="8"/>
  <c r="F65" i="8"/>
  <c r="N65" i="8"/>
  <c r="J65" i="8"/>
  <c r="E65" i="8"/>
  <c r="M65" i="8"/>
  <c r="K65" i="8"/>
  <c r="L65" i="8"/>
  <c r="H65" i="8"/>
  <c r="G58" i="1"/>
  <c r="D58" i="1"/>
  <c r="F58" i="1"/>
  <c r="M58" i="1"/>
  <c r="I58" i="1"/>
  <c r="K58" i="1"/>
  <c r="L58" i="1"/>
  <c r="E58" i="1"/>
  <c r="H58" i="1"/>
  <c r="C58" i="1"/>
  <c r="J58" i="1"/>
  <c r="G36" i="1"/>
  <c r="H36" i="1"/>
  <c r="E36" i="1"/>
  <c r="I36" i="1"/>
  <c r="K36" i="1"/>
  <c r="M36" i="1"/>
  <c r="J36" i="1"/>
  <c r="L36" i="1"/>
  <c r="D36" i="1"/>
  <c r="F36" i="1"/>
  <c r="C36" i="1"/>
  <c r="J85" i="1"/>
  <c r="I85" i="1"/>
  <c r="M85" i="1"/>
  <c r="H85" i="1"/>
  <c r="F85" i="1"/>
  <c r="D85" i="1"/>
  <c r="C85" i="1"/>
  <c r="K85" i="1"/>
  <c r="G85" i="1"/>
  <c r="L85" i="1"/>
  <c r="E85" i="1"/>
  <c r="H43" i="1"/>
  <c r="C43" i="1"/>
  <c r="K43" i="1"/>
  <c r="F43" i="1"/>
  <c r="L43" i="1"/>
  <c r="J43" i="1"/>
  <c r="M43" i="1"/>
  <c r="E43" i="1"/>
  <c r="G43" i="1"/>
  <c r="I43" i="1"/>
  <c r="D43" i="1"/>
  <c r="E70" i="1"/>
  <c r="K70" i="1"/>
  <c r="L70" i="1"/>
  <c r="I70" i="1"/>
  <c r="H70" i="1"/>
  <c r="F70" i="1"/>
  <c r="C70" i="1"/>
  <c r="J70" i="1"/>
  <c r="M70" i="1"/>
  <c r="G70" i="1"/>
  <c r="D70" i="1"/>
  <c r="D29" i="1"/>
  <c r="H29" i="1"/>
  <c r="E29" i="1"/>
  <c r="K29" i="1"/>
  <c r="J29" i="1"/>
  <c r="C29" i="1"/>
  <c r="F29" i="1"/>
  <c r="M29" i="1"/>
  <c r="L29" i="1"/>
  <c r="G29" i="1"/>
  <c r="I29" i="1"/>
  <c r="J82" i="1"/>
  <c r="H82" i="1"/>
  <c r="G82" i="1"/>
  <c r="D82" i="1"/>
  <c r="M82" i="1"/>
  <c r="C82" i="1"/>
  <c r="E82" i="1"/>
  <c r="I82" i="1"/>
  <c r="L82" i="1"/>
  <c r="K82" i="1"/>
  <c r="F82" i="1"/>
  <c r="J41" i="8"/>
  <c r="D41" i="8"/>
  <c r="F41" i="8"/>
  <c r="G41" i="8"/>
  <c r="N41" i="8"/>
  <c r="H41" i="8"/>
  <c r="L41" i="8"/>
  <c r="M41" i="8"/>
  <c r="K41" i="8"/>
  <c r="E41" i="8"/>
  <c r="I41" i="8"/>
  <c r="G41" i="1"/>
  <c r="C41" i="1"/>
  <c r="D41" i="1"/>
  <c r="I41" i="1"/>
  <c r="L41" i="1"/>
  <c r="J41" i="1"/>
  <c r="H41" i="1"/>
  <c r="E41" i="1"/>
  <c r="K41" i="1"/>
  <c r="M41" i="1"/>
  <c r="F41" i="1"/>
  <c r="I61" i="8"/>
  <c r="N61" i="8"/>
  <c r="M61" i="8"/>
  <c r="E61" i="8"/>
  <c r="J61" i="8"/>
  <c r="H61" i="8"/>
  <c r="D61" i="8"/>
  <c r="G61" i="8"/>
  <c r="K61" i="8"/>
  <c r="F61" i="8"/>
  <c r="L61" i="8"/>
  <c r="K58" i="8"/>
  <c r="M58" i="8"/>
  <c r="J58" i="8"/>
  <c r="L58" i="8"/>
  <c r="F58" i="8"/>
  <c r="I58" i="8"/>
  <c r="G58" i="8"/>
  <c r="E58" i="8"/>
  <c r="D58" i="8"/>
  <c r="H58" i="8"/>
  <c r="N58" i="8"/>
  <c r="K30" i="8"/>
  <c r="H30" i="8"/>
  <c r="I30" i="8"/>
  <c r="M30" i="8"/>
  <c r="D30" i="8"/>
  <c r="J30" i="8"/>
  <c r="N30" i="8"/>
  <c r="G30" i="8"/>
  <c r="L30" i="8"/>
  <c r="E30" i="8"/>
  <c r="F30" i="8"/>
  <c r="C17" i="1"/>
  <c r="H17" i="1"/>
  <c r="L17" i="1"/>
  <c r="K17" i="1"/>
  <c r="D17" i="1"/>
  <c r="E17" i="1"/>
  <c r="F17" i="1"/>
  <c r="I17" i="1"/>
  <c r="J17" i="1"/>
  <c r="M17" i="1"/>
  <c r="G17" i="1"/>
  <c r="D48" i="8"/>
  <c r="N48" i="8"/>
  <c r="J48" i="8"/>
  <c r="K48" i="8"/>
  <c r="I48" i="8"/>
  <c r="L48" i="8"/>
  <c r="E48" i="8"/>
  <c r="M48" i="8"/>
  <c r="G48" i="8"/>
  <c r="F48" i="8"/>
  <c r="H48" i="8"/>
  <c r="I28" i="8"/>
  <c r="K28" i="8"/>
  <c r="G28" i="8"/>
  <c r="J28" i="8"/>
  <c r="H28" i="8"/>
  <c r="M28" i="8"/>
  <c r="F28" i="8"/>
  <c r="L28" i="8"/>
  <c r="N28" i="8"/>
  <c r="E28" i="8"/>
  <c r="D28" i="8"/>
  <c r="K17" i="8"/>
  <c r="H17" i="8"/>
  <c r="G17" i="8"/>
  <c r="I17" i="8"/>
  <c r="L17" i="8"/>
  <c r="N17" i="8"/>
  <c r="J17" i="8"/>
  <c r="F17" i="8"/>
  <c r="D17" i="8"/>
  <c r="E17" i="8"/>
  <c r="M17" i="8"/>
  <c r="N37" i="8"/>
  <c r="H37" i="8"/>
  <c r="E37" i="8"/>
  <c r="L37" i="8"/>
  <c r="K37" i="8"/>
  <c r="D37" i="8"/>
  <c r="G37" i="8"/>
  <c r="J37" i="8"/>
  <c r="M37" i="8"/>
  <c r="F37" i="8"/>
  <c r="I37" i="8"/>
  <c r="G18" i="1"/>
  <c r="H18" i="1"/>
  <c r="L18" i="1"/>
  <c r="M18" i="1"/>
  <c r="E18" i="1"/>
  <c r="C18" i="1"/>
  <c r="K18" i="1"/>
  <c r="J18" i="1"/>
  <c r="D18" i="1"/>
  <c r="I18" i="1"/>
  <c r="F18" i="1"/>
  <c r="H53" i="8"/>
  <c r="I53" i="8"/>
  <c r="F53" i="8"/>
  <c r="J53" i="8"/>
  <c r="M53" i="8"/>
  <c r="L53" i="8"/>
  <c r="K53" i="8"/>
  <c r="N53" i="8"/>
  <c r="G53" i="8"/>
  <c r="D53" i="8"/>
  <c r="E53" i="8"/>
  <c r="F39" i="8"/>
  <c r="D39" i="8"/>
  <c r="E39" i="8"/>
  <c r="K39" i="8"/>
  <c r="I39" i="8"/>
  <c r="G39" i="8"/>
  <c r="L39" i="8"/>
  <c r="J39" i="8"/>
  <c r="N39" i="8"/>
  <c r="M39" i="8"/>
  <c r="H39" i="8"/>
  <c r="G55" i="8"/>
  <c r="L55" i="8"/>
  <c r="F55" i="8"/>
  <c r="E55" i="8"/>
  <c r="K55" i="8"/>
  <c r="H55" i="8"/>
  <c r="N55" i="8"/>
  <c r="J55" i="8"/>
  <c r="M55" i="8"/>
  <c r="D55" i="8"/>
  <c r="I55" i="8"/>
  <c r="E47" i="8"/>
  <c r="J47" i="8"/>
  <c r="N47" i="8"/>
  <c r="G47" i="8"/>
  <c r="K47" i="8"/>
  <c r="D47" i="8"/>
  <c r="I47" i="8"/>
  <c r="L47" i="8"/>
  <c r="F47" i="8"/>
  <c r="H47" i="8"/>
  <c r="M47" i="8"/>
  <c r="I26" i="8"/>
  <c r="D26" i="8"/>
  <c r="K26" i="8"/>
  <c r="L26" i="8"/>
  <c r="N26" i="8"/>
  <c r="G26" i="8"/>
  <c r="J26" i="8"/>
  <c r="H26" i="8"/>
  <c r="E26" i="8"/>
  <c r="F26" i="8"/>
  <c r="M26" i="8"/>
  <c r="L74" i="1"/>
  <c r="J74" i="1"/>
  <c r="M74" i="1"/>
  <c r="F74" i="1"/>
  <c r="I74" i="1"/>
  <c r="H74" i="1"/>
  <c r="E74" i="1"/>
  <c r="K74" i="1"/>
  <c r="C74" i="1"/>
  <c r="G74" i="1"/>
  <c r="D74" i="1"/>
  <c r="F26" i="1"/>
  <c r="H26" i="1"/>
  <c r="E26" i="1"/>
  <c r="J26" i="1"/>
  <c r="M26" i="1"/>
  <c r="L26" i="1"/>
  <c r="I26" i="1"/>
  <c r="D26" i="1"/>
  <c r="K26" i="1"/>
  <c r="C26" i="1"/>
  <c r="G26" i="1"/>
  <c r="K42" i="1"/>
  <c r="D42" i="1"/>
  <c r="I42" i="1"/>
  <c r="M42" i="1"/>
  <c r="H42" i="1"/>
  <c r="E42" i="1"/>
  <c r="L42" i="1"/>
  <c r="C42" i="1"/>
  <c r="J42" i="1"/>
  <c r="G42" i="1"/>
  <c r="F42" i="1"/>
  <c r="G44" i="1"/>
  <c r="E44" i="1"/>
  <c r="K44" i="1"/>
  <c r="J44" i="1"/>
  <c r="I44" i="1"/>
  <c r="M44" i="1"/>
  <c r="C44" i="1"/>
  <c r="F44" i="1"/>
  <c r="L44" i="1"/>
  <c r="D44" i="1"/>
  <c r="H44" i="1"/>
  <c r="J63" i="1"/>
  <c r="K63" i="1"/>
  <c r="D63" i="1"/>
  <c r="C63" i="1"/>
  <c r="E63" i="1"/>
  <c r="G63" i="1"/>
  <c r="F63" i="1"/>
  <c r="L63" i="1"/>
  <c r="H63" i="1"/>
  <c r="M63" i="1"/>
  <c r="I63" i="1"/>
  <c r="J54" i="1"/>
  <c r="M54" i="1"/>
  <c r="E54" i="1"/>
  <c r="F54" i="1"/>
  <c r="G54" i="1"/>
  <c r="K54" i="1"/>
  <c r="L54" i="1"/>
  <c r="D54" i="1"/>
  <c r="C54" i="1"/>
  <c r="I54" i="1"/>
  <c r="H54" i="1"/>
  <c r="L28" i="1"/>
  <c r="K28" i="1"/>
  <c r="J28" i="1"/>
  <c r="I28" i="1"/>
  <c r="E28" i="1"/>
  <c r="H28" i="1"/>
  <c r="D28" i="1"/>
  <c r="G28" i="1"/>
  <c r="F28" i="1"/>
  <c r="C28" i="1"/>
  <c r="M28" i="1"/>
  <c r="F35" i="1"/>
  <c r="G35" i="1"/>
  <c r="E35" i="1"/>
  <c r="C35" i="1"/>
  <c r="M35" i="1"/>
  <c r="H35" i="1"/>
  <c r="K35" i="1"/>
  <c r="L35" i="1"/>
  <c r="I35" i="1"/>
  <c r="D35" i="1"/>
  <c r="J35" i="1"/>
  <c r="D31" i="8"/>
  <c r="G31" i="8"/>
  <c r="F31" i="8"/>
  <c r="K31" i="8"/>
  <c r="M31" i="8"/>
  <c r="I31" i="8"/>
  <c r="J31" i="8"/>
  <c r="H31" i="8"/>
  <c r="L31" i="8"/>
  <c r="N31" i="8"/>
  <c r="E31" i="8"/>
  <c r="M35" i="8"/>
  <c r="L35" i="8"/>
  <c r="H35" i="8"/>
  <c r="K35" i="8"/>
  <c r="D35" i="8"/>
  <c r="J35" i="8"/>
  <c r="N35" i="8"/>
  <c r="E35" i="8"/>
  <c r="I35" i="8"/>
  <c r="G35" i="8"/>
  <c r="F35" i="8"/>
  <c r="D57" i="8"/>
  <c r="H57" i="8"/>
  <c r="N57" i="8"/>
  <c r="G57" i="8"/>
  <c r="M57" i="8"/>
  <c r="K57" i="8"/>
  <c r="J57" i="8"/>
  <c r="I57" i="8"/>
  <c r="E57" i="8"/>
  <c r="L57" i="8"/>
  <c r="F57" i="8"/>
  <c r="I51" i="8"/>
  <c r="J51" i="8"/>
  <c r="K51" i="8"/>
  <c r="M51" i="8"/>
  <c r="F51" i="8"/>
  <c r="H51" i="8"/>
  <c r="E51" i="8"/>
  <c r="D51" i="8"/>
  <c r="G51" i="8"/>
  <c r="N51" i="8"/>
  <c r="L51" i="8"/>
  <c r="J50" i="1"/>
  <c r="E50" i="1"/>
  <c r="H50" i="1"/>
  <c r="I50" i="1"/>
  <c r="D50" i="1"/>
  <c r="K50" i="1"/>
  <c r="C50" i="1"/>
  <c r="F50" i="1"/>
  <c r="M50" i="1"/>
  <c r="G50" i="1"/>
  <c r="L50" i="1"/>
  <c r="I62" i="1"/>
  <c r="E62" i="1"/>
  <c r="F62" i="1"/>
  <c r="H62" i="1"/>
  <c r="K62" i="1"/>
  <c r="M62" i="1"/>
  <c r="G62" i="1"/>
  <c r="D62" i="1"/>
  <c r="J62" i="1"/>
  <c r="C62" i="1"/>
  <c r="L62" i="1"/>
  <c r="H83" i="1"/>
  <c r="I83" i="1"/>
  <c r="C83" i="1"/>
  <c r="M83" i="1"/>
  <c r="F83" i="1"/>
  <c r="J83" i="1"/>
  <c r="G83" i="1"/>
  <c r="K83" i="1"/>
  <c r="L83" i="1"/>
  <c r="E83" i="1"/>
  <c r="D83" i="1"/>
  <c r="M27" i="1"/>
  <c r="F27" i="1"/>
  <c r="C27" i="1"/>
  <c r="G27" i="1"/>
  <c r="K27" i="1"/>
  <c r="L27" i="1"/>
  <c r="E27" i="1"/>
  <c r="I27" i="1"/>
  <c r="J27" i="1"/>
  <c r="H27" i="1"/>
  <c r="D27" i="1"/>
  <c r="G46" i="1"/>
  <c r="H46" i="1"/>
  <c r="E46" i="1"/>
  <c r="M46" i="1"/>
  <c r="I46" i="1"/>
  <c r="C46" i="1"/>
  <c r="D46" i="1"/>
  <c r="F46" i="1"/>
  <c r="K46" i="1"/>
  <c r="J46" i="1"/>
  <c r="L46" i="1"/>
  <c r="I71" i="1"/>
  <c r="D71" i="1"/>
  <c r="L71" i="1"/>
  <c r="K71" i="1"/>
  <c r="M71" i="1"/>
  <c r="E71" i="1"/>
  <c r="C71" i="1"/>
  <c r="H71" i="1"/>
  <c r="G71" i="1"/>
  <c r="J71" i="1"/>
  <c r="F71" i="1"/>
  <c r="D65" i="1"/>
  <c r="E65" i="1"/>
  <c r="G65" i="1"/>
  <c r="I65" i="1"/>
  <c r="J65" i="1"/>
  <c r="M65" i="1"/>
  <c r="F65" i="1"/>
  <c r="L65" i="1"/>
  <c r="K65" i="1"/>
  <c r="H65" i="1"/>
  <c r="C65" i="1"/>
  <c r="K50" i="8"/>
  <c r="I50" i="8"/>
  <c r="N50" i="8"/>
  <c r="L50" i="8"/>
  <c r="G50" i="8"/>
  <c r="E50" i="8"/>
  <c r="H50" i="8"/>
  <c r="M50" i="8"/>
  <c r="D50" i="8"/>
  <c r="J50" i="8"/>
  <c r="F50" i="8"/>
  <c r="F12" i="8"/>
  <c r="G12" i="8"/>
  <c r="J12" i="8"/>
  <c r="D12" i="8"/>
  <c r="K12" i="8"/>
  <c r="M12" i="8"/>
  <c r="E12" i="8"/>
  <c r="I12" i="8"/>
  <c r="L12" i="8"/>
  <c r="H12" i="8"/>
  <c r="N12" i="8"/>
  <c r="M25" i="1"/>
  <c r="G25" i="1"/>
  <c r="I25" i="1"/>
  <c r="F25" i="1"/>
  <c r="L25" i="1"/>
  <c r="E25" i="1"/>
  <c r="H25" i="1"/>
  <c r="D25" i="1"/>
  <c r="J25" i="1"/>
  <c r="K25" i="1"/>
  <c r="C25" i="1"/>
  <c r="G25" i="8"/>
  <c r="D25" i="8"/>
  <c r="H25" i="8"/>
  <c r="L25" i="8"/>
  <c r="F25" i="8"/>
  <c r="I25" i="8"/>
  <c r="K25" i="8"/>
  <c r="E25" i="8"/>
  <c r="N25" i="8"/>
  <c r="M25" i="8"/>
  <c r="J25" i="8"/>
  <c r="J29" i="8"/>
  <c r="I29" i="8"/>
  <c r="H29" i="8"/>
  <c r="L29" i="8"/>
  <c r="K29" i="8"/>
  <c r="E29" i="8"/>
  <c r="M29" i="8"/>
  <c r="F29" i="8"/>
  <c r="D29" i="8"/>
  <c r="N29" i="8"/>
  <c r="G29" i="8"/>
  <c r="I63" i="8"/>
  <c r="D63" i="8"/>
  <c r="M63" i="8"/>
  <c r="H63" i="8"/>
  <c r="J63" i="8"/>
  <c r="N63" i="8"/>
  <c r="E63" i="8"/>
  <c r="F63" i="8"/>
  <c r="L63" i="8"/>
  <c r="K63" i="8"/>
  <c r="G63" i="8"/>
  <c r="D33" i="8"/>
  <c r="H33" i="8"/>
  <c r="L33" i="8"/>
  <c r="G33" i="8"/>
  <c r="I33" i="8"/>
  <c r="M33" i="8"/>
  <c r="K33" i="8"/>
  <c r="J33" i="8"/>
  <c r="F33" i="8"/>
  <c r="E33" i="8"/>
  <c r="N33" i="8"/>
  <c r="E15" i="8"/>
  <c r="D15" i="8"/>
  <c r="F15" i="8"/>
  <c r="L15" i="8"/>
  <c r="I15" i="8"/>
  <c r="J15" i="8"/>
  <c r="G15" i="8"/>
  <c r="N15" i="8"/>
  <c r="H15" i="8"/>
  <c r="K15" i="8"/>
  <c r="M15" i="8"/>
  <c r="I34" i="8"/>
  <c r="K34" i="8"/>
  <c r="G34" i="8"/>
  <c r="F34" i="8"/>
  <c r="J34" i="8"/>
  <c r="L34" i="8"/>
  <c r="H34" i="8"/>
  <c r="D34" i="8"/>
  <c r="M34" i="8"/>
  <c r="N34" i="8"/>
  <c r="E34" i="8"/>
  <c r="F64" i="8"/>
  <c r="L64" i="8"/>
  <c r="M64" i="8"/>
  <c r="G64" i="8"/>
  <c r="K64" i="8"/>
  <c r="J64" i="8"/>
  <c r="N64" i="8"/>
  <c r="I64" i="8"/>
  <c r="E64" i="8"/>
  <c r="D64" i="8"/>
  <c r="H64" i="8"/>
  <c r="K36" i="8"/>
  <c r="D36" i="8"/>
  <c r="M36" i="8"/>
  <c r="F36" i="8"/>
  <c r="J36" i="8"/>
  <c r="I36" i="8"/>
  <c r="N36" i="8"/>
  <c r="E36" i="8"/>
  <c r="H36" i="8"/>
  <c r="L36" i="8"/>
  <c r="G36" i="8"/>
  <c r="K72" i="1"/>
  <c r="H72" i="1"/>
  <c r="F72" i="1"/>
  <c r="J72" i="1"/>
  <c r="G72" i="1"/>
  <c r="M72" i="1"/>
  <c r="L72" i="1"/>
  <c r="C72" i="1"/>
  <c r="D72" i="1"/>
  <c r="I72" i="1"/>
  <c r="E72" i="1"/>
  <c r="M66" i="1"/>
  <c r="D66" i="1"/>
  <c r="K66" i="1"/>
  <c r="F66" i="1"/>
  <c r="L66" i="1"/>
  <c r="E66" i="1"/>
  <c r="H66" i="1"/>
  <c r="I66" i="1"/>
  <c r="C66" i="1"/>
  <c r="G66" i="1"/>
  <c r="J66" i="1"/>
  <c r="D88" i="1"/>
  <c r="F88" i="1"/>
  <c r="E88" i="1"/>
  <c r="H88" i="1"/>
  <c r="M88" i="1"/>
  <c r="G88" i="1"/>
  <c r="J88" i="1"/>
  <c r="I88" i="1"/>
  <c r="L88" i="1"/>
  <c r="K88" i="1"/>
  <c r="C88" i="1"/>
  <c r="E80" i="1"/>
  <c r="F80" i="1"/>
  <c r="I80" i="1"/>
  <c r="D80" i="1"/>
  <c r="C80" i="1"/>
  <c r="J80" i="1"/>
  <c r="L80" i="1"/>
  <c r="G80" i="1"/>
  <c r="K80" i="1"/>
  <c r="H80" i="1"/>
  <c r="M80" i="1"/>
  <c r="G40" i="1"/>
  <c r="F40" i="1"/>
  <c r="E40" i="1"/>
  <c r="J40" i="1"/>
  <c r="M40" i="1"/>
  <c r="D40" i="1"/>
  <c r="K40" i="1"/>
  <c r="I40" i="1"/>
  <c r="H40" i="1"/>
  <c r="L40" i="1"/>
  <c r="C40" i="1"/>
  <c r="M24" i="1"/>
  <c r="D24" i="1"/>
  <c r="K24" i="1"/>
  <c r="J24" i="1"/>
  <c r="L24" i="1"/>
  <c r="H24" i="1"/>
  <c r="G24" i="1"/>
  <c r="F24" i="1"/>
  <c r="I24" i="1"/>
  <c r="E24" i="1"/>
  <c r="C24" i="1"/>
  <c r="G32" i="1"/>
  <c r="E32" i="1"/>
  <c r="M32" i="1"/>
  <c r="C32" i="1"/>
  <c r="L32" i="1"/>
  <c r="H32" i="1"/>
  <c r="I32" i="1"/>
  <c r="K32" i="1"/>
  <c r="J32" i="1"/>
  <c r="D32" i="1"/>
  <c r="F32" i="1"/>
  <c r="X108" i="2"/>
  <c r="X114" i="2"/>
  <c r="S2538" i="5"/>
  <c r="S2544" i="5"/>
  <c r="S2546" i="5"/>
  <c r="S2539" i="5"/>
  <c r="S2543" i="5"/>
  <c r="S2541" i="5"/>
  <c r="S2540" i="5"/>
  <c r="T2539" i="5"/>
  <c r="S2495" i="5"/>
  <c r="T2541" i="5"/>
  <c r="T2540" i="5"/>
  <c r="T2542" i="5"/>
  <c r="S2505" i="5"/>
  <c r="S2496" i="5"/>
  <c r="T2546" i="5"/>
  <c r="S2545" i="5"/>
  <c r="S2506" i="5"/>
  <c r="T2506" i="5"/>
  <c r="S2510" i="5"/>
  <c r="T2502" i="5"/>
  <c r="T2544" i="5"/>
  <c r="S2503" i="5"/>
  <c r="T2503" i="5"/>
  <c r="T2538" i="5"/>
  <c r="T2543" i="5"/>
  <c r="T2505" i="5"/>
  <c r="T2497" i="5"/>
  <c r="S2509" i="5"/>
  <c r="S2498" i="5"/>
  <c r="S2499" i="5"/>
  <c r="T2509" i="5"/>
  <c r="S2494" i="5"/>
  <c r="T2495" i="5"/>
  <c r="S2500" i="5"/>
  <c r="T2508" i="5"/>
  <c r="T2545" i="5"/>
  <c r="T2500" i="5"/>
  <c r="T2496" i="5"/>
  <c r="T2494" i="5"/>
  <c r="T2498" i="5"/>
  <c r="T2499" i="5"/>
  <c r="T2501" i="5"/>
  <c r="S2497" i="5"/>
  <c r="S2501" i="5"/>
  <c r="T2510" i="5"/>
  <c r="T2507" i="5"/>
  <c r="S2508" i="5"/>
  <c r="T2511" i="5"/>
  <c r="S2511" i="5"/>
  <c r="S2507" i="5"/>
  <c r="T2504" i="5"/>
  <c r="S2504" i="5"/>
  <c r="S2502" i="5"/>
  <c r="S2542" i="5"/>
  <c r="AD114" i="2" l="1"/>
  <c r="AC114" i="2"/>
  <c r="AO114" i="2"/>
  <c r="AD108" i="2"/>
  <c r="AC108" i="2"/>
  <c r="AO108" i="2"/>
  <c r="R2502" i="5"/>
  <c r="R2497" i="5"/>
  <c r="R2498" i="5"/>
  <c r="R2541" i="5"/>
  <c r="R2510" i="5"/>
  <c r="R2545" i="5"/>
  <c r="R2511" i="5"/>
  <c r="R2503" i="5"/>
  <c r="R2501" i="5"/>
  <c r="R2508" i="5"/>
  <c r="R2496" i="5"/>
  <c r="R2509" i="5"/>
  <c r="R2542" i="5"/>
  <c r="R2507" i="5"/>
  <c r="R2538" i="5"/>
  <c r="R2504" i="5"/>
  <c r="R2543" i="5"/>
  <c r="R2500" i="5"/>
  <c r="R2494" i="5"/>
  <c r="R2499" i="5"/>
  <c r="R2546" i="5"/>
  <c r="R2539" i="5"/>
  <c r="R2495" i="5"/>
  <c r="R2506" i="5"/>
  <c r="R2505" i="5"/>
  <c r="R2540" i="5"/>
  <c r="R2544" i="5"/>
  <c r="S1626" i="5"/>
  <c r="S1593" i="5"/>
  <c r="S1612" i="5"/>
  <c r="T1594" i="5"/>
  <c r="T1625" i="5"/>
  <c r="S1617" i="5"/>
  <c r="S1625" i="5"/>
  <c r="T1618" i="5"/>
  <c r="S1609" i="5"/>
  <c r="T1603" i="5"/>
  <c r="S1613" i="5"/>
  <c r="T1609" i="5"/>
  <c r="T1583" i="5"/>
  <c r="S1601" i="5"/>
  <c r="T1590" i="5"/>
  <c r="S1591" i="5"/>
  <c r="T1593" i="5"/>
  <c r="S1604" i="5"/>
  <c r="T1269" i="5"/>
  <c r="T1290" i="5"/>
  <c r="T1299" i="5"/>
  <c r="T1292" i="5"/>
  <c r="T1621" i="5"/>
  <c r="T1598" i="5"/>
  <c r="S1616" i="5"/>
  <c r="T1587" i="5"/>
  <c r="T1585" i="5"/>
  <c r="S1606" i="5"/>
  <c r="T1607" i="5"/>
  <c r="S1603" i="5"/>
  <c r="S1589" i="5"/>
  <c r="S1596" i="5"/>
  <c r="T1289" i="5"/>
  <c r="S1794" i="5"/>
  <c r="S1594" i="5"/>
  <c r="T1611" i="5"/>
  <c r="T1586" i="5"/>
  <c r="T1602" i="5"/>
  <c r="T1616" i="5"/>
  <c r="S1622" i="5"/>
  <c r="T1620" i="5"/>
  <c r="S1600" i="5"/>
  <c r="T1599" i="5"/>
  <c r="T1623" i="5"/>
  <c r="T1237" i="5"/>
  <c r="T1277" i="5"/>
  <c r="T1267" i="5"/>
  <c r="T1257" i="5"/>
  <c r="S1265" i="5"/>
  <c r="S1234" i="5"/>
  <c r="S1236" i="5"/>
  <c r="S1254" i="5"/>
  <c r="T1264" i="5"/>
  <c r="T1282" i="5"/>
  <c r="T1268" i="5"/>
  <c r="S1275" i="5"/>
  <c r="S1239" i="5"/>
  <c r="S1263" i="5"/>
  <c r="T1272" i="5"/>
  <c r="S1611" i="5"/>
  <c r="T1624" i="5"/>
  <c r="T1601" i="5"/>
  <c r="T1615" i="5"/>
  <c r="T1604" i="5"/>
  <c r="S1590" i="5"/>
  <c r="S1614" i="5"/>
  <c r="T1608" i="5"/>
  <c r="T1595" i="5"/>
  <c r="S1598" i="5"/>
  <c r="T1614" i="5"/>
  <c r="T1605" i="5"/>
  <c r="S1587" i="5"/>
  <c r="T1592" i="5"/>
  <c r="S1599" i="5"/>
  <c r="S1618" i="5"/>
  <c r="S1619" i="5"/>
  <c r="T1596" i="5"/>
  <c r="T1238" i="5"/>
  <c r="T1241" i="5"/>
  <c r="T1610" i="5"/>
  <c r="S1615" i="5"/>
  <c r="T1626" i="5"/>
  <c r="S1605" i="5"/>
  <c r="T1606" i="5"/>
  <c r="T1613" i="5"/>
  <c r="S1623" i="5"/>
  <c r="S1286" i="5"/>
  <c r="S1292" i="5"/>
  <c r="S1434" i="5"/>
  <c r="T1441" i="5"/>
  <c r="T1432" i="5"/>
  <c r="S1425" i="5"/>
  <c r="S1418" i="5"/>
  <c r="S1610" i="5"/>
  <c r="T1622" i="5"/>
  <c r="T1584" i="5"/>
  <c r="T1617" i="5"/>
  <c r="S1586" i="5"/>
  <c r="S1621" i="5"/>
  <c r="T1619" i="5"/>
  <c r="S1588" i="5"/>
  <c r="T1589" i="5"/>
  <c r="S1583" i="5"/>
  <c r="S1268" i="5"/>
  <c r="S1499" i="5"/>
  <c r="S1503" i="5"/>
  <c r="S1459" i="5"/>
  <c r="S1490" i="5"/>
  <c r="S1495" i="5"/>
  <c r="S1487" i="5"/>
  <c r="S1469" i="5"/>
  <c r="S1494" i="5"/>
  <c r="T1471" i="5"/>
  <c r="S1509" i="5"/>
  <c r="T1466" i="5"/>
  <c r="S1504" i="5"/>
  <c r="S1481" i="5"/>
  <c r="S1468" i="5"/>
  <c r="T1489" i="5"/>
  <c r="T1511" i="5"/>
  <c r="S1480" i="5"/>
  <c r="T1506" i="5"/>
  <c r="S1496" i="5"/>
  <c r="S1497" i="5"/>
  <c r="S1475" i="5"/>
  <c r="S1512" i="5"/>
  <c r="S1473" i="5"/>
  <c r="S1510" i="5"/>
  <c r="S1471" i="5"/>
  <c r="T1469" i="5"/>
  <c r="T1600" i="5"/>
  <c r="S1584" i="5"/>
  <c r="S1585" i="5"/>
  <c r="T1597" i="5"/>
  <c r="S1592" i="5"/>
  <c r="S1608" i="5"/>
  <c r="S1288" i="5"/>
  <c r="S1595" i="5"/>
  <c r="T1612" i="5"/>
  <c r="S1602" i="5"/>
  <c r="S1620" i="5"/>
  <c r="T1591" i="5"/>
  <c r="S1607" i="5"/>
  <c r="S1597" i="5"/>
  <c r="T1588" i="5"/>
  <c r="S1624" i="5"/>
  <c r="T1288" i="5"/>
  <c r="S1470" i="5"/>
  <c r="T1380" i="5"/>
  <c r="S1391" i="5"/>
  <c r="T1382" i="5"/>
  <c r="T1396" i="5"/>
  <c r="T1402" i="5"/>
  <c r="T1386" i="5"/>
  <c r="T1377" i="5"/>
  <c r="T1397" i="5"/>
  <c r="S1397" i="5"/>
  <c r="S1393" i="5"/>
  <c r="T1398" i="5"/>
  <c r="S1386" i="5"/>
  <c r="S1380" i="5"/>
  <c r="S1376" i="5"/>
  <c r="S1383" i="5"/>
  <c r="T1401" i="5"/>
  <c r="T1385" i="5"/>
  <c r="S1478" i="5"/>
  <c r="T1479" i="5"/>
  <c r="S1501" i="5"/>
  <c r="T1470" i="5"/>
  <c r="T1501" i="5"/>
  <c r="T1499" i="5"/>
  <c r="S1505" i="5"/>
  <c r="T1505" i="5"/>
  <c r="S1472" i="5"/>
  <c r="S1417" i="5"/>
  <c r="T1422" i="5"/>
  <c r="T1437" i="5"/>
  <c r="T1443" i="5"/>
  <c r="T1415" i="5"/>
  <c r="S1435" i="5"/>
  <c r="S1405" i="5"/>
  <c r="S1429" i="5"/>
  <c r="T1406" i="5"/>
  <c r="S1407" i="5"/>
  <c r="T1378" i="5"/>
  <c r="S1373" i="5"/>
  <c r="S1377" i="5"/>
  <c r="T1387" i="5"/>
  <c r="T1373" i="5"/>
  <c r="S1385" i="5"/>
  <c r="S1398" i="5"/>
  <c r="S1485" i="5"/>
  <c r="S1506" i="5"/>
  <c r="T1491" i="5"/>
  <c r="T1467" i="5"/>
  <c r="T1484" i="5"/>
  <c r="T1472" i="5"/>
  <c r="T1512" i="5"/>
  <c r="S1476" i="5"/>
  <c r="S1493" i="5"/>
  <c r="T1464" i="5"/>
  <c r="S1403" i="5"/>
  <c r="S1444" i="5"/>
  <c r="T1418" i="5"/>
  <c r="T1455" i="5"/>
  <c r="T1458" i="5"/>
  <c r="T1434" i="5"/>
  <c r="S1412" i="5"/>
  <c r="T1444" i="5"/>
  <c r="S1457" i="5"/>
  <c r="S1436" i="5"/>
  <c r="T1408" i="5"/>
  <c r="S1409" i="5"/>
  <c r="T1403" i="5"/>
  <c r="T1375" i="5"/>
  <c r="S1396" i="5"/>
  <c r="T1390" i="5"/>
  <c r="T1503" i="5"/>
  <c r="T1482" i="5"/>
  <c r="T1496" i="5"/>
  <c r="T1487" i="5"/>
  <c r="T1462" i="5"/>
  <c r="S1498" i="5"/>
  <c r="T1500" i="5"/>
  <c r="T1473" i="5"/>
  <c r="S1458" i="5"/>
  <c r="T1451" i="5"/>
  <c r="T1435" i="5"/>
  <c r="T1448" i="5"/>
  <c r="T1429" i="5"/>
  <c r="T1450" i="5"/>
  <c r="S1442" i="5"/>
  <c r="S1440" i="5"/>
  <c r="S1446" i="5"/>
  <c r="S1420" i="5"/>
  <c r="T1411" i="5"/>
  <c r="T1460" i="5"/>
  <c r="T1392" i="5"/>
  <c r="T1400" i="5"/>
  <c r="T1384" i="5"/>
  <c r="S1381" i="5"/>
  <c r="T1391" i="5"/>
  <c r="T1393" i="5"/>
  <c r="S1387" i="5"/>
  <c r="S1399" i="5"/>
  <c r="S1514" i="5"/>
  <c r="S1474" i="5"/>
  <c r="S1492" i="5"/>
  <c r="S1511" i="5"/>
  <c r="T1493" i="5"/>
  <c r="T1508" i="5"/>
  <c r="T1498" i="5"/>
  <c r="T1476" i="5"/>
  <c r="T1481" i="5"/>
  <c r="S1484" i="5"/>
  <c r="T1465" i="5"/>
  <c r="S1419" i="5"/>
  <c r="S1439" i="5"/>
  <c r="T1452" i="5"/>
  <c r="T1424" i="5"/>
  <c r="T1445" i="5"/>
  <c r="T1414" i="5"/>
  <c r="S1423" i="5"/>
  <c r="T1417" i="5"/>
  <c r="T1430" i="5"/>
  <c r="S1450" i="5"/>
  <c r="S1426" i="5"/>
  <c r="S1460" i="5"/>
  <c r="T1381" i="5"/>
  <c r="T1388" i="5"/>
  <c r="S1400" i="5"/>
  <c r="T1477" i="5"/>
  <c r="S1479" i="5"/>
  <c r="T1410" i="5"/>
  <c r="S1438" i="5"/>
  <c r="T1439" i="5"/>
  <c r="T1419" i="5"/>
  <c r="S1432" i="5"/>
  <c r="S1414" i="5"/>
  <c r="S1455" i="5"/>
  <c r="S1378" i="5"/>
  <c r="T1395" i="5"/>
  <c r="T1394" i="5"/>
  <c r="S1389" i="5"/>
  <c r="T1513" i="5"/>
  <c r="S1477" i="5"/>
  <c r="S1489" i="5"/>
  <c r="T1486" i="5"/>
  <c r="S1453" i="5"/>
  <c r="T1420" i="5"/>
  <c r="T1456" i="5"/>
  <c r="T1431" i="5"/>
  <c r="T1416" i="5"/>
  <c r="T1421" i="5"/>
  <c r="T1407" i="5"/>
  <c r="T1449" i="5"/>
  <c r="S1437" i="5"/>
  <c r="T1413" i="5"/>
  <c r="S1463" i="5"/>
  <c r="T1459" i="5"/>
  <c r="S1374" i="5"/>
  <c r="S1402" i="5"/>
  <c r="T1374" i="5"/>
  <c r="S1384" i="5"/>
  <c r="S1401" i="5"/>
  <c r="T1376" i="5"/>
  <c r="T1480" i="5"/>
  <c r="T1468" i="5"/>
  <c r="T1485" i="5"/>
  <c r="S1466" i="5"/>
  <c r="T1478" i="5"/>
  <c r="T1510" i="5"/>
  <c r="S1461" i="5"/>
  <c r="T1495" i="5"/>
  <c r="S1427" i="5"/>
  <c r="S1424" i="5"/>
  <c r="T1436" i="5"/>
  <c r="T1426" i="5"/>
  <c r="T1446" i="5"/>
  <c r="S1431" i="5"/>
  <c r="S1410" i="5"/>
  <c r="S1433" i="5"/>
  <c r="T1405" i="5"/>
  <c r="T1404" i="5"/>
  <c r="S1395" i="5"/>
  <c r="T1389" i="5"/>
  <c r="S1392" i="5"/>
  <c r="T1399" i="5"/>
  <c r="S1390" i="5"/>
  <c r="S1500" i="5"/>
  <c r="S1464" i="5"/>
  <c r="S1488" i="5"/>
  <c r="T1492" i="5"/>
  <c r="T1483" i="5"/>
  <c r="T1497" i="5"/>
  <c r="T1461" i="5"/>
  <c r="T1490" i="5"/>
  <c r="T1475" i="5"/>
  <c r="S1462" i="5"/>
  <c r="S1482" i="5"/>
  <c r="S1430" i="5"/>
  <c r="S1443" i="5"/>
  <c r="T1453" i="5"/>
  <c r="T1442" i="5"/>
  <c r="T1412" i="5"/>
  <c r="S1447" i="5"/>
  <c r="S1421" i="5"/>
  <c r="S1428" i="5"/>
  <c r="S1411" i="5"/>
  <c r="S1416" i="5"/>
  <c r="S1451" i="5"/>
  <c r="S1375" i="5"/>
  <c r="T1379" i="5"/>
  <c r="S1382" i="5"/>
  <c r="S1394" i="5"/>
  <c r="S1491" i="5"/>
  <c r="S1502" i="5"/>
  <c r="S1508" i="5"/>
  <c r="T1504" i="5"/>
  <c r="T1494" i="5"/>
  <c r="T1509" i="5"/>
  <c r="T1474" i="5"/>
  <c r="T1502" i="5"/>
  <c r="T1463" i="5"/>
  <c r="S1467" i="5"/>
  <c r="S1454" i="5"/>
  <c r="T1427" i="5"/>
  <c r="S1448" i="5"/>
  <c r="T1440" i="5"/>
  <c r="T1457" i="5"/>
  <c r="T1433" i="5"/>
  <c r="S1406" i="5"/>
  <c r="S1415" i="5"/>
  <c r="S1456" i="5"/>
  <c r="T1454" i="5"/>
  <c r="S1445" i="5"/>
  <c r="S1441" i="5"/>
  <c r="S1465" i="5"/>
  <c r="S1413" i="5"/>
  <c r="S1388" i="5"/>
  <c r="S1379" i="5"/>
  <c r="S1486" i="5"/>
  <c r="S1507" i="5"/>
  <c r="T1507" i="5"/>
  <c r="S1483" i="5"/>
  <c r="T1488" i="5"/>
  <c r="T1514" i="5"/>
  <c r="T1438" i="5"/>
  <c r="S1449" i="5"/>
  <c r="T1423" i="5"/>
  <c r="T1428" i="5"/>
  <c r="T1447" i="5"/>
  <c r="S1408" i="5"/>
  <c r="S1452" i="5"/>
  <c r="T1425" i="5"/>
  <c r="T1409" i="5"/>
  <c r="S1422" i="5"/>
  <c r="X48" i="3" l="1"/>
  <c r="Y48" i="3"/>
  <c r="S1836" i="5"/>
  <c r="AE114" i="2"/>
  <c r="H47" i="7" s="1"/>
  <c r="AE108" i="2"/>
  <c r="H32" i="7" s="1"/>
  <c r="S1852" i="5"/>
  <c r="T1263" i="5"/>
  <c r="T1793" i="5"/>
  <c r="T1266" i="5"/>
  <c r="S1297" i="5"/>
  <c r="T1285" i="5"/>
  <c r="S1249" i="5"/>
  <c r="S1247" i="5"/>
  <c r="S1273" i="5"/>
  <c r="T1243" i="5"/>
  <c r="T1279" i="5"/>
  <c r="S1243" i="5"/>
  <c r="S1241" i="5"/>
  <c r="T1815" i="5"/>
  <c r="T1274" i="5"/>
  <c r="T1280" i="5"/>
  <c r="T1255" i="5"/>
  <c r="S1270" i="5"/>
  <c r="T1240" i="5"/>
  <c r="S1283" i="5"/>
  <c r="S1299" i="5"/>
  <c r="T1256" i="5"/>
  <c r="S1251" i="5"/>
  <c r="T1247" i="5"/>
  <c r="T1276" i="5"/>
  <c r="S1235" i="5"/>
  <c r="S1248" i="5"/>
  <c r="T1252" i="5"/>
  <c r="T1297" i="5"/>
  <c r="T1293" i="5"/>
  <c r="S1294" i="5"/>
  <c r="T1250" i="5"/>
  <c r="S1810" i="5"/>
  <c r="S1819" i="5"/>
  <c r="S1291" i="5"/>
  <c r="S1296" i="5"/>
  <c r="T1291" i="5"/>
  <c r="S1298" i="5"/>
  <c r="T1271" i="5"/>
  <c r="S1834" i="5"/>
  <c r="S1835" i="5"/>
  <c r="T1284" i="5"/>
  <c r="S1280" i="5"/>
  <c r="S1238" i="5"/>
  <c r="T1253" i="5"/>
  <c r="T2421" i="5" s="1"/>
  <c r="T1281" i="5"/>
  <c r="T1249" i="5"/>
  <c r="S1276" i="5"/>
  <c r="T1852" i="5"/>
  <c r="S1290" i="5"/>
  <c r="T1298" i="5"/>
  <c r="T1296" i="5"/>
  <c r="S1261" i="5"/>
  <c r="T1826" i="5"/>
  <c r="S1850" i="5"/>
  <c r="T1235" i="5"/>
  <c r="S1246" i="5"/>
  <c r="S1793" i="5"/>
  <c r="T1234" i="5"/>
  <c r="T1278" i="5"/>
  <c r="S1255" i="5"/>
  <c r="T1275" i="5"/>
  <c r="T1287" i="5"/>
  <c r="T1294" i="5"/>
  <c r="S1295" i="5"/>
  <c r="S1293" i="5"/>
  <c r="S1840" i="5"/>
  <c r="S1847" i="5"/>
  <c r="S1274" i="5"/>
  <c r="S1851" i="5"/>
  <c r="T1251" i="5"/>
  <c r="T1262" i="5"/>
  <c r="T1260" i="5"/>
  <c r="S1262" i="5"/>
  <c r="S1237" i="5"/>
  <c r="S1271" i="5"/>
  <c r="S1256" i="5"/>
  <c r="T1233" i="5"/>
  <c r="T1295" i="5"/>
  <c r="S1845" i="5"/>
  <c r="S1289" i="5"/>
  <c r="T1270" i="5"/>
  <c r="S1266" i="5"/>
  <c r="T1851" i="5"/>
  <c r="S1264" i="5"/>
  <c r="S1244" i="5"/>
  <c r="T1239" i="5"/>
  <c r="T1242" i="5"/>
  <c r="T1254" i="5"/>
  <c r="S1250" i="5"/>
  <c r="T1794" i="5"/>
  <c r="S1820" i="5"/>
  <c r="T1850" i="5"/>
  <c r="T1836" i="5"/>
  <c r="S1818" i="5"/>
  <c r="S1816" i="5"/>
  <c r="S1826" i="5"/>
  <c r="S1846" i="5"/>
  <c r="T1847" i="5"/>
  <c r="S1795" i="5"/>
  <c r="S1803" i="5"/>
  <c r="S2019" i="5"/>
  <c r="S1822" i="5"/>
  <c r="T2042" i="5"/>
  <c r="S1838" i="5"/>
  <c r="T1817" i="5"/>
  <c r="S1848" i="5"/>
  <c r="S1821" i="5"/>
  <c r="S1823" i="5"/>
  <c r="T1821" i="5"/>
  <c r="S1832" i="5"/>
  <c r="T1830" i="5"/>
  <c r="S1800" i="5"/>
  <c r="S1842" i="5"/>
  <c r="T1846" i="5"/>
  <c r="T1813" i="5"/>
  <c r="T2493" i="5" s="1"/>
  <c r="T1824" i="5"/>
  <c r="T1812" i="5"/>
  <c r="T1810" i="5"/>
  <c r="T1823" i="5"/>
  <c r="T1798" i="5"/>
  <c r="S1817" i="5"/>
  <c r="S1814" i="5"/>
  <c r="T1828" i="5"/>
  <c r="S1812" i="5"/>
  <c r="T2044" i="5"/>
  <c r="T1848" i="5"/>
  <c r="T1834" i="5"/>
  <c r="T1843" i="5"/>
  <c r="T1835" i="5"/>
  <c r="T1832" i="5"/>
  <c r="S1843" i="5"/>
  <c r="S1831" i="5"/>
  <c r="S1827" i="5"/>
  <c r="T1844" i="5"/>
  <c r="S1804" i="5"/>
  <c r="S2057" i="5"/>
  <c r="S1809" i="5"/>
  <c r="S1808" i="5"/>
  <c r="S1829" i="5"/>
  <c r="S1837" i="5"/>
  <c r="S1844" i="5"/>
  <c r="S1797" i="5"/>
  <c r="T1827" i="5"/>
  <c r="T1809" i="5"/>
  <c r="T1818" i="5"/>
  <c r="T1839" i="5"/>
  <c r="S1833" i="5"/>
  <c r="S2063" i="5"/>
  <c r="S1815" i="5"/>
  <c r="S2067" i="5"/>
  <c r="T1797" i="5"/>
  <c r="T1819" i="5"/>
  <c r="T1842" i="5"/>
  <c r="S1798" i="5"/>
  <c r="S1807" i="5"/>
  <c r="T1841" i="5"/>
  <c r="T1820" i="5"/>
  <c r="T1833" i="5"/>
  <c r="S1830" i="5"/>
  <c r="S1796" i="5"/>
  <c r="S1801" i="5"/>
  <c r="S1825" i="5"/>
  <c r="S1839" i="5"/>
  <c r="T1795" i="5"/>
  <c r="T1825" i="5"/>
  <c r="T1845" i="5"/>
  <c r="T1800" i="5"/>
  <c r="T1806" i="5"/>
  <c r="S1813" i="5"/>
  <c r="S2493" i="5" s="1"/>
  <c r="T1807" i="5"/>
  <c r="T1803" i="5"/>
  <c r="T1837" i="5"/>
  <c r="T1814" i="5"/>
  <c r="S1841" i="5"/>
  <c r="S1806" i="5"/>
  <c r="T1804" i="5"/>
  <c r="T1829" i="5"/>
  <c r="S1824" i="5"/>
  <c r="T1849" i="5"/>
  <c r="S1799" i="5"/>
  <c r="T1796" i="5"/>
  <c r="S1828" i="5"/>
  <c r="T1838" i="5"/>
  <c r="S1849" i="5"/>
  <c r="T1831" i="5"/>
  <c r="T1840" i="5"/>
  <c r="S2055" i="5"/>
  <c r="S2061" i="5"/>
  <c r="T2060" i="5"/>
  <c r="T2019" i="5"/>
  <c r="S2049" i="5"/>
  <c r="S2028" i="5"/>
  <c r="T2066" i="5"/>
  <c r="T2031" i="5"/>
  <c r="S2062" i="5"/>
  <c r="T2020" i="5"/>
  <c r="T2030" i="5"/>
  <c r="S2021" i="5"/>
  <c r="T2061" i="5"/>
  <c r="T2046" i="5"/>
  <c r="T2063" i="5"/>
  <c r="S2047" i="5"/>
  <c r="T1801" i="5"/>
  <c r="S2022" i="5"/>
  <c r="S2037" i="5"/>
  <c r="T1805" i="5"/>
  <c r="T2039" i="5"/>
  <c r="T2023" i="5"/>
  <c r="T2520" i="5" s="1"/>
  <c r="T2026" i="5"/>
  <c r="S2025" i="5"/>
  <c r="S2029" i="5"/>
  <c r="S2041" i="5"/>
  <c r="S2042" i="5"/>
  <c r="S2050" i="5"/>
  <c r="T2056" i="5"/>
  <c r="S2058" i="5"/>
  <c r="T2022" i="5"/>
  <c r="T2055" i="5"/>
  <c r="T2048" i="5"/>
  <c r="T1811" i="5"/>
  <c r="T2053" i="5"/>
  <c r="S2051" i="5"/>
  <c r="S2023" i="5"/>
  <c r="S2520" i="5" s="1"/>
  <c r="T2035" i="5"/>
  <c r="T2059" i="5"/>
  <c r="S2038" i="5"/>
  <c r="T2032" i="5"/>
  <c r="S2039" i="5"/>
  <c r="S2027" i="5"/>
  <c r="T2025" i="5"/>
  <c r="T2043" i="5"/>
  <c r="T2040" i="5"/>
  <c r="T2064" i="5"/>
  <c r="S2024" i="5"/>
  <c r="T2033" i="5"/>
  <c r="T2034" i="5"/>
  <c r="S2026" i="5"/>
  <c r="T2049" i="5"/>
  <c r="S2065" i="5"/>
  <c r="S2046" i="5"/>
  <c r="T2052" i="5"/>
  <c r="S2040" i="5"/>
  <c r="S2030" i="5"/>
  <c r="S2054" i="5"/>
  <c r="S2044" i="5"/>
  <c r="S2048" i="5"/>
  <c r="S2045" i="5"/>
  <c r="S2064" i="5"/>
  <c r="S2035" i="5"/>
  <c r="T2041" i="5"/>
  <c r="S2052" i="5"/>
  <c r="T2029" i="5"/>
  <c r="S2032" i="5"/>
  <c r="T2062" i="5"/>
  <c r="T1808" i="5"/>
  <c r="S2053" i="5"/>
  <c r="T2067" i="5"/>
  <c r="S2043" i="5"/>
  <c r="S2059" i="5"/>
  <c r="S2020" i="5"/>
  <c r="T2036" i="5"/>
  <c r="T2045" i="5"/>
  <c r="T2054" i="5"/>
  <c r="T1799" i="5"/>
  <c r="T2051" i="5"/>
  <c r="T2047" i="5"/>
  <c r="S2033" i="5"/>
  <c r="T2050" i="5"/>
  <c r="T2021" i="5"/>
  <c r="S2034" i="5"/>
  <c r="T2037" i="5"/>
  <c r="S2060" i="5"/>
  <c r="S2036" i="5"/>
  <c r="T2065" i="5"/>
  <c r="T2024" i="5"/>
  <c r="S1811" i="5"/>
  <c r="S1805" i="5"/>
  <c r="T2058" i="5"/>
  <c r="T2027" i="5"/>
  <c r="T2057" i="5"/>
  <c r="S2031" i="5"/>
  <c r="T2028" i="5"/>
  <c r="T2038" i="5"/>
  <c r="S2056" i="5"/>
  <c r="T1581" i="5"/>
  <c r="T1572" i="5"/>
  <c r="S1513" i="5"/>
  <c r="T1571" i="5"/>
  <c r="T1574" i="5"/>
  <c r="T1576" i="5"/>
  <c r="T1578" i="5"/>
  <c r="S1531" i="5"/>
  <c r="T1706" i="5"/>
  <c r="T1517" i="5"/>
  <c r="S1526" i="5"/>
  <c r="S1564" i="5"/>
  <c r="S1576" i="5"/>
  <c r="T1536" i="5"/>
  <c r="T1528" i="5"/>
  <c r="T1582" i="5"/>
  <c r="S1530" i="5"/>
  <c r="S1571" i="5"/>
  <c r="S1532" i="5"/>
  <c r="S1517" i="5"/>
  <c r="S1581" i="5"/>
  <c r="T1577" i="5"/>
  <c r="S1573" i="5"/>
  <c r="S1580" i="5"/>
  <c r="S1568" i="5"/>
  <c r="S1545" i="5"/>
  <c r="S1548" i="5"/>
  <c r="S1552" i="5"/>
  <c r="T1533" i="5"/>
  <c r="T1563" i="5"/>
  <c r="T1549" i="5"/>
  <c r="T1527" i="5"/>
  <c r="T1556" i="5"/>
  <c r="S1535" i="5"/>
  <c r="T1521" i="5"/>
  <c r="S1575" i="5"/>
  <c r="T1580" i="5"/>
  <c r="T1550" i="5"/>
  <c r="S1557" i="5"/>
  <c r="T1545" i="5"/>
  <c r="S1542" i="5"/>
  <c r="T1561" i="5"/>
  <c r="T1529" i="5"/>
  <c r="S1540" i="5"/>
  <c r="S1529" i="5"/>
  <c r="T1520" i="5"/>
  <c r="T1547" i="5"/>
  <c r="S1537" i="5"/>
  <c r="S1525" i="5"/>
  <c r="T1573" i="5"/>
  <c r="T1575" i="5"/>
  <c r="S1518" i="5"/>
  <c r="T1555" i="5"/>
  <c r="T1559" i="5"/>
  <c r="S1556" i="5"/>
  <c r="T1543" i="5"/>
  <c r="S1553" i="5"/>
  <c r="T1551" i="5"/>
  <c r="T1531" i="5"/>
  <c r="T1530" i="5"/>
  <c r="S1562" i="5"/>
  <c r="S1555" i="5"/>
  <c r="S1521" i="5"/>
  <c r="S1572" i="5"/>
  <c r="S1524" i="5"/>
  <c r="S1551" i="5"/>
  <c r="S1520" i="5"/>
  <c r="S1569" i="5"/>
  <c r="T1542" i="5"/>
  <c r="T1552" i="5"/>
  <c r="S1539" i="5"/>
  <c r="S1563" i="5"/>
  <c r="T1553" i="5"/>
  <c r="S1565" i="5"/>
  <c r="S1519" i="5"/>
  <c r="T1579" i="5"/>
  <c r="S1574" i="5"/>
  <c r="S1561" i="5"/>
  <c r="S1543" i="5"/>
  <c r="S1544" i="5"/>
  <c r="T1565" i="5"/>
  <c r="T1560" i="5"/>
  <c r="T1564" i="5"/>
  <c r="S1515" i="5"/>
  <c r="T1557" i="5"/>
  <c r="T1566" i="5"/>
  <c r="T1558" i="5"/>
  <c r="S1566" i="5"/>
  <c r="S1579" i="5"/>
  <c r="S1567" i="5"/>
  <c r="T1540" i="5"/>
  <c r="S1523" i="5"/>
  <c r="S1560" i="5"/>
  <c r="S1528" i="5"/>
  <c r="S1533" i="5"/>
  <c r="T1569" i="5"/>
  <c r="T1539" i="5"/>
  <c r="S1570" i="5"/>
  <c r="T1546" i="5"/>
  <c r="T1568" i="5"/>
  <c r="T1570" i="5"/>
  <c r="S1516" i="5"/>
  <c r="S1559" i="5"/>
  <c r="T1532" i="5"/>
  <c r="T1567" i="5"/>
  <c r="S1541" i="5"/>
  <c r="T1541" i="5"/>
  <c r="S1549" i="5"/>
  <c r="T1537" i="5"/>
  <c r="T1535" i="5"/>
  <c r="S1522" i="5"/>
  <c r="T1522" i="5"/>
  <c r="T1515" i="5"/>
  <c r="S1558" i="5"/>
  <c r="S1538" i="5"/>
  <c r="S1547" i="5"/>
  <c r="T1526" i="5"/>
  <c r="T1554" i="5"/>
  <c r="S1527" i="5"/>
  <c r="T1523" i="5"/>
  <c r="S1554" i="5"/>
  <c r="T1518" i="5"/>
  <c r="T1538" i="5"/>
  <c r="T1525" i="5"/>
  <c r="S1582" i="5"/>
  <c r="S1578" i="5"/>
  <c r="T1519" i="5"/>
  <c r="S1550" i="5"/>
  <c r="T1534" i="5"/>
  <c r="S1536" i="5"/>
  <c r="S1546" i="5"/>
  <c r="S1534" i="5"/>
  <c r="T1562" i="5"/>
  <c r="T1544" i="5"/>
  <c r="T1524" i="5"/>
  <c r="T1548" i="5"/>
  <c r="T1516" i="5"/>
  <c r="S1722" i="5"/>
  <c r="S1698" i="5"/>
  <c r="S1700" i="5"/>
  <c r="T1717" i="5"/>
  <c r="T1688" i="5"/>
  <c r="T1701" i="5"/>
  <c r="T1700" i="5"/>
  <c r="S1717" i="5"/>
  <c r="T1685" i="5"/>
  <c r="T1710" i="5"/>
  <c r="T1692" i="5"/>
  <c r="T1762" i="5"/>
  <c r="T1716" i="5"/>
  <c r="S1712" i="5"/>
  <c r="S1690" i="5"/>
  <c r="S1720" i="5"/>
  <c r="T1698" i="5"/>
  <c r="T1708" i="5"/>
  <c r="T1722" i="5"/>
  <c r="S1706" i="5"/>
  <c r="S1692" i="5"/>
  <c r="T1704" i="5"/>
  <c r="T1707" i="5"/>
  <c r="S1704" i="5"/>
  <c r="T1702" i="5"/>
  <c r="S1719" i="5"/>
  <c r="S1714" i="5"/>
  <c r="T1713" i="5"/>
  <c r="T1714" i="5"/>
  <c r="S1689" i="5"/>
  <c r="S1696" i="5"/>
  <c r="T1690" i="5"/>
  <c r="S1688" i="5"/>
  <c r="T1695" i="5"/>
  <c r="T1699" i="5"/>
  <c r="S1691" i="5"/>
  <c r="S1721" i="5"/>
  <c r="T1696" i="5"/>
  <c r="T1712" i="5"/>
  <c r="T1718" i="5"/>
  <c r="S1716" i="5"/>
  <c r="T1719" i="5"/>
  <c r="T1693" i="5"/>
  <c r="T1720" i="5"/>
  <c r="T1703" i="5"/>
  <c r="T1691" i="5"/>
  <c r="T1697" i="5"/>
  <c r="S1715" i="5"/>
  <c r="S1707" i="5"/>
  <c r="T1187" i="5"/>
  <c r="T1689" i="5"/>
  <c r="T1683" i="5"/>
  <c r="T1705" i="5"/>
  <c r="T1715" i="5"/>
  <c r="T1711" i="5"/>
  <c r="S1701" i="5"/>
  <c r="S1683" i="5"/>
  <c r="S1702" i="5"/>
  <c r="S1695" i="5"/>
  <c r="S1709" i="5"/>
  <c r="T2200" i="5"/>
  <c r="S2179" i="5"/>
  <c r="T2178" i="5"/>
  <c r="T1709" i="5"/>
  <c r="S1686" i="5"/>
  <c r="S1708" i="5"/>
  <c r="T1755" i="5"/>
  <c r="S1703" i="5"/>
  <c r="T2190" i="5"/>
  <c r="T2531" i="5" s="1"/>
  <c r="S1705" i="5"/>
  <c r="S1718" i="5"/>
  <c r="S1684" i="5"/>
  <c r="S1710" i="5"/>
  <c r="S1713" i="5"/>
  <c r="T1779" i="5"/>
  <c r="S1783" i="5"/>
  <c r="T1786" i="5"/>
  <c r="T1686" i="5"/>
  <c r="S1790" i="5"/>
  <c r="T2196" i="5"/>
  <c r="S1693" i="5"/>
  <c r="T1816" i="5"/>
  <c r="T2188" i="5"/>
  <c r="S1771" i="5"/>
  <c r="S2191" i="5"/>
  <c r="T2184" i="5"/>
  <c r="S2203" i="5"/>
  <c r="S2193" i="5"/>
  <c r="S1694" i="5"/>
  <c r="T1787" i="5"/>
  <c r="T1739" i="5"/>
  <c r="T2183" i="5"/>
  <c r="T1761" i="5"/>
  <c r="T1227" i="5"/>
  <c r="T1780" i="5"/>
  <c r="T1182" i="5"/>
  <c r="S1739" i="5"/>
  <c r="S1197" i="5"/>
  <c r="T1694" i="5"/>
  <c r="T2198" i="5"/>
  <c r="T1785" i="5"/>
  <c r="S1788" i="5"/>
  <c r="T1740" i="5"/>
  <c r="S1164" i="5"/>
  <c r="S1178" i="5"/>
  <c r="T1684" i="5"/>
  <c r="S1163" i="5"/>
  <c r="T1221" i="5"/>
  <c r="S1760" i="5"/>
  <c r="S1780" i="5"/>
  <c r="S1755" i="5"/>
  <c r="S1685" i="5"/>
  <c r="S1711" i="5"/>
  <c r="T1163" i="5"/>
  <c r="S1195" i="5"/>
  <c r="S1744" i="5"/>
  <c r="T1758" i="5"/>
  <c r="T1687" i="5"/>
  <c r="S1171" i="5"/>
  <c r="S1225" i="5"/>
  <c r="S1782" i="5"/>
  <c r="T1721" i="5"/>
  <c r="S1699" i="5"/>
  <c r="S1697" i="5"/>
  <c r="S1687" i="5"/>
  <c r="S1198" i="5"/>
  <c r="S1169" i="5"/>
  <c r="T1192" i="5"/>
  <c r="S2194" i="5"/>
  <c r="T1774" i="5"/>
  <c r="T1749" i="5"/>
  <c r="S1750" i="5"/>
  <c r="S1764" i="5"/>
  <c r="T1772" i="5"/>
  <c r="S1199" i="5"/>
  <c r="T1741" i="5"/>
  <c r="T1757" i="5"/>
  <c r="T1767" i="5"/>
  <c r="S1754" i="5"/>
  <c r="T1194" i="5"/>
  <c r="S1184" i="5"/>
  <c r="S1200" i="5"/>
  <c r="S1786" i="5"/>
  <c r="T1176" i="5"/>
  <c r="S1202" i="5"/>
  <c r="T1168" i="5"/>
  <c r="T1784" i="5"/>
  <c r="S1759" i="5"/>
  <c r="T1744" i="5"/>
  <c r="S1221" i="5"/>
  <c r="T1190" i="5"/>
  <c r="S1182" i="5"/>
  <c r="S1746" i="5"/>
  <c r="T1776" i="5"/>
  <c r="S1778" i="5"/>
  <c r="T1759" i="5"/>
  <c r="S1185" i="5"/>
  <c r="T1172" i="5"/>
  <c r="T1186" i="5"/>
  <c r="S1740" i="5"/>
  <c r="S1227" i="5"/>
  <c r="S1187" i="5"/>
  <c r="S1781" i="5"/>
  <c r="S1766" i="5"/>
  <c r="T1184" i="5"/>
  <c r="T1205" i="5"/>
  <c r="T1175" i="5"/>
  <c r="S1743" i="5"/>
  <c r="S1763" i="5"/>
  <c r="T1195" i="5"/>
  <c r="T1203" i="5"/>
  <c r="S1166" i="5"/>
  <c r="S1206" i="5"/>
  <c r="T1179" i="5"/>
  <c r="S1168" i="5"/>
  <c r="S1765" i="5"/>
  <c r="S1785" i="5"/>
  <c r="T1745" i="5"/>
  <c r="T1775" i="5"/>
  <c r="S1779" i="5"/>
  <c r="S1757" i="5"/>
  <c r="S1761" i="5"/>
  <c r="T1768" i="5"/>
  <c r="T1777" i="5"/>
  <c r="T1729" i="5"/>
  <c r="T1753" i="5"/>
  <c r="S1773" i="5"/>
  <c r="T1746" i="5"/>
  <c r="T1792" i="5"/>
  <c r="T1765" i="5"/>
  <c r="S1768" i="5"/>
  <c r="T1735" i="5"/>
  <c r="S1736" i="5"/>
  <c r="S1789" i="5"/>
  <c r="S1741" i="5"/>
  <c r="T1750" i="5"/>
  <c r="T1788" i="5"/>
  <c r="T1763" i="5"/>
  <c r="S1772" i="5"/>
  <c r="S1737" i="5"/>
  <c r="T1730" i="5"/>
  <c r="S1784" i="5"/>
  <c r="T1783" i="5"/>
  <c r="T1748" i="5"/>
  <c r="T1764" i="5"/>
  <c r="T1756" i="5"/>
  <c r="S1724" i="5"/>
  <c r="S1723" i="5"/>
  <c r="T1732" i="5"/>
  <c r="T1754" i="5"/>
  <c r="S1776" i="5"/>
  <c r="T1751" i="5"/>
  <c r="T1742" i="5"/>
  <c r="T1773" i="5"/>
  <c r="S1727" i="5"/>
  <c r="T1734" i="5"/>
  <c r="T1723" i="5"/>
  <c r="S1726" i="5"/>
  <c r="T1789" i="5"/>
  <c r="T1791" i="5"/>
  <c r="T1743" i="5"/>
  <c r="T1769" i="5"/>
  <c r="S1774" i="5"/>
  <c r="S1751" i="5"/>
  <c r="S1762" i="5"/>
  <c r="S1777" i="5"/>
  <c r="T1752" i="5"/>
  <c r="S1728" i="5"/>
  <c r="T1737" i="5"/>
  <c r="T1724" i="5"/>
  <c r="T1727" i="5"/>
  <c r="T1733" i="5"/>
  <c r="S1220" i="5"/>
  <c r="S1769" i="5"/>
  <c r="S1791" i="5"/>
  <c r="S1753" i="5"/>
  <c r="S1792" i="5"/>
  <c r="T1747" i="5"/>
  <c r="T1726" i="5"/>
  <c r="S1738" i="5"/>
  <c r="T1778" i="5"/>
  <c r="T1760" i="5"/>
  <c r="S1756" i="5"/>
  <c r="T1790" i="5"/>
  <c r="T1781" i="5"/>
  <c r="S1745" i="5"/>
  <c r="T1770" i="5"/>
  <c r="S1733" i="5"/>
  <c r="S1725" i="5"/>
  <c r="T1738" i="5"/>
  <c r="S1735" i="5"/>
  <c r="T1731" i="5"/>
  <c r="T1766" i="5"/>
  <c r="T1782" i="5"/>
  <c r="S1734" i="5"/>
  <c r="T1725" i="5"/>
  <c r="T1736" i="5"/>
  <c r="S1730" i="5"/>
  <c r="S1226" i="5"/>
  <c r="S1775" i="5"/>
  <c r="S1758" i="5"/>
  <c r="S1770" i="5"/>
  <c r="S1749" i="5"/>
  <c r="S1748" i="5"/>
  <c r="S1747" i="5"/>
  <c r="S1742" i="5"/>
  <c r="S1767" i="5"/>
  <c r="S1787" i="5"/>
  <c r="T1771" i="5"/>
  <c r="S1752" i="5"/>
  <c r="S1731" i="5"/>
  <c r="S1729" i="5"/>
  <c r="S1732" i="5"/>
  <c r="T1728" i="5"/>
  <c r="T1177" i="5"/>
  <c r="S1179" i="5"/>
  <c r="S1186" i="5"/>
  <c r="S1228" i="5"/>
  <c r="T1174" i="5"/>
  <c r="T1189" i="5"/>
  <c r="S1201" i="5"/>
  <c r="T1193" i="5"/>
  <c r="T1201" i="5"/>
  <c r="T1225" i="5"/>
  <c r="S1175" i="5"/>
  <c r="T1206" i="5"/>
  <c r="S1177" i="5"/>
  <c r="S1174" i="5"/>
  <c r="S1189" i="5"/>
  <c r="S1183" i="5"/>
  <c r="S1192" i="5"/>
  <c r="T1220" i="5"/>
  <c r="S1170" i="5"/>
  <c r="T1185" i="5"/>
  <c r="S1194" i="5"/>
  <c r="S1165" i="5"/>
  <c r="S1176" i="5"/>
  <c r="T1181" i="5"/>
  <c r="T1183" i="5"/>
  <c r="T1204" i="5"/>
  <c r="S1224" i="5"/>
  <c r="T1165" i="5"/>
  <c r="S1205" i="5"/>
  <c r="T1196" i="5"/>
  <c r="S1196" i="5"/>
  <c r="T1169" i="5"/>
  <c r="T1228" i="5"/>
  <c r="S1222" i="5"/>
  <c r="T1170" i="5"/>
  <c r="T1173" i="5"/>
  <c r="S1223" i="5"/>
  <c r="T1226" i="5"/>
  <c r="T1229" i="5"/>
  <c r="T1383" i="5"/>
  <c r="S1172" i="5"/>
  <c r="T1199" i="5"/>
  <c r="S1229" i="5"/>
  <c r="T1188" i="5"/>
  <c r="S2189" i="5"/>
  <c r="S2144" i="5"/>
  <c r="T2180" i="5"/>
  <c r="S2195" i="5"/>
  <c r="S2183" i="5"/>
  <c r="T2186" i="5"/>
  <c r="T2195" i="5"/>
  <c r="S2186" i="5"/>
  <c r="T2192" i="5"/>
  <c r="T2145" i="5"/>
  <c r="T2143" i="5"/>
  <c r="T2530" i="5" s="1"/>
  <c r="S2190" i="5"/>
  <c r="S2531" i="5" s="1"/>
  <c r="R2531" i="5" s="1"/>
  <c r="S2182" i="5"/>
  <c r="S2187" i="5"/>
  <c r="S2143" i="5"/>
  <c r="S2530" i="5" s="1"/>
  <c r="R2530" i="5" s="1"/>
  <c r="S2184" i="5"/>
  <c r="S2534" i="5" s="1"/>
  <c r="S2199" i="5"/>
  <c r="S2066" i="5"/>
  <c r="T2187" i="5"/>
  <c r="S2204" i="5"/>
  <c r="T2181" i="5"/>
  <c r="T2191" i="5"/>
  <c r="T2144" i="5"/>
  <c r="S2201" i="5"/>
  <c r="S2202" i="5"/>
  <c r="T2189" i="5"/>
  <c r="T2175" i="5"/>
  <c r="T2179" i="5"/>
  <c r="T2204" i="5"/>
  <c r="S2185" i="5"/>
  <c r="T2202" i="5"/>
  <c r="S2145" i="5"/>
  <c r="T2193" i="5"/>
  <c r="S2180" i="5"/>
  <c r="S2176" i="5"/>
  <c r="T2201" i="5"/>
  <c r="S2197" i="5"/>
  <c r="S2177" i="5"/>
  <c r="T2185" i="5"/>
  <c r="T2194" i="5"/>
  <c r="S2175" i="5"/>
  <c r="S2537" i="5" s="1"/>
  <c r="T2174" i="5"/>
  <c r="S2198" i="5"/>
  <c r="S2200" i="5"/>
  <c r="T2203" i="5"/>
  <c r="T2199" i="5"/>
  <c r="S2181" i="5"/>
  <c r="S2196" i="5"/>
  <c r="T2182" i="5"/>
  <c r="S2192" i="5"/>
  <c r="S2174" i="5"/>
  <c r="S2178" i="5"/>
  <c r="T2176" i="5"/>
  <c r="S2188" i="5"/>
  <c r="T2197" i="5"/>
  <c r="T2177" i="5"/>
  <c r="T1224" i="5"/>
  <c r="T1197" i="5"/>
  <c r="S1670" i="5"/>
  <c r="T1167" i="5"/>
  <c r="S1188" i="5"/>
  <c r="S1191" i="5"/>
  <c r="T1166" i="5"/>
  <c r="S1203" i="5"/>
  <c r="T1222" i="5"/>
  <c r="S1181" i="5"/>
  <c r="T1191" i="5"/>
  <c r="T1198" i="5"/>
  <c r="T1223" i="5"/>
  <c r="T1822" i="5"/>
  <c r="S1190" i="5"/>
  <c r="S1674" i="5"/>
  <c r="T1663" i="5"/>
  <c r="S1635" i="5"/>
  <c r="T1672" i="5"/>
  <c r="S1634" i="5"/>
  <c r="S1653" i="5"/>
  <c r="S1649" i="5"/>
  <c r="T1661" i="5"/>
  <c r="T1248" i="5"/>
  <c r="S1641" i="5"/>
  <c r="S1647" i="5"/>
  <c r="S1630" i="5"/>
  <c r="S1173" i="5"/>
  <c r="T1202" i="5"/>
  <c r="S1204" i="5"/>
  <c r="T1180" i="5"/>
  <c r="S1193" i="5"/>
  <c r="S1404" i="5"/>
  <c r="T1200" i="5"/>
  <c r="S1577" i="5"/>
  <c r="T1178" i="5"/>
  <c r="T1646" i="5"/>
  <c r="S1259" i="5"/>
  <c r="S1278" i="5"/>
  <c r="S1648" i="5"/>
  <c r="T1654" i="5"/>
  <c r="S1240" i="5"/>
  <c r="T1640" i="5"/>
  <c r="T1164" i="5"/>
  <c r="T1171" i="5"/>
  <c r="S1272" i="5"/>
  <c r="S1167" i="5"/>
  <c r="S1282" i="5"/>
  <c r="T1664" i="5"/>
  <c r="T1265" i="5"/>
  <c r="S1281" i="5"/>
  <c r="S1269" i="5"/>
  <c r="T1645" i="5"/>
  <c r="S1180" i="5"/>
  <c r="T1643" i="5"/>
  <c r="T1236" i="5"/>
  <c r="S1277" i="5"/>
  <c r="S1267" i="5"/>
  <c r="S1233" i="5"/>
  <c r="T1259" i="5"/>
  <c r="S1253" i="5"/>
  <c r="S1257" i="5"/>
  <c r="S1279" i="5"/>
  <c r="T1283" i="5"/>
  <c r="S1245" i="5"/>
  <c r="S1285" i="5"/>
  <c r="S1252" i="5"/>
  <c r="S1284" i="5"/>
  <c r="T1273" i="5"/>
  <c r="S1260" i="5"/>
  <c r="T1245" i="5"/>
  <c r="T1286" i="5"/>
  <c r="S1632" i="5"/>
  <c r="T1261" i="5"/>
  <c r="S1242" i="5"/>
  <c r="T1246" i="5"/>
  <c r="S1287" i="5"/>
  <c r="S1655" i="5"/>
  <c r="T1644" i="5"/>
  <c r="T1630" i="5"/>
  <c r="T1670" i="5"/>
  <c r="S1650" i="5"/>
  <c r="S1645" i="5"/>
  <c r="T1656" i="5"/>
  <c r="S1631" i="5"/>
  <c r="T1673" i="5"/>
  <c r="S1644" i="5"/>
  <c r="T1657" i="5"/>
  <c r="T1669" i="5"/>
  <c r="S1637" i="5"/>
  <c r="T1639" i="5"/>
  <c r="T1676" i="5"/>
  <c r="S1675" i="5"/>
  <c r="T1627" i="5"/>
  <c r="S1658" i="5"/>
  <c r="T1675" i="5"/>
  <c r="T1655" i="5"/>
  <c r="T1667" i="5"/>
  <c r="T1635" i="5"/>
  <c r="S1667" i="5"/>
  <c r="S1654" i="5"/>
  <c r="S1627" i="5"/>
  <c r="S1640" i="5"/>
  <c r="T1634" i="5"/>
  <c r="T1660" i="5"/>
  <c r="T1628" i="5"/>
  <c r="T1652" i="5"/>
  <c r="S1639" i="5"/>
  <c r="S1673" i="5"/>
  <c r="S1662" i="5"/>
  <c r="T1662" i="5"/>
  <c r="T1651" i="5"/>
  <c r="S1638" i="5"/>
  <c r="S1678" i="5"/>
  <c r="T1677" i="5"/>
  <c r="S1679" i="5"/>
  <c r="T1668" i="5"/>
  <c r="T1650" i="5"/>
  <c r="S1672" i="5"/>
  <c r="S1661" i="5"/>
  <c r="S1636" i="5"/>
  <c r="T1681" i="5"/>
  <c r="S1659" i="5"/>
  <c r="T1647" i="5"/>
  <c r="S1665" i="5"/>
  <c r="T1658" i="5"/>
  <c r="T1629" i="5"/>
  <c r="T1649" i="5"/>
  <c r="S1660" i="5"/>
  <c r="T1632" i="5"/>
  <c r="S1680" i="5"/>
  <c r="S1663" i="5"/>
  <c r="S1681" i="5"/>
  <c r="T1638" i="5"/>
  <c r="T1636" i="5"/>
  <c r="S1671" i="5"/>
  <c r="T1671" i="5"/>
  <c r="T1642" i="5"/>
  <c r="T1633" i="5"/>
  <c r="S1666" i="5"/>
  <c r="T1653" i="5"/>
  <c r="S1656" i="5"/>
  <c r="T1641" i="5"/>
  <c r="S1657" i="5"/>
  <c r="S1682" i="5"/>
  <c r="S1652" i="5"/>
  <c r="T1659" i="5"/>
  <c r="S1669" i="5"/>
  <c r="T1648" i="5"/>
  <c r="T1666" i="5"/>
  <c r="S1643" i="5"/>
  <c r="S1628" i="5"/>
  <c r="S1646" i="5"/>
  <c r="T1679" i="5"/>
  <c r="S1677" i="5"/>
  <c r="T1678" i="5"/>
  <c r="S1629" i="5"/>
  <c r="S1668" i="5"/>
  <c r="S1664" i="5"/>
  <c r="S1633" i="5"/>
  <c r="T1674" i="5"/>
  <c r="T1680" i="5"/>
  <c r="S1676" i="5"/>
  <c r="S1651" i="5"/>
  <c r="S1642" i="5"/>
  <c r="T1665" i="5"/>
  <c r="T1631" i="5"/>
  <c r="T1637" i="5"/>
  <c r="T2532" i="5" l="1"/>
  <c r="T2533" i="5"/>
  <c r="T2535" i="5"/>
  <c r="T2537" i="5"/>
  <c r="R2537" i="5" s="1"/>
  <c r="T2536" i="5"/>
  <c r="S2536" i="5"/>
  <c r="R2536" i="5" s="1"/>
  <c r="S2535" i="5"/>
  <c r="R2535" i="5" s="1"/>
  <c r="S2532" i="5"/>
  <c r="R2532" i="5" s="1"/>
  <c r="S2209" i="5" s="1"/>
  <c r="S2533" i="5"/>
  <c r="R2533" i="5" s="1"/>
  <c r="S2205" i="5" s="1"/>
  <c r="T2534" i="5"/>
  <c r="R2534" i="5" s="1"/>
  <c r="T2212" i="5" s="1"/>
  <c r="S2513" i="5"/>
  <c r="T2517" i="5"/>
  <c r="T2514" i="5"/>
  <c r="T2515" i="5"/>
  <c r="T2512" i="5"/>
  <c r="T2519" i="5"/>
  <c r="S2519" i="5"/>
  <c r="S2517" i="5"/>
  <c r="S2516" i="5"/>
  <c r="R2520" i="5"/>
  <c r="T2518" i="5"/>
  <c r="S2515" i="5"/>
  <c r="S2514" i="5"/>
  <c r="R2493" i="5"/>
  <c r="S2512" i="5"/>
  <c r="S2518" i="5"/>
  <c r="T2516" i="5"/>
  <c r="T2513" i="5"/>
  <c r="T2489" i="5"/>
  <c r="T2486" i="5"/>
  <c r="S2492" i="5"/>
  <c r="S2491" i="5"/>
  <c r="S2486" i="5"/>
  <c r="T2490" i="5"/>
  <c r="T2488" i="5"/>
  <c r="T2487" i="5"/>
  <c r="S2489" i="5"/>
  <c r="R2489" i="5" s="1"/>
  <c r="T2492" i="5"/>
  <c r="R2492" i="5" s="1"/>
  <c r="S2490" i="5"/>
  <c r="R2490" i="5" s="1"/>
  <c r="S2488" i="5"/>
  <c r="S2487" i="5"/>
  <c r="T2491" i="5"/>
  <c r="T2407" i="5"/>
  <c r="S2416" i="5"/>
  <c r="T2416" i="5"/>
  <c r="S2415" i="5"/>
  <c r="S2406" i="5"/>
  <c r="S2407" i="5"/>
  <c r="S2414" i="5"/>
  <c r="T2418" i="5"/>
  <c r="S2419" i="5"/>
  <c r="S2417" i="5"/>
  <c r="S2418" i="5"/>
  <c r="S2413" i="5"/>
  <c r="T2419" i="5"/>
  <c r="T2414" i="5"/>
  <c r="T2415" i="5"/>
  <c r="T2417" i="5"/>
  <c r="T2413" i="5"/>
  <c r="S2420" i="5"/>
  <c r="S2421" i="5"/>
  <c r="R2421" i="5" s="1"/>
  <c r="S2412" i="5"/>
  <c r="T2409" i="5"/>
  <c r="T2405" i="5"/>
  <c r="T2406" i="5"/>
  <c r="S2408" i="5"/>
  <c r="S2404" i="5"/>
  <c r="S2409" i="5"/>
  <c r="T2404" i="5"/>
  <c r="S2410" i="5"/>
  <c r="T2410" i="5"/>
  <c r="T2412" i="5"/>
  <c r="S2411" i="5"/>
  <c r="T2411" i="5"/>
  <c r="S2405" i="5"/>
  <c r="T2408" i="5"/>
  <c r="T2207" i="5" l="1"/>
  <c r="S2212" i="5"/>
  <c r="S2208" i="5"/>
  <c r="T2211" i="5"/>
  <c r="S2210" i="5"/>
  <c r="T2205" i="5"/>
  <c r="T2210" i="5"/>
  <c r="X69" i="3"/>
  <c r="Y69" i="3"/>
  <c r="T2208" i="5"/>
  <c r="R2515" i="5"/>
  <c r="R2415" i="5"/>
  <c r="T1244" i="5" s="1"/>
  <c r="T2420" i="5" s="1"/>
  <c r="R2420" i="5" s="1"/>
  <c r="R2517" i="5"/>
  <c r="S2211" i="5"/>
  <c r="S2206" i="5"/>
  <c r="T2209" i="5"/>
  <c r="S2207" i="5"/>
  <c r="T2206" i="5"/>
  <c r="R2512" i="5"/>
  <c r="R2491" i="5"/>
  <c r="R2514" i="5"/>
  <c r="T1682" i="5" s="1"/>
  <c r="R2513" i="5"/>
  <c r="X49" i="3"/>
  <c r="Y49" i="3"/>
  <c r="Y83" i="3" s="1"/>
  <c r="R2518" i="5"/>
  <c r="X50" i="3"/>
  <c r="X78" i="3" s="1"/>
  <c r="Y50" i="3"/>
  <c r="Y78" i="3" s="1"/>
  <c r="R2516" i="5"/>
  <c r="R2519" i="5"/>
  <c r="T2072" i="5"/>
  <c r="R2407" i="5"/>
  <c r="R2488" i="5"/>
  <c r="S1802" i="5" s="1"/>
  <c r="R2416" i="5"/>
  <c r="R2487" i="5"/>
  <c r="R2412" i="5"/>
  <c r="R2486" i="5"/>
  <c r="R2414" i="5"/>
  <c r="R2419" i="5"/>
  <c r="R2418" i="5"/>
  <c r="R2406" i="5"/>
  <c r="R2417" i="5"/>
  <c r="R2413" i="5"/>
  <c r="R2411" i="5"/>
  <c r="R2409" i="5"/>
  <c r="T1146" i="5" s="1"/>
  <c r="T2400" i="5" s="1"/>
  <c r="R2400" i="5" s="1"/>
  <c r="R2410" i="5"/>
  <c r="R2405" i="5"/>
  <c r="R2404" i="5"/>
  <c r="R2408" i="5"/>
  <c r="X83" i="3" l="1"/>
  <c r="T1802" i="5"/>
  <c r="T1301" i="5"/>
  <c r="T2070" i="5"/>
  <c r="S1230" i="5"/>
  <c r="S2069" i="5"/>
  <c r="S2070" i="5"/>
  <c r="T2069" i="5"/>
  <c r="T2071" i="5"/>
  <c r="S2068" i="5"/>
  <c r="S2071" i="5"/>
  <c r="S2072" i="5"/>
  <c r="T2068" i="5"/>
  <c r="T1300" i="5"/>
  <c r="S1302" i="5"/>
  <c r="S1301" i="5"/>
  <c r="S1232" i="5"/>
  <c r="S1300" i="5"/>
  <c r="T1302" i="5"/>
  <c r="Y100" i="3" s="1"/>
  <c r="T1231" i="5"/>
  <c r="T1232" i="5"/>
  <c r="S1231" i="5"/>
  <c r="X98" i="3" s="1"/>
  <c r="T1230" i="5"/>
  <c r="X102" i="3" l="1"/>
  <c r="X108" i="3"/>
  <c r="X96" i="3"/>
  <c r="Y96" i="3"/>
  <c r="Y102" i="3"/>
  <c r="Y108" i="3"/>
  <c r="X100" i="3"/>
  <c r="W100" i="3" s="1"/>
  <c r="X110" i="2" s="1"/>
  <c r="X106" i="3"/>
  <c r="X94" i="3"/>
  <c r="Y94" i="3"/>
  <c r="Y106" i="3"/>
  <c r="Y92" i="3"/>
  <c r="X104" i="3"/>
  <c r="X92" i="3"/>
  <c r="Y98" i="3"/>
  <c r="W98" i="3" s="1"/>
  <c r="Y104" i="3"/>
  <c r="W102" i="3" l="1"/>
  <c r="X112" i="2" s="1"/>
  <c r="AC112" i="2"/>
  <c r="AD112" i="2"/>
  <c r="AO112" i="2"/>
  <c r="W96" i="3"/>
  <c r="W108" i="3"/>
  <c r="X118" i="2" s="1"/>
  <c r="AD110" i="2"/>
  <c r="AC110" i="2"/>
  <c r="AO110" i="2"/>
  <c r="W94" i="3"/>
  <c r="W106" i="3"/>
  <c r="X116" i="2" s="1"/>
  <c r="W92" i="3"/>
  <c r="W104" i="3"/>
  <c r="M102" i="2"/>
  <c r="N102" i="2" s="1"/>
  <c r="AD118" i="2" l="1"/>
  <c r="AO118" i="2"/>
  <c r="AC118" i="2"/>
  <c r="AE112" i="2"/>
  <c r="H10" i="7"/>
  <c r="AE110" i="2"/>
  <c r="AD116" i="2"/>
  <c r="AC116" i="2"/>
  <c r="AO116" i="2"/>
  <c r="AC102" i="2"/>
  <c r="AO102" i="2"/>
  <c r="AD102" i="2"/>
  <c r="AE118" i="2" l="1"/>
  <c r="AE116" i="2"/>
  <c r="AE102" i="2"/>
  <c r="H17" i="7" s="1"/>
  <c r="T1339" i="5" l="1"/>
  <c r="S1345" i="5"/>
  <c r="T1351" i="5"/>
  <c r="T1303" i="5"/>
  <c r="T1343" i="5"/>
  <c r="T1320" i="5"/>
  <c r="S1354" i="5"/>
  <c r="T1340" i="5"/>
  <c r="S1344" i="5"/>
  <c r="T1310" i="5"/>
  <c r="T1313" i="5"/>
  <c r="T1306" i="5"/>
  <c r="T1318" i="5"/>
  <c r="T1353" i="5"/>
  <c r="S1353" i="5"/>
  <c r="S1314" i="5"/>
  <c r="S1348" i="5"/>
  <c r="S1333" i="5"/>
  <c r="T1354" i="5"/>
  <c r="S1303" i="5"/>
  <c r="T1337" i="5"/>
  <c r="T1368" i="5"/>
  <c r="S1357" i="5"/>
  <c r="S1324" i="5"/>
  <c r="S1337" i="5"/>
  <c r="T1309" i="5"/>
  <c r="T1335" i="5"/>
  <c r="S1366" i="5"/>
  <c r="S1342" i="5"/>
  <c r="S1332" i="5"/>
  <c r="T1334" i="5"/>
  <c r="T1326" i="5"/>
  <c r="T1331" i="5"/>
  <c r="S1358" i="5"/>
  <c r="S1312" i="5"/>
  <c r="T1322" i="5"/>
  <c r="S1367" i="5"/>
  <c r="S1365" i="5"/>
  <c r="T1347" i="5"/>
  <c r="S1343" i="5"/>
  <c r="S1305" i="5"/>
  <c r="S1322" i="5"/>
  <c r="S1331" i="5"/>
  <c r="S1360" i="5"/>
  <c r="S1327" i="5"/>
  <c r="S1304" i="5"/>
  <c r="T1330" i="5"/>
  <c r="S1318" i="5"/>
  <c r="T1332" i="5"/>
  <c r="S1335" i="5"/>
  <c r="S1359" i="5"/>
  <c r="S1329" i="5"/>
  <c r="S1330" i="5"/>
  <c r="S1306" i="5"/>
  <c r="T1305" i="5"/>
  <c r="T1346" i="5"/>
  <c r="S1334" i="5"/>
  <c r="T1328" i="5"/>
  <c r="S1325" i="5"/>
  <c r="S1352" i="5"/>
  <c r="S1347" i="5"/>
  <c r="S1338" i="5"/>
  <c r="S1326" i="5"/>
  <c r="S1321" i="5"/>
  <c r="T1314" i="5"/>
  <c r="T1355" i="5"/>
  <c r="S1308" i="5"/>
  <c r="S1307" i="5"/>
  <c r="S1361" i="5"/>
  <c r="T1356" i="5"/>
  <c r="T1341" i="5"/>
  <c r="T1315" i="5"/>
  <c r="T1321" i="5"/>
  <c r="S1369" i="5"/>
  <c r="T1369" i="5"/>
  <c r="T1317" i="5"/>
  <c r="T1311" i="5"/>
  <c r="S1319" i="5"/>
  <c r="S1315" i="5"/>
  <c r="S1356" i="5"/>
  <c r="T1364" i="5"/>
  <c r="S1309" i="5"/>
  <c r="S1316" i="5"/>
  <c r="T1344" i="5"/>
  <c r="S1362" i="5"/>
  <c r="S1328" i="5"/>
  <c r="S1346" i="5"/>
  <c r="T1348" i="5"/>
  <c r="T1312" i="5"/>
  <c r="S1368" i="5"/>
  <c r="T1338" i="5"/>
  <c r="T1316" i="5"/>
  <c r="S1341" i="5"/>
  <c r="S1355" i="5"/>
  <c r="T1333" i="5"/>
  <c r="S1317" i="5"/>
  <c r="T1324" i="5"/>
  <c r="S1364" i="5"/>
  <c r="S1310" i="5"/>
  <c r="T1359" i="5"/>
  <c r="T1363" i="5"/>
  <c r="S1320" i="5"/>
  <c r="T1350" i="5"/>
  <c r="T1345" i="5"/>
  <c r="S1350" i="5"/>
  <c r="T1366" i="5"/>
  <c r="S1339" i="5"/>
  <c r="T1325" i="5"/>
  <c r="T1358" i="5"/>
  <c r="S1351" i="5"/>
  <c r="T1357" i="5"/>
  <c r="T1308" i="5"/>
  <c r="S1349" i="5"/>
  <c r="T1361" i="5"/>
  <c r="S1311" i="5"/>
  <c r="S1313" i="5"/>
  <c r="T1307" i="5"/>
  <c r="T1336" i="5"/>
  <c r="T1319" i="5"/>
  <c r="S1363" i="5"/>
  <c r="T1329" i="5"/>
  <c r="S1340" i="5"/>
  <c r="T1349" i="5"/>
  <c r="S1336" i="5"/>
  <c r="T1360" i="5"/>
  <c r="T1327" i="5"/>
  <c r="T1304" i="5"/>
  <c r="T1342" i="5"/>
  <c r="T1365" i="5"/>
  <c r="T1362" i="5"/>
  <c r="S1323" i="5"/>
  <c r="T1367" i="5"/>
  <c r="T1352" i="5"/>
  <c r="T1323" i="5"/>
  <c r="T2425" i="5" l="1"/>
  <c r="S2425" i="5"/>
  <c r="T2424" i="5"/>
  <c r="T2423" i="5"/>
  <c r="S2427" i="5"/>
  <c r="T2427" i="5"/>
  <c r="S2422" i="5"/>
  <c r="S2426" i="5"/>
  <c r="T2426" i="5"/>
  <c r="S2424" i="5"/>
  <c r="R2424" i="5" s="1"/>
  <c r="S2423" i="5"/>
  <c r="R2423" i="5" s="1"/>
  <c r="T2422" i="5"/>
  <c r="R2425" i="5" l="1"/>
  <c r="R2426" i="5"/>
  <c r="R2422" i="5"/>
  <c r="R2427" i="5"/>
  <c r="T1370" i="5" l="1"/>
  <c r="T1371" i="5"/>
  <c r="S1371" i="5"/>
  <c r="S1372" i="5"/>
  <c r="T1372" i="5"/>
  <c r="S1370" i="5"/>
  <c r="X103" i="3" l="1"/>
  <c r="X109" i="3"/>
  <c r="X97" i="3"/>
  <c r="Y103" i="3"/>
  <c r="Y109" i="3"/>
  <c r="Y97" i="3"/>
  <c r="X95" i="3"/>
  <c r="X101" i="3"/>
  <c r="X107" i="3"/>
  <c r="Y107" i="3"/>
  <c r="Y101" i="3"/>
  <c r="Y95" i="3"/>
  <c r="X105" i="3"/>
  <c r="X99" i="3"/>
  <c r="X93" i="3"/>
  <c r="Y99" i="3"/>
  <c r="Y105" i="3"/>
  <c r="Y93" i="3"/>
  <c r="W97" i="3" l="1"/>
  <c r="W109" i="3"/>
  <c r="W103" i="3"/>
  <c r="X113" i="2" s="1"/>
  <c r="W107" i="3"/>
  <c r="X117" i="2" s="1"/>
  <c r="W101" i="3"/>
  <c r="X111" i="2" s="1"/>
  <c r="W105" i="3"/>
  <c r="X115" i="2" s="1"/>
  <c r="AC115" i="2" s="1"/>
  <c r="W95" i="3"/>
  <c r="W93" i="3"/>
  <c r="W99" i="3"/>
  <c r="X109" i="2" s="1"/>
  <c r="AC113" i="2" l="1"/>
  <c r="AO113" i="2"/>
  <c r="AD113" i="2"/>
  <c r="AO115" i="2"/>
  <c r="AD115" i="2"/>
  <c r="AE115" i="2" s="1"/>
  <c r="AO111" i="2"/>
  <c r="AD111" i="2"/>
  <c r="AC111" i="2"/>
  <c r="AD117" i="2"/>
  <c r="AO117" i="2"/>
  <c r="AC117" i="2"/>
  <c r="AC109" i="2"/>
  <c r="AO109" i="2"/>
  <c r="AD109" i="2"/>
  <c r="AE113" i="2" l="1"/>
  <c r="AE111" i="2"/>
  <c r="AE117" i="2"/>
  <c r="AE109" i="2"/>
  <c r="T2114" i="5" l="1"/>
  <c r="T2086" i="5"/>
  <c r="S2090" i="5"/>
  <c r="T2111" i="5"/>
  <c r="T2102" i="5"/>
  <c r="T2094" i="5"/>
  <c r="T2080" i="5"/>
  <c r="T2097" i="5"/>
  <c r="S2103" i="5"/>
  <c r="S2092" i="5"/>
  <c r="S2101" i="5"/>
  <c r="S2132" i="5"/>
  <c r="T2112" i="5"/>
  <c r="S2125" i="5"/>
  <c r="T2110" i="5"/>
  <c r="S2084" i="5"/>
  <c r="S2113" i="5"/>
  <c r="S2102" i="5"/>
  <c r="S2135" i="5"/>
  <c r="T2130" i="5"/>
  <c r="T2131" i="5"/>
  <c r="T2092" i="5"/>
  <c r="T2116" i="5"/>
  <c r="T2085" i="5"/>
  <c r="S2081" i="5"/>
  <c r="S2119" i="5"/>
  <c r="T2099" i="5"/>
  <c r="T2122" i="5"/>
  <c r="T2123" i="5"/>
  <c r="S2086" i="5"/>
  <c r="S2110" i="5"/>
  <c r="S2106" i="5"/>
  <c r="T2090" i="5"/>
  <c r="T2134" i="5"/>
  <c r="T2125" i="5"/>
  <c r="T2124" i="5"/>
  <c r="S2078" i="5"/>
  <c r="S2130" i="5"/>
  <c r="T2088" i="5"/>
  <c r="S2127" i="5"/>
  <c r="S2134" i="5"/>
  <c r="T2126" i="5"/>
  <c r="S2079" i="5"/>
  <c r="T2135" i="5"/>
  <c r="T2089" i="5"/>
  <c r="T2093" i="5"/>
  <c r="T2529" i="5" s="1"/>
  <c r="T2077" i="5"/>
  <c r="S2107" i="5"/>
  <c r="S2074" i="5"/>
  <c r="T2113" i="5"/>
  <c r="T2081" i="5"/>
  <c r="T2095" i="5"/>
  <c r="T2129" i="5"/>
  <c r="S2128" i="5"/>
  <c r="T2084" i="5"/>
  <c r="T2087" i="5"/>
  <c r="T2128" i="5"/>
  <c r="S2117" i="5"/>
  <c r="S2099" i="5"/>
  <c r="S2091" i="5"/>
  <c r="T2075" i="5"/>
  <c r="S2083" i="5"/>
  <c r="T2117" i="5"/>
  <c r="S2126" i="5"/>
  <c r="T2100" i="5"/>
  <c r="T2079" i="5"/>
  <c r="S2104" i="5"/>
  <c r="S2095" i="5"/>
  <c r="S2076" i="5"/>
  <c r="T2119" i="5"/>
  <c r="S2098" i="5"/>
  <c r="S2109" i="5"/>
  <c r="S2124" i="5"/>
  <c r="S2123" i="5"/>
  <c r="T2107" i="5"/>
  <c r="T2078" i="5"/>
  <c r="S2073" i="5"/>
  <c r="S2097" i="5"/>
  <c r="T2132" i="5"/>
  <c r="T2127" i="5"/>
  <c r="X86" i="3"/>
  <c r="S2096" i="5"/>
  <c r="S2115" i="5"/>
  <c r="T2091" i="5"/>
  <c r="S2120" i="5"/>
  <c r="S2085" i="5"/>
  <c r="T2106" i="5"/>
  <c r="T2121" i="5"/>
  <c r="S2094" i="5"/>
  <c r="T2101" i="5"/>
  <c r="T2104" i="5"/>
  <c r="S2116" i="5"/>
  <c r="T2109" i="5"/>
  <c r="T2096" i="5"/>
  <c r="T2074" i="5"/>
  <c r="Y86" i="3"/>
  <c r="S2100" i="5"/>
  <c r="T2098" i="5"/>
  <c r="S2112" i="5"/>
  <c r="S2075" i="5"/>
  <c r="T2120" i="5"/>
  <c r="T2133" i="5"/>
  <c r="S2129" i="5"/>
  <c r="T2118" i="5"/>
  <c r="S2111" i="5"/>
  <c r="T2076" i="5"/>
  <c r="S2108" i="5"/>
  <c r="S2131" i="5"/>
  <c r="T2105" i="5"/>
  <c r="S2122" i="5"/>
  <c r="S2080" i="5"/>
  <c r="T2073" i="5"/>
  <c r="S2121" i="5"/>
  <c r="S2522" i="5" s="1"/>
  <c r="T2115" i="5"/>
  <c r="S2114" i="5"/>
  <c r="T2083" i="5"/>
  <c r="S2087" i="5"/>
  <c r="S2093" i="5"/>
  <c r="S2529" i="5" s="1"/>
  <c r="R2529" i="5" s="1"/>
  <c r="S2088" i="5"/>
  <c r="S2105" i="5"/>
  <c r="S2089" i="5"/>
  <c r="T2103" i="5"/>
  <c r="S2118" i="5"/>
  <c r="S2133" i="5"/>
  <c r="T2108" i="5"/>
  <c r="S2077" i="5"/>
  <c r="S2527" i="5" l="1"/>
  <c r="T2522" i="5"/>
  <c r="R2522" i="5" s="1"/>
  <c r="T2521" i="5"/>
  <c r="T2527" i="5"/>
  <c r="R2527" i="5" s="1"/>
  <c r="T2525" i="5"/>
  <c r="T2528" i="5"/>
  <c r="S2524" i="5"/>
  <c r="S2523" i="5"/>
  <c r="T2524" i="5"/>
  <c r="T2523" i="5"/>
  <c r="T2526" i="5"/>
  <c r="S2526" i="5"/>
  <c r="S2528" i="5"/>
  <c r="R2528" i="5" s="1"/>
  <c r="S2521" i="5"/>
  <c r="R2521" i="5" s="1"/>
  <c r="S2525" i="5"/>
  <c r="R2525" i="5" s="1"/>
  <c r="R2526" i="5" l="1"/>
  <c r="R2523" i="5"/>
  <c r="R2524" i="5"/>
  <c r="T2141" i="5"/>
  <c r="S2082" i="5"/>
  <c r="T2142" i="5"/>
  <c r="X74" i="3"/>
  <c r="Y76" i="3"/>
  <c r="S2137" i="5"/>
  <c r="Y75" i="3"/>
  <c r="Y74" i="3"/>
  <c r="X72" i="3"/>
  <c r="T2137" i="5"/>
  <c r="X75" i="3"/>
  <c r="X76" i="3"/>
  <c r="S2140" i="5"/>
  <c r="X73" i="3"/>
  <c r="Y73" i="3"/>
  <c r="X70" i="3"/>
  <c r="T2140" i="5"/>
  <c r="T2082" i="5"/>
  <c r="T2138" i="5"/>
  <c r="S2138" i="5"/>
  <c r="X71" i="3"/>
  <c r="S2139" i="5"/>
  <c r="S2141" i="5"/>
  <c r="Y71" i="3"/>
  <c r="S2142" i="5"/>
  <c r="S2136" i="5"/>
  <c r="Y72" i="3"/>
  <c r="Y70" i="3"/>
  <c r="T2139" i="5"/>
  <c r="T2136" i="5"/>
  <c r="Y77" i="3" l="1"/>
  <c r="X77" i="3"/>
</calcChain>
</file>

<file path=xl/sharedStrings.xml><?xml version="1.0" encoding="utf-8"?>
<sst xmlns="http://schemas.openxmlformats.org/spreadsheetml/2006/main" count="12604" uniqueCount="384">
  <si>
    <t>PAG West - Sales Performance Report Card</t>
  </si>
  <si>
    <t>Store Name</t>
  </si>
  <si>
    <t>Retail Sales Units 
% YOY</t>
  </si>
  <si>
    <t>’25 Q3 Training Attendance %/Goal</t>
  </si>
  <si>
    <t>VIP Sold Average 
per Month PP</t>
  </si>
  <si>
    <t>'25 Q3 Mystery 
Shop Average 
Score %</t>
  </si>
  <si>
    <t>Internet 
Closing %</t>
  </si>
  <si>
    <t>Phone Closing %</t>
  </si>
  <si>
    <t>PAG Lease Portal 
Dealership 
Retention %</t>
  </si>
  <si>
    <t>YTD OEM Lease 
Retention %</t>
  </si>
  <si>
    <t>% Appointment 
Set to Goal</t>
  </si>
  <si>
    <t>% Appointment 
Sold to Total Sold</t>
  </si>
  <si>
    <t>Adjusted Score</t>
  </si>
  <si>
    <t>Regional Average</t>
  </si>
  <si>
    <t>Sales Performance Report Card by Area</t>
  </si>
  <si>
    <t>AREA</t>
  </si>
  <si>
    <t>Arizona</t>
  </si>
  <si>
    <t xml:space="preserve">  &lt;- Click to Select</t>
  </si>
  <si>
    <t>Area Average</t>
  </si>
  <si>
    <t>PAG West - Sales Performance Assessment Force Rank Report</t>
  </si>
  <si>
    <t>How Points are Awarded By Category</t>
  </si>
  <si>
    <t>Retail Sales Units 
YOY %</t>
  </si>
  <si>
    <t>Training Attendance % of Goal 
(Past Quarter)</t>
  </si>
  <si>
    <t>VIP Sold Average 
per Producer per Month</t>
  </si>
  <si>
    <t>Internet Mystery Shop 
Average Score (Past Quarter)</t>
  </si>
  <si>
    <t>Internet Closing %</t>
  </si>
  <si>
    <t>PAG Portal Dealership 
Lease Retention %</t>
  </si>
  <si>
    <t>OEM Lease 
Retention %</t>
  </si>
  <si>
    <t>% Appointment Set 
to Goal</t>
  </si>
  <si>
    <t>% Appointment Sold
to Total Sold</t>
  </si>
  <si>
    <t>GOAL: 100%+ of Prev 
Year Sold Units</t>
  </si>
  <si>
    <t>GOAL: 1 Class per Producer 
per Quarter</t>
  </si>
  <si>
    <t>GOAL: 2+ Sold per Producer</t>
  </si>
  <si>
    <t>GOAL: 100%+</t>
  </si>
  <si>
    <t>GOAL: 15%+</t>
  </si>
  <si>
    <t>GOAL: 25%+</t>
  </si>
  <si>
    <t>GOAL: 70%+</t>
  </si>
  <si>
    <t>GOAL: ABOVE 
Benchmark Set by OEM</t>
  </si>
  <si>
    <t>GOAL: 1 Appointment Set per Producer per Day</t>
  </si>
  <si>
    <t>GOAL: Appointment-based Sales for 50%+ of All Store Sales</t>
  </si>
  <si>
    <t>Weight Per Category</t>
  </si>
  <si>
    <t>Metric 
Achieved</t>
  </si>
  <si>
    <t>Points Awarded</t>
  </si>
  <si>
    <t xml:space="preserve"> </t>
  </si>
  <si>
    <t>0-80%</t>
  </si>
  <si>
    <t>&lt; 59% of Goal</t>
  </si>
  <si>
    <t>&lt; 0.5 Sold PP</t>
  </si>
  <si>
    <t>0-59%</t>
  </si>
  <si>
    <t>0-6%</t>
  </si>
  <si>
    <t>0-11%</t>
  </si>
  <si>
    <t>0-44%</t>
  </si>
  <si>
    <t>BELOW</t>
  </si>
  <si>
    <t>0-30%</t>
  </si>
  <si>
    <t>80-84%</t>
  </si>
  <si>
    <t>60-69%</t>
  </si>
  <si>
    <t>7-8%</t>
  </si>
  <si>
    <t>12-13%</t>
  </si>
  <si>
    <t>45-54%</t>
  </si>
  <si>
    <t>ABOVE</t>
  </si>
  <si>
    <t>31-34%</t>
  </si>
  <si>
    <t>85-89%</t>
  </si>
  <si>
    <t>70-79%</t>
  </si>
  <si>
    <t>14-16%</t>
  </si>
  <si>
    <t>55-59%</t>
  </si>
  <si>
    <t>-</t>
  </si>
  <si>
    <t>70-74%</t>
  </si>
  <si>
    <t>35-39%</t>
  </si>
  <si>
    <t>90-94%</t>
  </si>
  <si>
    <t>80-89%</t>
  </si>
  <si>
    <t>17-19%</t>
  </si>
  <si>
    <t>60-64%</t>
  </si>
  <si>
    <t>75-79%</t>
  </si>
  <si>
    <t>40-44%</t>
  </si>
  <si>
    <t>95-99%</t>
  </si>
  <si>
    <t>2+</t>
  </si>
  <si>
    <t>90-100%</t>
  </si>
  <si>
    <t>11-12%</t>
  </si>
  <si>
    <t>20-22%</t>
  </si>
  <si>
    <t>65-69%</t>
  </si>
  <si>
    <t>45-49%</t>
  </si>
  <si>
    <t>100%+</t>
  </si>
  <si>
    <t>95%+</t>
  </si>
  <si>
    <t>13-15%+</t>
  </si>
  <si>
    <t>23-25%+</t>
  </si>
  <si>
    <t>70%+</t>
  </si>
  <si>
    <t>50%+</t>
  </si>
  <si>
    <t>ALPHA</t>
  </si>
  <si>
    <t>RAW RANK</t>
  </si>
  <si>
    <t>RAW RANK SUM</t>
  </si>
  <si>
    <t>Rank</t>
  </si>
  <si>
    <t>Retail Sales Units YOY %</t>
  </si>
  <si>
    <t>Points</t>
  </si>
  <si>
    <t>Training Attendance
% of Goal</t>
  </si>
  <si>
    <t>Training Attendance 
avg per Month (Per Producer)</t>
  </si>
  <si>
    <t>VIP Sold Average per Month PP</t>
  </si>
  <si>
    <t>Mystery Shop Average Score</t>
  </si>
  <si>
    <t>PAG Portal Dealership 
Retention %</t>
  </si>
  <si>
    <t>% Appointment Set to Goal</t>
  </si>
  <si>
    <t>% Appointment Sold to Total Sold</t>
  </si>
  <si>
    <t>TOTAL POINTS</t>
  </si>
  <si>
    <t>MAX ACHEIVABLE</t>
  </si>
  <si>
    <t>ADJ SCORE</t>
  </si>
  <si>
    <t>Expt</t>
  </si>
  <si>
    <t>WEST Region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</si>
  <si>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</si>
  <si>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</si>
  <si>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</si>
  <si>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</si>
  <si>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</si>
  <si>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</si>
  <si>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</si>
  <si>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>Acura North Scottsdale</t>
  </si>
  <si>
    <t>Acura of Escondido</t>
  </si>
  <si>
    <t>Audi Chandler</t>
  </si>
  <si>
    <t>Audi Escondido</t>
  </si>
  <si>
    <t>Audi North OC</t>
  </si>
  <si>
    <t>Audi North Scottsdale</t>
  </si>
  <si>
    <t>Audi South Coast</t>
  </si>
  <si>
    <t>Audi San Jose</t>
  </si>
  <si>
    <t>Bentley Scottsdale</t>
  </si>
  <si>
    <t>BMW North Scottsdale</t>
  </si>
  <si>
    <t>BMW of Austin</t>
  </si>
  <si>
    <t>BMW/MINI of Escondido</t>
  </si>
  <si>
    <t>BMW of Ontario</t>
  </si>
  <si>
    <t>BMW of San Diego</t>
  </si>
  <si>
    <t>Capitol Honda</t>
  </si>
  <si>
    <t>Crevier BMW</t>
  </si>
  <si>
    <t>Crevier MINI</t>
  </si>
  <si>
    <t>Honda Leander</t>
  </si>
  <si>
    <t>Honda North</t>
  </si>
  <si>
    <t>Honda of Escondido</t>
  </si>
  <si>
    <t>Hyundai of Pharr</t>
  </si>
  <si>
    <t>Jaguar Land Rover Chandler</t>
  </si>
  <si>
    <t>Jaguar Land Rover North Scottsdale</t>
  </si>
  <si>
    <t>Kearny Mesa Acura</t>
  </si>
  <si>
    <t>Kearny Mesa Toyota</t>
  </si>
  <si>
    <t>Lexus of Austin</t>
  </si>
  <si>
    <t>Lexus of Chandler</t>
  </si>
  <si>
    <t>Lexus of Lakeway</t>
  </si>
  <si>
    <t>Lexus San Diego</t>
  </si>
  <si>
    <t>Lincoln South Coast</t>
  </si>
  <si>
    <t>Los Gatos Acura</t>
  </si>
  <si>
    <t>Mazda of Escondido</t>
  </si>
  <si>
    <t>Mercedes-Benz of Chandler</t>
  </si>
  <si>
    <t>Mercedes-Benz of North Scottsdale</t>
  </si>
  <si>
    <t>Mercedes-Benz of San Diego</t>
  </si>
  <si>
    <t>MINI North Scottsdale</t>
  </si>
  <si>
    <t>MINI of Austin</t>
  </si>
  <si>
    <t>MINI of Marin</t>
  </si>
  <si>
    <t>MINI of Ontario</t>
  </si>
  <si>
    <t>MINI of San Diego</t>
  </si>
  <si>
    <t>MINI of Tempe</t>
  </si>
  <si>
    <t>Peter Pan BMW</t>
  </si>
  <si>
    <t>Porsche North Scottsdale</t>
  </si>
  <si>
    <t>Porsche Stevens Creek</t>
  </si>
  <si>
    <t>Round Rock Honda</t>
  </si>
  <si>
    <t>Round Rock Hyundai</t>
  </si>
  <si>
    <t>Round Rock Toyota</t>
  </si>
  <si>
    <t>Scottsdale Ferrari Maserati</t>
  </si>
  <si>
    <t>Subaru Orange Coast</t>
  </si>
  <si>
    <t>Tempe Honda</t>
  </si>
  <si>
    <t>Toyota of Clovis</t>
  </si>
  <si>
    <t>Toyota of Pharr</t>
  </si>
  <si>
    <t>Toyota of Surprise</t>
  </si>
  <si>
    <t>Volkswagen North Scottsdale</t>
  </si>
  <si>
    <t>Volkswagen South Coast</t>
  </si>
  <si>
    <t>TOTAL</t>
  </si>
  <si>
    <t>Market Count</t>
  </si>
  <si>
    <t>Store Count</t>
  </si>
  <si>
    <t>Data Entry Worksheet</t>
  </si>
  <si>
    <t>Reporting Period</t>
  </si>
  <si>
    <t>#</t>
  </si>
  <si>
    <t>Market</t>
  </si>
  <si>
    <t>Producers
(Rpt Period)</t>
  </si>
  <si>
    <t>Producers
(Training Goal)</t>
  </si>
  <si>
    <t>Training Attendance</t>
  </si>
  <si>
    <t>VIP Sold</t>
  </si>
  <si>
    <t>Mystery Shop Score</t>
  </si>
  <si>
    <t>CY RSU</t>
  </si>
  <si>
    <t>PY RSU</t>
  </si>
  <si>
    <t>Internet Prospects</t>
  </si>
  <si>
    <t>Internet Sold</t>
  </si>
  <si>
    <t>Phone Prospects</t>
  </si>
  <si>
    <t>Phone Sold</t>
  </si>
  <si>
    <t>Appts Set</t>
  </si>
  <si>
    <t>Appts Sold</t>
  </si>
  <si>
    <t>Total Sold</t>
  </si>
  <si>
    <t>Appt Goal</t>
  </si>
  <si>
    <t>Lease Opps</t>
  </si>
  <si>
    <t>Total Retained</t>
  </si>
  <si>
    <t>OEM Retention</t>
  </si>
  <si>
    <t>Store</t>
  </si>
  <si>
    <t>Month-Yr</t>
  </si>
  <si>
    <t>Yr-Qtr</t>
  </si>
  <si>
    <t>N/A</t>
  </si>
  <si>
    <t>Capitol Acura</t>
  </si>
  <si>
    <t>Land Rover Chandler</t>
  </si>
  <si>
    <t>Land Rover North Scottsdale</t>
  </si>
  <si>
    <t>Genesis of Round Rock</t>
  </si>
  <si>
    <t>Bill Brown Ford</t>
  </si>
  <si>
    <t>BMW of Bloomfield Hills</t>
  </si>
  <si>
    <t>East Madison Toyota</t>
  </si>
  <si>
    <t>Genesis of Noblesville</t>
  </si>
  <si>
    <t>Hyundai of Noblesville</t>
  </si>
  <si>
    <t>Lamborghini North Scottsdale</t>
  </si>
  <si>
    <t>Lexus of Madison</t>
  </si>
  <si>
    <t>Motorwerks BMW</t>
  </si>
  <si>
    <t>Motorwerks MINI</t>
  </si>
  <si>
    <t>Penske Chevrolet</t>
  </si>
  <si>
    <t>Penske Honda</t>
  </si>
  <si>
    <t>Hyundai of Leander</t>
  </si>
  <si>
    <t/>
  </si>
  <si>
    <t>Producers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</si>
  <si>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</si>
  <si>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</si>
  <si>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</si>
  <si>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</si>
  <si>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</si>
  <si>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</si>
  <si>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</si>
  <si>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</si>
  <si>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</si>
  <si>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</si>
  <si>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</si>
  <si>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</si>
  <si>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</si>
  <si>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# Training Attendees</t>
  </si>
  <si>
    <t>MINI of MARIN</t>
  </si>
  <si>
    <t>Franchise</t>
  </si>
  <si>
    <t>Brand</t>
  </si>
  <si>
    <t>Index</t>
  </si>
  <si>
    <t>DealerSocket Franchise Name</t>
  </si>
  <si>
    <t>LR Portal Name</t>
  </si>
  <si>
    <t>HR Producer Rpt Name</t>
  </si>
  <si>
    <t>CoVideo Name</t>
  </si>
  <si>
    <t>YOY RSU Name</t>
  </si>
  <si>
    <t>RR Source Name</t>
  </si>
  <si>
    <t>VIP Tracking Code</t>
  </si>
  <si>
    <t>Proper Name</t>
  </si>
  <si>
    <t>Parent</t>
  </si>
  <si>
    <t>Disp</t>
  </si>
  <si>
    <t>Reporting Group</t>
  </si>
  <si>
    <t>Lvl</t>
  </si>
  <si>
    <t>Count</t>
  </si>
  <si>
    <t>Mo/Yr</t>
  </si>
  <si>
    <t>Days</t>
  </si>
  <si>
    <t>Lease Retention</t>
  </si>
  <si>
    <t>DD</t>
  </si>
  <si>
    <t>Mo</t>
  </si>
  <si>
    <t>Qtr</t>
  </si>
  <si>
    <t>Acura</t>
  </si>
  <si>
    <t>PAG WEST</t>
  </si>
  <si>
    <t xml:space="preserve">Acura North Scottsdale </t>
  </si>
  <si>
    <t>RevenueRadar</t>
  </si>
  <si>
    <t>*VIP - Serv to Sales</t>
  </si>
  <si>
    <t>-PAG WEST</t>
  </si>
  <si>
    <t>Jan '23</t>
  </si>
  <si>
    <t>Q1</t>
  </si>
  <si>
    <t>-PAG WEST EXPANSION</t>
  </si>
  <si>
    <t>PAG WEST EXPANSION</t>
  </si>
  <si>
    <t>Feb '23</t>
  </si>
  <si>
    <t>Audi</t>
  </si>
  <si>
    <t>-Arizona</t>
  </si>
  <si>
    <t>Mar '23</t>
  </si>
  <si>
    <t>Revenue Radar</t>
  </si>
  <si>
    <t>-Indiana</t>
  </si>
  <si>
    <t>Apr '23</t>
  </si>
  <si>
    <t>Q2</t>
  </si>
  <si>
    <t>Audi North Orange County</t>
  </si>
  <si>
    <t>*VIP Serv to Sales</t>
  </si>
  <si>
    <t>-Michigan &amp; Minnesota</t>
  </si>
  <si>
    <t>May '23</t>
  </si>
  <si>
    <t>-Northern California</t>
  </si>
  <si>
    <t>Jun '23</t>
  </si>
  <si>
    <t>Audi Stevens Creek</t>
  </si>
  <si>
    <t>-Orange County</t>
  </si>
  <si>
    <t>Jul '23</t>
  </si>
  <si>
    <t>Q3</t>
  </si>
  <si>
    <t>-Southern California</t>
  </si>
  <si>
    <t>Aug '23</t>
  </si>
  <si>
    <t>Ultra</t>
  </si>
  <si>
    <t>-Texas</t>
  </si>
  <si>
    <t>Sep '23</t>
  </si>
  <si>
    <t>Ford</t>
  </si>
  <si>
    <t>TBD</t>
  </si>
  <si>
    <t>-Wisconsin</t>
  </si>
  <si>
    <t>Oct '23</t>
  </si>
  <si>
    <t>Q4</t>
  </si>
  <si>
    <t>BMW</t>
  </si>
  <si>
    <t>Nov '23</t>
  </si>
  <si>
    <t>Dec '23</t>
  </si>
  <si>
    <t>Jan '24</t>
  </si>
  <si>
    <t>BMW of Escondido</t>
  </si>
  <si>
    <t>BMW MINI of Escondido</t>
  </si>
  <si>
    <t>Chevrolet</t>
  </si>
  <si>
    <t>Feb '24</t>
  </si>
  <si>
    <t>Mo-Yr</t>
  </si>
  <si>
    <t>PrvYr-Qtr</t>
  </si>
  <si>
    <t>Mar '24</t>
  </si>
  <si>
    <t>Genesis</t>
  </si>
  <si>
    <t>Apr '24</t>
  </si>
  <si>
    <t>Honda</t>
  </si>
  <si>
    <t>May '24</t>
  </si>
  <si>
    <t>Hyundai</t>
  </si>
  <si>
    <t>Jun '24</t>
  </si>
  <si>
    <t>LR</t>
  </si>
  <si>
    <t>Jul '24</t>
  </si>
  <si>
    <t>MINI</t>
  </si>
  <si>
    <t>Lexus</t>
  </si>
  <si>
    <t>Aug '24</t>
  </si>
  <si>
    <t>Toyota</t>
  </si>
  <si>
    <t>Lincoln</t>
  </si>
  <si>
    <t>Sep '24</t>
  </si>
  <si>
    <t>Mazda</t>
  </si>
  <si>
    <t>Oct '24</t>
  </si>
  <si>
    <t>Genesis Round Rock</t>
  </si>
  <si>
    <t>Mercedes-Benz</t>
  </si>
  <si>
    <t>Nov '24</t>
  </si>
  <si>
    <t>Dec '24</t>
  </si>
  <si>
    <t xml:space="preserve">Honda North </t>
  </si>
  <si>
    <t>Honda North Penske</t>
  </si>
  <si>
    <t>Porsche</t>
  </si>
  <si>
    <t>Jan '25</t>
  </si>
  <si>
    <t>Subaru</t>
  </si>
  <si>
    <t>Feb '25</t>
  </si>
  <si>
    <t>Mar '25</t>
  </si>
  <si>
    <t>Apr '25</t>
  </si>
  <si>
    <t>Volkswagen</t>
  </si>
  <si>
    <t>May '25</t>
  </si>
  <si>
    <t>Jun '25</t>
  </si>
  <si>
    <t>*Vehcle Exch Program</t>
  </si>
  <si>
    <t>Jul '25</t>
  </si>
  <si>
    <t>Aug '25</t>
  </si>
  <si>
    <t>Sep '25</t>
  </si>
  <si>
    <t>Oct '25</t>
  </si>
  <si>
    <t>Nov '25</t>
  </si>
  <si>
    <t>Dec '25</t>
  </si>
  <si>
    <t xml:space="preserve">Mercedes-Benz of North Scottsdale  </t>
  </si>
  <si>
    <t>Mercedes-Benz North Scottsdale</t>
  </si>
  <si>
    <t>14A</t>
  </si>
  <si>
    <t>MINI of Escondido</t>
  </si>
  <si>
    <t>Mercedes-Benz San Diego</t>
  </si>
  <si>
    <t xml:space="preserve">MINI of Tempe </t>
  </si>
  <si>
    <t>Trn Mos</t>
  </si>
  <si>
    <t xml:space="preserve">Round Rock Hyundai </t>
  </si>
  <si>
    <t xml:space="preserve">Scottsdale Ferrari Maserati </t>
  </si>
  <si>
    <t>Scottsdale Ferrari</t>
  </si>
  <si>
    <t>For Summary</t>
  </si>
  <si>
    <t>Source in DS</t>
  </si>
  <si>
    <t>ALL</t>
  </si>
  <si>
    <t>Internet</t>
  </si>
  <si>
    <t>Phone</t>
  </si>
  <si>
    <t>Phone Up</t>
  </si>
  <si>
    <t>Floor</t>
  </si>
  <si>
    <t>Fresh Up</t>
  </si>
  <si>
    <t>Sales Performance Report Card</t>
  </si>
  <si>
    <t>6-Month Trends</t>
  </si>
  <si>
    <t>&lt;- Select Store/Area -&gt;</t>
  </si>
  <si>
    <t>&lt;-- Click to Select Values</t>
  </si>
  <si>
    <t>May-25</t>
  </si>
  <si>
    <t>Category</t>
  </si>
  <si>
    <t>&lt;- Select Month/Year -&gt;</t>
  </si>
  <si>
    <t>June-25</t>
  </si>
  <si>
    <t>Quarterly Training Attendance %/Goal</t>
  </si>
  <si>
    <t>April-25</t>
  </si>
  <si>
    <t>Quarterly Mystery Shop Average Score %</t>
  </si>
  <si>
    <t>March-25</t>
  </si>
  <si>
    <t>February-25</t>
  </si>
  <si>
    <t>January-25</t>
  </si>
  <si>
    <t>PAG Portal 
Dealership 
Retention %</t>
  </si>
  <si>
    <t>TIME PERIOD</t>
  </si>
  <si>
    <t>’25 Q2 Training Attendance %/Goal</t>
  </si>
  <si>
    <t>'25 Q2 Mystery 
Shop Average 
Score %</t>
  </si>
  <si>
    <t>Phone
 Closing %</t>
  </si>
  <si>
    <t>GOALS</t>
  </si>
  <si>
    <t>100%+ of Prev 
Year Sold Units</t>
  </si>
  <si>
    <t>1 Class per Producer 
per Quarter</t>
  </si>
  <si>
    <t>2+ Sold per Producer</t>
  </si>
  <si>
    <t>15%+</t>
  </si>
  <si>
    <t>25%+</t>
  </si>
  <si>
    <t>65%+</t>
  </si>
  <si>
    <t>ABOVE OEM
Benchmark</t>
  </si>
  <si>
    <t>1 Appointment 
per Producer 
per Day</t>
  </si>
  <si>
    <t>50%+ of All
Store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</si>
</sst>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\ \'yy"/>
    <numFmt numFmtId="166" formatCode="mmmm\ yyyy"/>
    <numFmt numFmtId="167" formatCode="[$-10409]#,##0;\(#,##0\)"/>
  </numFmts>
  <fonts count="6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24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0"/>
      <name val="Helvetica"/>
      <family val="2"/>
    </font>
    <font>
      <sz val="10"/>
      <color theme="1"/>
      <name val="Helvetica"/>
      <family val="2"/>
    </font>
    <font>
      <sz val="10"/>
      <color rgb="FF000000"/>
      <name val="Helvetica"/>
      <family val="2"/>
    </font>
    <font>
      <sz val="12"/>
      <color theme="1"/>
      <name val="Calibri"/>
      <family val="2"/>
      <scheme val="minor"/>
    </font>
    <font>
      <b/>
      <sz val="18"/>
      <color theme="1"/>
      <name val="Helvetica"/>
      <family val="2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2"/>
      <color theme="0"/>
      <name val="Calibri"/>
      <family val="2"/>
      <scheme val="minor"/>
    </font>
    <font>
      <sz val="10"/>
      <color theme="0"/>
      <name val="Helvetica"/>
      <family val="2"/>
    </font>
    <font>
      <b/>
      <sz val="11"/>
      <color rgb="FF000000"/>
      <name val="Helvetica"/>
      <family val="2"/>
    </font>
    <font>
      <b/>
      <sz val="11"/>
      <color theme="0"/>
      <name val="Helvetica"/>
      <family val="2"/>
    </font>
    <font>
      <sz val="11"/>
      <color theme="0"/>
      <name val="Calibri"/>
      <family val="2"/>
      <scheme val="minor"/>
    </font>
    <font>
      <sz val="10"/>
      <name val="Helvetica"/>
      <family val="2"/>
    </font>
    <font>
      <sz val="11"/>
      <color theme="0"/>
      <name val="Helvetica"/>
      <family val="2"/>
    </font>
    <font>
      <sz val="11"/>
      <name val="Helvetica"/>
      <family val="2"/>
    </font>
    <font>
      <b/>
      <sz val="13"/>
      <color theme="1"/>
      <name val="Helvetica"/>
      <family val="2"/>
    </font>
    <font>
      <b/>
      <u/>
      <sz val="12"/>
      <color theme="1"/>
      <name val="Arial"/>
      <family val="2"/>
    </font>
    <font>
      <b/>
      <sz val="13"/>
      <color rgb="FF000000"/>
      <name val="Helvetica"/>
      <family val="2"/>
    </font>
    <font>
      <b/>
      <sz val="14"/>
      <color theme="1"/>
      <name val="Helvetica"/>
      <family val="2"/>
    </font>
    <font>
      <b/>
      <sz val="10"/>
      <color theme="0"/>
      <name val="Helvetica"/>
      <family val="2"/>
    </font>
    <font>
      <b/>
      <sz val="10"/>
      <color theme="1"/>
      <name val="Helvetica"/>
      <family val="2"/>
    </font>
    <font>
      <b/>
      <u/>
      <sz val="12"/>
      <color theme="1"/>
      <name val="Helvetica"/>
      <family val="2"/>
    </font>
    <font>
      <b/>
      <u/>
      <sz val="10"/>
      <color theme="1"/>
      <name val="Helvetic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Helvetica"/>
      <family val="2"/>
    </font>
    <font>
      <sz val="16"/>
      <color theme="1"/>
      <name val="Helvetica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i/>
      <sz val="9"/>
      <name val="Arial"/>
      <family val="2"/>
    </font>
    <font>
      <b/>
      <sz val="13"/>
      <name val="Helvetica"/>
      <family val="2"/>
    </font>
    <font>
      <sz val="12"/>
      <name val="Helvetica"/>
      <family val="2"/>
    </font>
    <font>
      <i/>
      <sz val="10"/>
      <color theme="1"/>
      <name val="Helvetica"/>
      <family val="2"/>
    </font>
    <font>
      <sz val="11"/>
      <name val="Calibri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1"/>
    </font>
    <font>
      <sz val="11"/>
      <color theme="1"/>
      <name val="Arial"/>
      <family val="2"/>
    </font>
    <font>
      <b/>
      <i/>
      <sz val="10"/>
      <color theme="1"/>
      <name val="Arial"/>
      <family val="1"/>
    </font>
    <font>
      <b/>
      <i/>
      <u/>
      <sz val="10"/>
      <color theme="1"/>
      <name val="Arial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rgb="FFFF0000"/>
      <name val="Calibri"/>
      <family val="1"/>
      <scheme val="minor"/>
    </font>
    <font>
      <b/>
      <sz val="10"/>
      <color rgb="FFFF0000"/>
      <name val="Helvetica"/>
      <family val="1"/>
    </font>
    <font>
      <b/>
      <sz val="10"/>
      <name val="Helvetica"/>
      <family val="2"/>
    </font>
    <font>
      <b/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000000"/>
      <name val="Helvetica"/>
      <family val="2"/>
    </font>
    <font>
      <sz val="9"/>
      <color theme="1"/>
      <name val="Helvetica"/>
      <family val="2"/>
    </font>
    <font>
      <sz val="9"/>
      <name val="Helvetica"/>
      <family val="2"/>
    </font>
    <font>
      <b/>
      <sz val="9"/>
      <color theme="0"/>
      <name val="Helvetica"/>
      <family val="2"/>
    </font>
    <font>
      <b/>
      <sz val="8"/>
      <color theme="0"/>
      <name val="Helvetica"/>
      <family val="2"/>
    </font>
    <font>
      <b/>
      <sz val="12"/>
      <name val="Helvetic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C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1F60"/>
        <bgColor indexed="64"/>
      </patternFill>
    </fill>
    <fill>
      <patternFill patternType="solid">
        <fgColor rgb="FFFFFEB3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theme="0"/>
      </right>
      <top/>
      <bottom style="thick">
        <color auto="1"/>
      </bottom>
      <diagonal/>
    </border>
    <border>
      <left/>
      <right style="hair">
        <color theme="0"/>
      </right>
      <top/>
      <bottom style="thick">
        <color auto="1"/>
      </bottom>
      <diagonal/>
    </border>
    <border>
      <left style="hair">
        <color theme="0"/>
      </left>
      <right style="hair">
        <color theme="0"/>
      </right>
      <top/>
      <bottom style="thick">
        <color auto="1"/>
      </bottom>
      <diagonal/>
    </border>
    <border>
      <left style="hair">
        <color theme="0"/>
      </left>
      <right style="thin">
        <color theme="0"/>
      </right>
      <top/>
      <bottom style="thick">
        <color auto="1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1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9" fontId="6" fillId="3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9" fontId="1" fillId="0" borderId="0" xfId="1" applyFont="1"/>
    <xf numFmtId="9" fontId="6" fillId="3" borderId="9" xfId="0" applyNumberFormat="1" applyFont="1" applyFill="1" applyBorder="1" applyAlignment="1">
      <alignment horizontal="center"/>
    </xf>
    <xf numFmtId="9" fontId="6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9" fontId="6" fillId="3" borderId="4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20" xfId="0" applyFont="1" applyBorder="1" applyAlignment="1">
      <alignment vertical="center"/>
    </xf>
    <xf numFmtId="0" fontId="6" fillId="7" borderId="7" xfId="0" applyFont="1" applyFill="1" applyBorder="1" applyAlignment="1" applyProtection="1">
      <alignment horizontal="center"/>
      <protection locked="0"/>
    </xf>
    <xf numFmtId="0" fontId="14" fillId="9" borderId="7" xfId="0" applyFont="1" applyFill="1" applyBorder="1" applyAlignment="1" applyProtection="1">
      <alignment horizontal="center" vertical="center"/>
      <protection locked="0"/>
    </xf>
    <xf numFmtId="0" fontId="6" fillId="15" borderId="0" xfId="0" applyFont="1" applyFill="1" applyAlignment="1" applyProtection="1">
      <alignment horizontal="center" vertical="center"/>
      <protection locked="0"/>
    </xf>
    <xf numFmtId="0" fontId="6" fillId="13" borderId="5" xfId="0" applyFont="1" applyFill="1" applyBorder="1" applyAlignment="1" applyProtection="1">
      <alignment horizontal="center" vertical="center"/>
      <protection locked="0"/>
    </xf>
    <xf numFmtId="0" fontId="18" fillId="1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9" fontId="6" fillId="2" borderId="4" xfId="0" quotePrefix="1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9" fontId="6" fillId="3" borderId="4" xfId="1" applyFont="1" applyFill="1" applyBorder="1" applyAlignment="1" applyProtection="1">
      <alignment horizontal="center"/>
    </xf>
    <xf numFmtId="9" fontId="6" fillId="2" borderId="9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" fontId="6" fillId="2" borderId="4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0" fillId="10" borderId="0" xfId="0" applyFill="1"/>
    <xf numFmtId="0" fontId="11" fillId="10" borderId="0" xfId="0" applyFont="1" applyFill="1" applyAlignment="1">
      <alignment horizontal="center"/>
    </xf>
    <xf numFmtId="0" fontId="1" fillId="10" borderId="0" xfId="0" applyFont="1" applyFill="1"/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9" fontId="6" fillId="2" borderId="4" xfId="1" applyFont="1" applyFill="1" applyBorder="1" applyAlignment="1" applyProtection="1">
      <alignment horizontal="center"/>
    </xf>
    <xf numFmtId="2" fontId="6" fillId="2" borderId="15" xfId="0" applyNumberFormat="1" applyFont="1" applyFill="1" applyBorder="1" applyAlignment="1">
      <alignment horizontal="center"/>
    </xf>
    <xf numFmtId="9" fontId="6" fillId="3" borderId="9" xfId="1" applyFont="1" applyFill="1" applyBorder="1" applyAlignment="1" applyProtection="1">
      <alignment horizontal="center"/>
    </xf>
    <xf numFmtId="2" fontId="6" fillId="3" borderId="7" xfId="0" applyNumberFormat="1" applyFont="1" applyFill="1" applyBorder="1" applyAlignment="1">
      <alignment horizontal="center"/>
    </xf>
    <xf numFmtId="1" fontId="11" fillId="11" borderId="0" xfId="0" applyNumberFormat="1" applyFont="1" applyFill="1" applyAlignment="1">
      <alignment horizontal="center"/>
    </xf>
    <xf numFmtId="1" fontId="11" fillId="11" borderId="13" xfId="0" applyNumberFormat="1" applyFont="1" applyFill="1" applyBorder="1" applyAlignment="1">
      <alignment horizontal="center"/>
    </xf>
    <xf numFmtId="9" fontId="11" fillId="11" borderId="0" xfId="1" applyFont="1" applyFill="1" applyAlignment="1" applyProtection="1">
      <alignment horizontal="center"/>
    </xf>
    <xf numFmtId="1" fontId="1" fillId="0" borderId="0" xfId="0" applyNumberFormat="1" applyFont="1"/>
    <xf numFmtId="1" fontId="11" fillId="11" borderId="5" xfId="0" applyNumberFormat="1" applyFont="1" applyFill="1" applyBorder="1" applyAlignment="1">
      <alignment horizontal="center"/>
    </xf>
    <xf numFmtId="9" fontId="6" fillId="2" borderId="9" xfId="1" applyFont="1" applyFill="1" applyBorder="1" applyAlignment="1" applyProtection="1">
      <alignment horizontal="center"/>
    </xf>
    <xf numFmtId="9" fontId="11" fillId="11" borderId="0" xfId="1" applyFont="1" applyFill="1" applyBorder="1" applyAlignment="1" applyProtection="1">
      <alignment horizontal="center"/>
    </xf>
    <xf numFmtId="1" fontId="11" fillId="0" borderId="0" xfId="0" applyNumberFormat="1" applyFont="1" applyAlignment="1">
      <alignment horizontal="center"/>
    </xf>
    <xf numFmtId="9" fontId="11" fillId="0" borderId="0" xfId="1" applyFont="1" applyAlignment="1" applyProtection="1">
      <alignment horizontal="center"/>
    </xf>
    <xf numFmtId="2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/>
    </xf>
    <xf numFmtId="164" fontId="6" fillId="2" borderId="11" xfId="0" quotePrefix="1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9" fontId="6" fillId="3" borderId="5" xfId="1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0" fillId="0" borderId="0" xfId="0" applyNumberFormat="1"/>
    <xf numFmtId="9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1" fontId="6" fillId="11" borderId="0" xfId="0" applyNumberFormat="1" applyFont="1" applyFill="1" applyAlignment="1">
      <alignment horizontal="center"/>
    </xf>
    <xf numFmtId="1" fontId="6" fillId="11" borderId="5" xfId="0" applyNumberFormat="1" applyFont="1" applyFill="1" applyBorder="1" applyAlignment="1">
      <alignment horizontal="center"/>
    </xf>
    <xf numFmtId="9" fontId="6" fillId="11" borderId="0" xfId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12" fillId="0" borderId="25" xfId="0" applyFont="1" applyBorder="1" applyAlignment="1">
      <alignment vertical="center"/>
    </xf>
    <xf numFmtId="9" fontId="11" fillId="6" borderId="27" xfId="1" applyFont="1" applyFill="1" applyBorder="1" applyAlignment="1" applyProtection="1">
      <alignment horizontal="center" vertical="center"/>
    </xf>
    <xf numFmtId="3" fontId="11" fillId="13" borderId="28" xfId="0" applyNumberFormat="1" applyFont="1" applyFill="1" applyBorder="1" applyAlignment="1">
      <alignment horizontal="center" vertical="center"/>
    </xf>
    <xf numFmtId="3" fontId="19" fillId="9" borderId="27" xfId="0" applyNumberFormat="1" applyFont="1" applyFill="1" applyBorder="1" applyAlignment="1">
      <alignment horizontal="center" vertical="center"/>
    </xf>
    <xf numFmtId="3" fontId="20" fillId="12" borderId="28" xfId="0" applyNumberFormat="1" applyFont="1" applyFill="1" applyBorder="1" applyAlignment="1">
      <alignment horizontal="center" vertical="center"/>
    </xf>
    <xf numFmtId="9" fontId="11" fillId="15" borderId="25" xfId="1" applyFont="1" applyFill="1" applyBorder="1" applyAlignment="1" applyProtection="1">
      <alignment horizontal="center" vertical="center"/>
    </xf>
    <xf numFmtId="9" fontId="6" fillId="6" borderId="7" xfId="1" applyFont="1" applyFill="1" applyBorder="1" applyAlignment="1" applyProtection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9" fontId="6" fillId="15" borderId="0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9" fontId="6" fillId="6" borderId="19" xfId="1" applyFont="1" applyFill="1" applyBorder="1" applyAlignment="1" applyProtection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left"/>
    </xf>
    <xf numFmtId="0" fontId="4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top"/>
    </xf>
    <xf numFmtId="0" fontId="24" fillId="0" borderId="0" xfId="0" applyFont="1" applyAlignment="1">
      <alignment vertical="center"/>
    </xf>
    <xf numFmtId="9" fontId="21" fillId="3" borderId="4" xfId="0" applyNumberFormat="1" applyFont="1" applyFill="1" applyBorder="1" applyAlignment="1">
      <alignment horizontal="center" vertical="center" wrapText="1"/>
    </xf>
    <xf numFmtId="164" fontId="21" fillId="3" borderId="5" xfId="0" applyNumberFormat="1" applyFont="1" applyFill="1" applyBorder="1" applyAlignment="1">
      <alignment horizontal="center" vertical="center" wrapText="1"/>
    </xf>
    <xf numFmtId="9" fontId="21" fillId="3" borderId="9" xfId="0" applyNumberFormat="1" applyFont="1" applyFill="1" applyBorder="1" applyAlignment="1">
      <alignment horizontal="center" vertical="center" wrapText="1"/>
    </xf>
    <xf numFmtId="9" fontId="23" fillId="3" borderId="5" xfId="0" applyNumberFormat="1" applyFont="1" applyFill="1" applyBorder="1" applyAlignment="1">
      <alignment horizontal="center" vertical="center" wrapText="1"/>
    </xf>
    <xf numFmtId="9" fontId="24" fillId="0" borderId="10" xfId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9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 vertical="center"/>
    </xf>
    <xf numFmtId="9" fontId="1" fillId="3" borderId="5" xfId="1" applyFont="1" applyFill="1" applyBorder="1" applyAlignment="1" applyProtection="1">
      <alignment horizontal="center" vertical="center"/>
    </xf>
    <xf numFmtId="9" fontId="21" fillId="0" borderId="10" xfId="1" applyFont="1" applyBorder="1" applyAlignment="1" applyProtection="1">
      <alignment horizontal="center" vertical="center"/>
    </xf>
    <xf numFmtId="164" fontId="6" fillId="3" borderId="5" xfId="0" applyNumberFormat="1" applyFont="1" applyFill="1" applyBorder="1" applyAlignment="1">
      <alignment horizontal="center"/>
    </xf>
    <xf numFmtId="9" fontId="4" fillId="0" borderId="10" xfId="1" applyFont="1" applyBorder="1" applyAlignment="1" applyProtection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vertical="center"/>
    </xf>
    <xf numFmtId="0" fontId="24" fillId="11" borderId="0" xfId="0" applyFont="1" applyFill="1" applyAlignment="1">
      <alignment vertical="center"/>
    </xf>
    <xf numFmtId="0" fontId="1" fillId="11" borderId="31" xfId="0" applyFont="1" applyFill="1" applyBorder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9" fontId="1" fillId="11" borderId="31" xfId="0" applyNumberFormat="1" applyFont="1" applyFill="1" applyBorder="1" applyAlignment="1">
      <alignment horizontal="center" vertical="center"/>
    </xf>
    <xf numFmtId="9" fontId="1" fillId="11" borderId="31" xfId="1" applyFont="1" applyFill="1" applyBorder="1" applyAlignment="1" applyProtection="1">
      <alignment horizontal="center" vertical="center"/>
    </xf>
    <xf numFmtId="164" fontId="1" fillId="11" borderId="31" xfId="0" applyNumberFormat="1" applyFont="1" applyFill="1" applyBorder="1" applyAlignment="1">
      <alignment horizontal="center" vertical="center"/>
    </xf>
    <xf numFmtId="9" fontId="21" fillId="11" borderId="31" xfId="1" applyFont="1" applyFill="1" applyBorder="1" applyAlignment="1" applyProtection="1">
      <alignment horizontal="center" vertical="center"/>
    </xf>
    <xf numFmtId="9" fontId="1" fillId="11" borderId="0" xfId="0" applyNumberFormat="1" applyFont="1" applyFill="1" applyAlignment="1">
      <alignment horizontal="center" vertical="center"/>
    </xf>
    <xf numFmtId="9" fontId="1" fillId="11" borderId="0" xfId="1" applyFont="1" applyFill="1" applyBorder="1" applyAlignment="1" applyProtection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9" fontId="21" fillId="11" borderId="0" xfId="1" applyFont="1" applyFill="1" applyBorder="1" applyAlignment="1" applyProtection="1">
      <alignment horizontal="center" vertical="center"/>
    </xf>
    <xf numFmtId="9" fontId="21" fillId="11" borderId="1" xfId="0" applyNumberFormat="1" applyFont="1" applyFill="1" applyBorder="1" applyAlignment="1">
      <alignment horizontal="center" vertical="center" wrapText="1"/>
    </xf>
    <xf numFmtId="164" fontId="21" fillId="11" borderId="1" xfId="0" applyNumberFormat="1" applyFont="1" applyFill="1" applyBorder="1" applyAlignment="1">
      <alignment horizontal="center" vertical="center" wrapText="1"/>
    </xf>
    <xf numFmtId="9" fontId="23" fillId="11" borderId="1" xfId="0" applyNumberFormat="1" applyFont="1" applyFill="1" applyBorder="1" applyAlignment="1">
      <alignment horizontal="center" vertical="center" wrapText="1"/>
    </xf>
    <xf numFmtId="9" fontId="24" fillId="11" borderId="1" xfId="1" applyFont="1" applyFill="1" applyBorder="1" applyAlignment="1" applyProtection="1">
      <alignment horizontal="center" vertical="center"/>
    </xf>
    <xf numFmtId="9" fontId="21" fillId="11" borderId="0" xfId="0" applyNumberFormat="1" applyFont="1" applyFill="1" applyAlignment="1">
      <alignment horizontal="center" vertical="center" wrapText="1"/>
    </xf>
    <xf numFmtId="164" fontId="21" fillId="11" borderId="0" xfId="0" applyNumberFormat="1" applyFont="1" applyFill="1" applyAlignment="1">
      <alignment horizontal="center" vertical="center" wrapText="1"/>
    </xf>
    <xf numFmtId="9" fontId="23" fillId="11" borderId="0" xfId="0" applyNumberFormat="1" applyFont="1" applyFill="1" applyAlignment="1">
      <alignment horizontal="center" vertical="center" wrapText="1"/>
    </xf>
    <xf numFmtId="9" fontId="24" fillId="11" borderId="0" xfId="1" applyFont="1" applyFill="1" applyBorder="1" applyAlignment="1" applyProtection="1">
      <alignment horizontal="center" vertical="center"/>
    </xf>
    <xf numFmtId="0" fontId="24" fillId="11" borderId="32" xfId="0" applyFont="1" applyFill="1" applyBorder="1" applyAlignment="1">
      <alignment vertical="center"/>
    </xf>
    <xf numFmtId="9" fontId="21" fillId="11" borderId="32" xfId="0" applyNumberFormat="1" applyFont="1" applyFill="1" applyBorder="1" applyAlignment="1">
      <alignment horizontal="center" vertical="center" wrapText="1"/>
    </xf>
    <xf numFmtId="164" fontId="21" fillId="11" borderId="32" xfId="0" applyNumberFormat="1" applyFont="1" applyFill="1" applyBorder="1" applyAlignment="1">
      <alignment horizontal="center" vertical="center" wrapText="1"/>
    </xf>
    <xf numFmtId="9" fontId="23" fillId="11" borderId="32" xfId="0" applyNumberFormat="1" applyFont="1" applyFill="1" applyBorder="1" applyAlignment="1">
      <alignment horizontal="center" vertical="center" wrapText="1"/>
    </xf>
    <xf numFmtId="9" fontId="24" fillId="11" borderId="32" xfId="1" applyFont="1" applyFill="1" applyBorder="1" applyAlignment="1" applyProtection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0" fontId="4" fillId="11" borderId="3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1" fontId="6" fillId="8" borderId="7" xfId="1" applyNumberFormat="1" applyFont="1" applyFill="1" applyBorder="1" applyAlignment="1" applyProtection="1">
      <alignment horizontal="center" vertical="center"/>
      <protection locked="0"/>
    </xf>
    <xf numFmtId="17" fontId="1" fillId="14" borderId="34" xfId="0" applyNumberFormat="1" applyFont="1" applyFill="1" applyBorder="1" applyAlignment="1" applyProtection="1">
      <alignment horizontal="center" vertical="center"/>
      <protection locked="0"/>
    </xf>
    <xf numFmtId="1" fontId="6" fillId="8" borderId="19" xfId="1" applyNumberFormat="1" applyFont="1" applyFill="1" applyBorder="1" applyAlignment="1" applyProtection="1">
      <alignment horizontal="center" vertical="center"/>
    </xf>
    <xf numFmtId="1" fontId="6" fillId="8" borderId="7" xfId="1" applyNumberFormat="1" applyFont="1" applyFill="1" applyBorder="1" applyAlignment="1" applyProtection="1">
      <alignment horizontal="center" vertical="center"/>
    </xf>
    <xf numFmtId="1" fontId="11" fillId="8" borderId="2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indent="1"/>
    </xf>
    <xf numFmtId="0" fontId="26" fillId="0" borderId="25" xfId="0" applyFont="1" applyBorder="1"/>
    <xf numFmtId="9" fontId="26" fillId="2" borderId="26" xfId="0" applyNumberFormat="1" applyFont="1" applyFill="1" applyBorder="1" applyAlignment="1">
      <alignment horizontal="center"/>
    </xf>
    <xf numFmtId="2" fontId="26" fillId="2" borderId="27" xfId="0" applyNumberFormat="1" applyFont="1" applyFill="1" applyBorder="1" applyAlignment="1">
      <alignment horizontal="center"/>
    </xf>
    <xf numFmtId="9" fontId="26" fillId="3" borderId="29" xfId="1" applyFont="1" applyFill="1" applyBorder="1" applyAlignment="1" applyProtection="1">
      <alignment horizontal="center"/>
    </xf>
    <xf numFmtId="2" fontId="26" fillId="3" borderId="28" xfId="0" applyNumberFormat="1" applyFont="1" applyFill="1" applyBorder="1" applyAlignment="1">
      <alignment horizontal="center"/>
    </xf>
    <xf numFmtId="2" fontId="26" fillId="3" borderId="30" xfId="0" applyNumberFormat="1" applyFont="1" applyFill="1" applyBorder="1" applyAlignment="1">
      <alignment horizontal="center"/>
    </xf>
    <xf numFmtId="1" fontId="26" fillId="2" borderId="26" xfId="0" applyNumberFormat="1" applyFont="1" applyFill="1" applyBorder="1" applyAlignment="1">
      <alignment horizontal="center"/>
    </xf>
    <xf numFmtId="164" fontId="26" fillId="2" borderId="28" xfId="0" applyNumberFormat="1" applyFont="1" applyFill="1" applyBorder="1" applyAlignment="1">
      <alignment horizontal="center"/>
    </xf>
    <xf numFmtId="9" fontId="26" fillId="2" borderId="29" xfId="0" applyNumberFormat="1" applyFont="1" applyFill="1" applyBorder="1" applyAlignment="1">
      <alignment horizontal="center"/>
    </xf>
    <xf numFmtId="9" fontId="26" fillId="3" borderId="29" xfId="0" applyNumberFormat="1" applyFont="1" applyFill="1" applyBorder="1" applyAlignment="1">
      <alignment horizontal="center"/>
    </xf>
    <xf numFmtId="9" fontId="26" fillId="2" borderId="29" xfId="1" applyFont="1" applyFill="1" applyBorder="1" applyAlignment="1" applyProtection="1">
      <alignment horizontal="center"/>
    </xf>
    <xf numFmtId="2" fontId="26" fillId="2" borderId="30" xfId="0" applyNumberFormat="1" applyFont="1" applyFill="1" applyBorder="1" applyAlignment="1">
      <alignment horizontal="center"/>
    </xf>
    <xf numFmtId="9" fontId="26" fillId="3" borderId="26" xfId="1" applyFont="1" applyFill="1" applyBorder="1" applyAlignment="1" applyProtection="1">
      <alignment horizontal="center"/>
    </xf>
    <xf numFmtId="2" fontId="26" fillId="3" borderId="27" xfId="0" applyNumberFormat="1" applyFont="1" applyFill="1" applyBorder="1" applyAlignment="1">
      <alignment horizontal="center"/>
    </xf>
    <xf numFmtId="1" fontId="12" fillId="11" borderId="25" xfId="0" applyNumberFormat="1" applyFont="1" applyFill="1" applyBorder="1" applyAlignment="1">
      <alignment horizontal="center"/>
    </xf>
    <xf numFmtId="1" fontId="12" fillId="11" borderId="28" xfId="0" applyNumberFormat="1" applyFont="1" applyFill="1" applyBorder="1" applyAlignment="1">
      <alignment horizontal="center"/>
    </xf>
    <xf numFmtId="9" fontId="12" fillId="11" borderId="25" xfId="1" applyFont="1" applyFill="1" applyBorder="1" applyAlignment="1" applyProtection="1">
      <alignment horizontal="center"/>
    </xf>
    <xf numFmtId="2" fontId="6" fillId="3" borderId="18" xfId="0" applyNumberFormat="1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0" fontId="12" fillId="3" borderId="10" xfId="0" quotePrefix="1" applyFont="1" applyFill="1" applyBorder="1" applyAlignment="1">
      <alignment horizontal="centerContinuous" vertical="center" wrapText="1"/>
    </xf>
    <xf numFmtId="0" fontId="12" fillId="3" borderId="0" xfId="0" applyFont="1" applyFill="1" applyAlignment="1">
      <alignment horizontal="centerContinuous" vertical="center" wrapText="1"/>
    </xf>
    <xf numFmtId="0" fontId="12" fillId="3" borderId="11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14" fillId="9" borderId="10" xfId="0" quotePrefix="1" applyFont="1" applyFill="1" applyBorder="1" applyAlignment="1">
      <alignment horizontal="centerContinuous" vertical="center" wrapText="1"/>
    </xf>
    <xf numFmtId="0" fontId="14" fillId="9" borderId="0" xfId="0" applyFont="1" applyFill="1" applyAlignment="1">
      <alignment horizontal="centerContinuous" vertical="center" wrapText="1"/>
    </xf>
    <xf numFmtId="0" fontId="14" fillId="9" borderId="11" xfId="0" applyFont="1" applyFill="1" applyBorder="1" applyAlignment="1">
      <alignment horizontal="centerContinuous" vertical="center" wrapText="1"/>
    </xf>
    <xf numFmtId="9" fontId="6" fillId="3" borderId="18" xfId="0" applyNumberFormat="1" applyFont="1" applyFill="1" applyBorder="1" applyAlignment="1">
      <alignment horizontal="centerContinuous"/>
    </xf>
    <xf numFmtId="9" fontId="6" fillId="3" borderId="9" xfId="0" applyNumberFormat="1" applyFont="1" applyFill="1" applyBorder="1" applyAlignment="1">
      <alignment horizontal="centerContinuous"/>
    </xf>
    <xf numFmtId="0" fontId="6" fillId="3" borderId="16" xfId="0" applyFont="1" applyFill="1" applyBorder="1" applyAlignment="1">
      <alignment horizontal="centerContinuous" vertical="center" wrapText="1"/>
    </xf>
    <xf numFmtId="9" fontId="6" fillId="3" borderId="17" xfId="0" applyNumberFormat="1" applyFont="1" applyFill="1" applyBorder="1" applyAlignment="1">
      <alignment horizontal="centerContinuous"/>
    </xf>
    <xf numFmtId="9" fontId="6" fillId="3" borderId="10" xfId="0" applyNumberFormat="1" applyFont="1" applyFill="1" applyBorder="1" applyAlignment="1">
      <alignment horizontal="centerContinuous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/>
    </xf>
    <xf numFmtId="1" fontId="11" fillId="4" borderId="26" xfId="0" applyNumberFormat="1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1" fontId="11" fillId="5" borderId="27" xfId="0" applyNumberFormat="1" applyFont="1" applyFill="1" applyBorder="1" applyAlignment="1">
      <alignment horizontal="center" vertical="center"/>
    </xf>
    <xf numFmtId="1" fontId="11" fillId="7" borderId="27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 applyProtection="1">
      <alignment horizont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17" fontId="6" fillId="0" borderId="5" xfId="0" applyNumberFormat="1" applyFont="1" applyBorder="1" applyAlignment="1">
      <alignment horizontal="left"/>
    </xf>
    <xf numFmtId="0" fontId="6" fillId="0" borderId="5" xfId="0" applyFont="1" applyBorder="1"/>
    <xf numFmtId="0" fontId="26" fillId="0" borderId="3" xfId="0" applyFont="1" applyBorder="1" applyAlignment="1">
      <alignment horizontal="left"/>
    </xf>
    <xf numFmtId="0" fontId="26" fillId="0" borderId="3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1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/>
    <xf numFmtId="0" fontId="2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6" fillId="15" borderId="0" xfId="1" applyFont="1" applyFill="1" applyAlignment="1" applyProtection="1">
      <alignment horizontal="center" vertical="center"/>
      <protection locked="0"/>
    </xf>
    <xf numFmtId="9" fontId="6" fillId="15" borderId="0" xfId="1" applyFont="1" applyFill="1" applyAlignment="1">
      <alignment horizontal="center" vertical="center"/>
    </xf>
    <xf numFmtId="17" fontId="6" fillId="0" borderId="25" xfId="0" applyNumberFormat="1" applyFont="1" applyBorder="1" applyAlignment="1">
      <alignment horizontal="center"/>
    </xf>
    <xf numFmtId="0" fontId="0" fillId="0" borderId="25" xfId="0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17" fontId="30" fillId="0" borderId="0" xfId="0" applyNumberFormat="1" applyFont="1" applyAlignment="1">
      <alignment horizontal="left"/>
    </xf>
    <xf numFmtId="17" fontId="30" fillId="0" borderId="0" xfId="0" applyNumberFormat="1" applyFont="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7" fontId="30" fillId="0" borderId="0" xfId="0" applyNumberFormat="1" applyFont="1" applyAlignment="1">
      <alignment horizontal="left" vertical="center"/>
    </xf>
    <xf numFmtId="0" fontId="32" fillId="0" borderId="0" xfId="0" applyFont="1"/>
    <xf numFmtId="166" fontId="33" fillId="0" borderId="0" xfId="0" applyNumberFormat="1" applyFont="1" applyAlignment="1">
      <alignment horizontal="left"/>
    </xf>
    <xf numFmtId="0" fontId="30" fillId="0" borderId="35" xfId="0" applyFont="1" applyBorder="1" applyAlignment="1">
      <alignment horizontal="left" vertical="center" indent="1"/>
    </xf>
    <xf numFmtId="0" fontId="30" fillId="0" borderId="35" xfId="0" applyFont="1" applyBorder="1" applyAlignment="1">
      <alignment horizontal="left" vertical="center" wrapText="1" indent="1"/>
    </xf>
    <xf numFmtId="9" fontId="14" fillId="9" borderId="5" xfId="1" applyFont="1" applyFill="1" applyBorder="1" applyAlignment="1" applyProtection="1">
      <alignment horizontal="center"/>
    </xf>
    <xf numFmtId="9" fontId="14" fillId="9" borderId="9" xfId="1" applyFont="1" applyFill="1" applyBorder="1" applyAlignment="1" applyProtection="1">
      <alignment horizontal="center"/>
    </xf>
    <xf numFmtId="9" fontId="14" fillId="9" borderId="5" xfId="0" applyNumberFormat="1" applyFont="1" applyFill="1" applyBorder="1" applyAlignment="1">
      <alignment horizontal="center"/>
    </xf>
    <xf numFmtId="9" fontId="14" fillId="9" borderId="7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0" fillId="0" borderId="25" xfId="0" applyBorder="1" applyAlignment="1">
      <alignment horizont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7" borderId="27" xfId="0" applyNumberFormat="1" applyFont="1" applyFill="1" applyBorder="1" applyAlignment="1">
      <alignment horizontal="center"/>
    </xf>
    <xf numFmtId="9" fontId="6" fillId="6" borderId="27" xfId="1" applyFont="1" applyFill="1" applyBorder="1" applyAlignment="1" applyProtection="1">
      <alignment horizontal="center" vertical="center"/>
    </xf>
    <xf numFmtId="1" fontId="6" fillId="8" borderId="27" xfId="1" applyNumberFormat="1" applyFont="1" applyFill="1" applyBorder="1" applyAlignment="1" applyProtection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9" fontId="6" fillId="15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9" fontId="6" fillId="15" borderId="0" xfId="1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indent="1"/>
    </xf>
    <xf numFmtId="0" fontId="35" fillId="0" borderId="0" xfId="0" applyFont="1"/>
    <xf numFmtId="0" fontId="35" fillId="0" borderId="0" xfId="0" applyFont="1" applyAlignment="1">
      <alignment horizontal="left"/>
    </xf>
    <xf numFmtId="0" fontId="34" fillId="16" borderId="43" xfId="0" applyFont="1" applyFill="1" applyBorder="1" applyAlignment="1">
      <alignment horizontal="center" vertical="center" wrapText="1"/>
    </xf>
    <xf numFmtId="0" fontId="34" fillId="16" borderId="44" xfId="0" applyFont="1" applyFill="1" applyBorder="1" applyAlignment="1">
      <alignment horizontal="center" vertical="center"/>
    </xf>
    <xf numFmtId="17" fontId="31" fillId="2" borderId="39" xfId="0" applyNumberFormat="1" applyFont="1" applyFill="1" applyBorder="1" applyAlignment="1">
      <alignment horizontal="center" vertical="center"/>
    </xf>
    <xf numFmtId="17" fontId="31" fillId="2" borderId="40" xfId="0" applyNumberFormat="1" applyFont="1" applyFill="1" applyBorder="1" applyAlignment="1">
      <alignment horizontal="center" vertical="center"/>
    </xf>
    <xf numFmtId="17" fontId="31" fillId="2" borderId="38" xfId="0" applyNumberFormat="1" applyFont="1" applyFill="1" applyBorder="1" applyAlignment="1">
      <alignment horizontal="center" vertical="center"/>
    </xf>
    <xf numFmtId="9" fontId="37" fillId="11" borderId="47" xfId="1" applyFont="1" applyFill="1" applyBorder="1" applyAlignment="1">
      <alignment horizontal="center" vertical="center"/>
    </xf>
    <xf numFmtId="9" fontId="37" fillId="11" borderId="48" xfId="1" applyFont="1" applyFill="1" applyBorder="1" applyAlignment="1">
      <alignment horizontal="center" vertical="center"/>
    </xf>
    <xf numFmtId="9" fontId="37" fillId="11" borderId="49" xfId="1" applyFont="1" applyFill="1" applyBorder="1" applyAlignment="1">
      <alignment horizontal="center" vertical="center"/>
    </xf>
    <xf numFmtId="9" fontId="37" fillId="11" borderId="50" xfId="1" applyFont="1" applyFill="1" applyBorder="1" applyAlignment="1">
      <alignment horizontal="center" vertical="center"/>
    </xf>
    <xf numFmtId="9" fontId="37" fillId="11" borderId="41" xfId="1" applyFont="1" applyFill="1" applyBorder="1" applyAlignment="1">
      <alignment horizontal="center" vertical="center"/>
    </xf>
    <xf numFmtId="9" fontId="37" fillId="11" borderId="51" xfId="1" applyFont="1" applyFill="1" applyBorder="1" applyAlignment="1">
      <alignment horizontal="center" vertical="center"/>
    </xf>
    <xf numFmtId="164" fontId="37" fillId="11" borderId="50" xfId="1" applyNumberFormat="1" applyFont="1" applyFill="1" applyBorder="1" applyAlignment="1">
      <alignment horizontal="center" vertical="center"/>
    </xf>
    <xf numFmtId="164" fontId="37" fillId="11" borderId="41" xfId="1" applyNumberFormat="1" applyFont="1" applyFill="1" applyBorder="1" applyAlignment="1">
      <alignment horizontal="center" vertical="center"/>
    </xf>
    <xf numFmtId="164" fontId="37" fillId="11" borderId="51" xfId="1" applyNumberFormat="1" applyFont="1" applyFill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7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7" fontId="39" fillId="0" borderId="0" xfId="0" applyNumberFormat="1" applyFont="1" applyAlignment="1">
      <alignment horizontal="center"/>
    </xf>
    <xf numFmtId="0" fontId="40" fillId="9" borderId="54" xfId="0" applyFont="1" applyFill="1" applyBorder="1" applyAlignment="1">
      <alignment horizontal="center" vertical="center"/>
    </xf>
    <xf numFmtId="0" fontId="41" fillId="17" borderId="57" xfId="0" applyFont="1" applyFill="1" applyBorder="1" applyAlignment="1">
      <alignment vertical="center"/>
    </xf>
    <xf numFmtId="0" fontId="18" fillId="11" borderId="22" xfId="0" quotePrefix="1" applyFont="1" applyFill="1" applyBorder="1" applyAlignment="1" applyProtection="1">
      <alignment horizontal="center" vertical="center" wrapText="1"/>
      <protection locked="0"/>
    </xf>
    <xf numFmtId="9" fontId="42" fillId="11" borderId="32" xfId="0" quotePrefix="1" applyNumberFormat="1" applyFont="1" applyFill="1" applyBorder="1" applyAlignment="1">
      <alignment horizontal="center" vertical="center" wrapText="1"/>
    </xf>
    <xf numFmtId="9" fontId="42" fillId="11" borderId="9" xfId="0" quotePrefix="1" applyNumberFormat="1" applyFont="1" applyFill="1" applyBorder="1" applyAlignment="1">
      <alignment horizontal="center" vertical="center" wrapText="1"/>
    </xf>
    <xf numFmtId="9" fontId="42" fillId="11" borderId="1" xfId="0" quotePrefix="1" applyNumberFormat="1" applyFont="1" applyFill="1" applyBorder="1" applyAlignment="1">
      <alignment horizontal="center" vertical="center" wrapText="1"/>
    </xf>
    <xf numFmtId="9" fontId="42" fillId="11" borderId="0" xfId="0" quotePrefix="1" applyNumberFormat="1" applyFont="1" applyFill="1" applyAlignment="1">
      <alignment horizontal="center" vertical="center" wrapText="1"/>
    </xf>
    <xf numFmtId="9" fontId="43" fillId="11" borderId="9" xfId="1" applyFont="1" applyFill="1" applyBorder="1" applyAlignment="1" applyProtection="1">
      <alignment horizontal="center" vertical="center"/>
    </xf>
    <xf numFmtId="9" fontId="43" fillId="11" borderId="31" xfId="1" applyFont="1" applyFill="1" applyBorder="1" applyAlignment="1" applyProtection="1">
      <alignment horizontal="center" vertical="center"/>
    </xf>
    <xf numFmtId="9" fontId="43" fillId="11" borderId="0" xfId="1" applyFont="1" applyFill="1" applyBorder="1" applyAlignment="1" applyProtection="1">
      <alignment horizontal="center" vertical="center"/>
    </xf>
    <xf numFmtId="9" fontId="18" fillId="11" borderId="9" xfId="1" applyFont="1" applyFill="1" applyBorder="1" applyAlignment="1" applyProtection="1">
      <alignment horizontal="center"/>
    </xf>
    <xf numFmtId="0" fontId="18" fillId="11" borderId="23" xfId="0" quotePrefix="1" applyFont="1" applyFill="1" applyBorder="1" applyAlignment="1" applyProtection="1">
      <alignment horizontal="center" vertical="center" wrapText="1"/>
      <protection locked="0"/>
    </xf>
    <xf numFmtId="9" fontId="42" fillId="11" borderId="5" xfId="0" quotePrefix="1" applyNumberFormat="1" applyFont="1" applyFill="1" applyBorder="1" applyAlignment="1">
      <alignment horizontal="center" vertical="center" wrapText="1"/>
    </xf>
    <xf numFmtId="9" fontId="43" fillId="11" borderId="5" xfId="1" applyFont="1" applyFill="1" applyBorder="1" applyAlignment="1" applyProtection="1">
      <alignment horizontal="center" vertical="center"/>
    </xf>
    <xf numFmtId="9" fontId="18" fillId="11" borderId="5" xfId="1" applyFont="1" applyFill="1" applyBorder="1" applyAlignment="1" applyProtection="1">
      <alignment horizontal="center"/>
    </xf>
    <xf numFmtId="0" fontId="18" fillId="11" borderId="23" xfId="0" applyFont="1" applyFill="1" applyBorder="1" applyAlignment="1">
      <alignment horizontal="center" vertical="center" wrapText="1"/>
    </xf>
    <xf numFmtId="9" fontId="42" fillId="11" borderId="32" xfId="0" applyNumberFormat="1" applyFont="1" applyFill="1" applyBorder="1" applyAlignment="1">
      <alignment horizontal="center" vertical="center" wrapText="1"/>
    </xf>
    <xf numFmtId="9" fontId="42" fillId="11" borderId="5" xfId="0" applyNumberFormat="1" applyFont="1" applyFill="1" applyBorder="1" applyAlignment="1">
      <alignment horizontal="center" vertical="center" wrapText="1"/>
    </xf>
    <xf numFmtId="9" fontId="42" fillId="11" borderId="1" xfId="0" applyNumberFormat="1" applyFont="1" applyFill="1" applyBorder="1" applyAlignment="1">
      <alignment horizontal="center" vertical="center" wrapText="1"/>
    </xf>
    <xf numFmtId="9" fontId="42" fillId="11" borderId="0" xfId="0" applyNumberFormat="1" applyFont="1" applyFill="1" applyAlignment="1">
      <alignment horizontal="center" vertical="center" wrapText="1"/>
    </xf>
    <xf numFmtId="9" fontId="43" fillId="11" borderId="5" xfId="0" applyNumberFormat="1" applyFont="1" applyFill="1" applyBorder="1" applyAlignment="1">
      <alignment horizontal="center" vertical="center"/>
    </xf>
    <xf numFmtId="9" fontId="43" fillId="11" borderId="31" xfId="0" applyNumberFormat="1" applyFont="1" applyFill="1" applyBorder="1" applyAlignment="1">
      <alignment horizontal="center" vertical="center"/>
    </xf>
    <xf numFmtId="9" fontId="43" fillId="11" borderId="0" xfId="0" applyNumberFormat="1" applyFont="1" applyFill="1" applyAlignment="1">
      <alignment horizontal="center" vertical="center"/>
    </xf>
    <xf numFmtId="9" fontId="18" fillId="11" borderId="5" xfId="0" applyNumberFormat="1" applyFont="1" applyFill="1" applyBorder="1" applyAlignment="1">
      <alignment horizontal="center"/>
    </xf>
    <xf numFmtId="9" fontId="18" fillId="11" borderId="7" xfId="1" applyFont="1" applyFill="1" applyBorder="1" applyAlignment="1" applyProtection="1">
      <alignment horizontal="center"/>
    </xf>
    <xf numFmtId="9" fontId="1" fillId="0" borderId="0" xfId="0" applyNumberFormat="1" applyFont="1"/>
    <xf numFmtId="2" fontId="6" fillId="3" borderId="0" xfId="0" quotePrefix="1" applyNumberFormat="1" applyFont="1" applyFill="1" applyAlignment="1">
      <alignment horizontal="center"/>
    </xf>
    <xf numFmtId="9" fontId="6" fillId="3" borderId="9" xfId="0" quotePrefix="1" applyNumberFormat="1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12" fillId="11" borderId="8" xfId="0" applyFont="1" applyFill="1" applyBorder="1" applyAlignment="1">
      <alignment horizontal="center" vertical="center" wrapText="1"/>
    </xf>
    <xf numFmtId="9" fontId="11" fillId="11" borderId="9" xfId="1" applyFont="1" applyFill="1" applyBorder="1" applyAlignment="1" applyProtection="1">
      <alignment horizontal="center"/>
    </xf>
    <xf numFmtId="0" fontId="12" fillId="11" borderId="1" xfId="0" quotePrefix="1" applyFont="1" applyFill="1" applyBorder="1" applyAlignment="1">
      <alignment horizontal="center" vertical="center" wrapText="1"/>
    </xf>
    <xf numFmtId="10" fontId="1" fillId="0" borderId="0" xfId="0" applyNumberFormat="1" applyFont="1"/>
    <xf numFmtId="0" fontId="13" fillId="0" borderId="0" xfId="0" applyFont="1" applyAlignment="1">
      <alignment horizontal="center"/>
    </xf>
    <xf numFmtId="0" fontId="44" fillId="0" borderId="0" xfId="0" applyFont="1" applyProtection="1">
      <protection locked="0"/>
    </xf>
    <xf numFmtId="0" fontId="3" fillId="0" borderId="0" xfId="0" applyFont="1" applyAlignment="1">
      <alignment horizontal="right" vertical="top"/>
    </xf>
    <xf numFmtId="9" fontId="37" fillId="11" borderId="52" xfId="1" quotePrefix="1" applyFont="1" applyFill="1" applyBorder="1" applyAlignment="1">
      <alignment horizontal="center" vertical="center"/>
    </xf>
    <xf numFmtId="9" fontId="37" fillId="11" borderId="42" xfId="1" quotePrefix="1" applyFont="1" applyFill="1" applyBorder="1" applyAlignment="1">
      <alignment horizontal="center" vertical="center"/>
    </xf>
    <xf numFmtId="9" fontId="37" fillId="11" borderId="53" xfId="1" quotePrefix="1" applyFont="1" applyFill="1" applyBorder="1" applyAlignment="1">
      <alignment horizontal="center" vertical="center"/>
    </xf>
    <xf numFmtId="9" fontId="37" fillId="11" borderId="58" xfId="1" quotePrefix="1" applyFont="1" applyFill="1" applyBorder="1" applyAlignment="1">
      <alignment horizontal="center" vertical="center"/>
    </xf>
    <xf numFmtId="9" fontId="37" fillId="11" borderId="59" xfId="1" quotePrefix="1" applyFont="1" applyFill="1" applyBorder="1" applyAlignment="1">
      <alignment horizontal="center" vertical="center"/>
    </xf>
    <xf numFmtId="9" fontId="37" fillId="11" borderId="60" xfId="1" quotePrefix="1" applyFont="1" applyFill="1" applyBorder="1" applyAlignment="1">
      <alignment horizontal="center" vertical="center"/>
    </xf>
    <xf numFmtId="0" fontId="31" fillId="0" borderId="36" xfId="0" applyFont="1" applyBorder="1" applyAlignment="1">
      <alignment horizontal="left" vertical="center" indent="1"/>
    </xf>
    <xf numFmtId="9" fontId="6" fillId="3" borderId="9" xfId="1" quotePrefix="1" applyFont="1" applyFill="1" applyBorder="1" applyAlignment="1" applyProtection="1">
      <alignment horizontal="center"/>
    </xf>
    <xf numFmtId="0" fontId="45" fillId="11" borderId="0" xfId="0" applyFont="1" applyFill="1" applyAlignment="1">
      <alignment horizontal="center"/>
    </xf>
    <xf numFmtId="0" fontId="46" fillId="11" borderId="0" xfId="0" applyFont="1" applyFill="1" applyAlignment="1">
      <alignment horizontal="left"/>
    </xf>
    <xf numFmtId="0" fontId="46" fillId="11" borderId="0" xfId="0" applyFont="1" applyFill="1" applyAlignment="1">
      <alignment horizontal="center"/>
    </xf>
    <xf numFmtId="0" fontId="47" fillId="11" borderId="0" xfId="0" applyFont="1" applyFill="1" applyAlignment="1">
      <alignment horizontal="center"/>
    </xf>
    <xf numFmtId="0" fontId="47" fillId="11" borderId="0" xfId="0" applyFont="1" applyFill="1"/>
    <xf numFmtId="0" fontId="45" fillId="11" borderId="0" xfId="0" applyFont="1" applyFill="1"/>
    <xf numFmtId="0" fontId="45" fillId="11" borderId="0" xfId="0" applyFont="1" applyFill="1" applyAlignment="1">
      <alignment horizontal="left"/>
    </xf>
    <xf numFmtId="1" fontId="48" fillId="11" borderId="0" xfId="0" applyNumberFormat="1" applyFont="1" applyFill="1" applyAlignment="1">
      <alignment horizontal="center"/>
    </xf>
    <xf numFmtId="0" fontId="45" fillId="11" borderId="1" xfId="0" applyFont="1" applyFill="1" applyBorder="1" applyAlignment="1">
      <alignment horizontal="center"/>
    </xf>
    <xf numFmtId="167" fontId="49" fillId="11" borderId="1" xfId="0" applyNumberFormat="1" applyFont="1" applyFill="1" applyBorder="1" applyAlignment="1">
      <alignment wrapText="1"/>
    </xf>
    <xf numFmtId="167" fontId="49" fillId="11" borderId="1" xfId="0" applyNumberFormat="1" applyFont="1" applyFill="1" applyBorder="1" applyAlignment="1">
      <alignment horizontal="center" wrapText="1"/>
    </xf>
    <xf numFmtId="167" fontId="49" fillId="11" borderId="0" xfId="0" applyNumberFormat="1" applyFont="1" applyFill="1" applyAlignment="1">
      <alignment wrapText="1"/>
    </xf>
    <xf numFmtId="167" fontId="49" fillId="11" borderId="1" xfId="0" applyNumberFormat="1" applyFont="1" applyFill="1" applyBorder="1" applyAlignment="1">
      <alignment horizontal="left" wrapText="1"/>
    </xf>
    <xf numFmtId="167" fontId="50" fillId="11" borderId="0" xfId="0" applyNumberFormat="1" applyFont="1" applyFill="1" applyAlignment="1">
      <alignment horizontal="left" wrapText="1"/>
    </xf>
    <xf numFmtId="167" fontId="50" fillId="11" borderId="0" xfId="0" applyNumberFormat="1" applyFont="1" applyFill="1" applyAlignment="1">
      <alignment wrapText="1"/>
    </xf>
    <xf numFmtId="167" fontId="50" fillId="11" borderId="0" xfId="0" applyNumberFormat="1" applyFont="1" applyFill="1" applyAlignment="1">
      <alignment horizontal="center" wrapText="1"/>
    </xf>
    <xf numFmtId="1" fontId="45" fillId="11" borderId="0" xfId="0" applyNumberFormat="1" applyFont="1" applyFill="1" applyAlignment="1">
      <alignment horizontal="center"/>
    </xf>
    <xf numFmtId="0" fontId="47" fillId="11" borderId="62" xfId="0" applyFont="1" applyFill="1" applyBorder="1"/>
    <xf numFmtId="0" fontId="47" fillId="11" borderId="62" xfId="0" applyFont="1" applyFill="1" applyBorder="1" applyAlignment="1">
      <alignment horizontal="center"/>
    </xf>
    <xf numFmtId="0" fontId="47" fillId="11" borderId="61" xfId="0" applyFont="1" applyFill="1" applyBorder="1" applyAlignment="1">
      <alignment horizontal="center"/>
    </xf>
    <xf numFmtId="0" fontId="47" fillId="4" borderId="62" xfId="0" applyFont="1" applyFill="1" applyBorder="1" applyAlignment="1">
      <alignment horizontal="center"/>
    </xf>
    <xf numFmtId="0" fontId="47" fillId="11" borderId="62" xfId="0" quotePrefix="1" applyFont="1" applyFill="1" applyBorder="1" applyAlignment="1">
      <alignment horizontal="left"/>
    </xf>
    <xf numFmtId="0" fontId="45" fillId="11" borderId="62" xfId="0" applyFont="1" applyFill="1" applyBorder="1" applyAlignment="1">
      <alignment horizontal="left"/>
    </xf>
    <xf numFmtId="165" fontId="51" fillId="11" borderId="62" xfId="0" applyNumberFormat="1" applyFont="1" applyFill="1" applyBorder="1" applyAlignment="1">
      <alignment horizontal="left"/>
    </xf>
    <xf numFmtId="0" fontId="45" fillId="11" borderId="62" xfId="0" applyFont="1" applyFill="1" applyBorder="1" applyAlignment="1">
      <alignment horizontal="center"/>
    </xf>
    <xf numFmtId="0" fontId="47" fillId="11" borderId="0" xfId="0" applyFont="1" applyFill="1" applyAlignment="1">
      <alignment horizontal="left"/>
    </xf>
    <xf numFmtId="0" fontId="45" fillId="0" borderId="0" xfId="0" applyFont="1"/>
    <xf numFmtId="0" fontId="47" fillId="11" borderId="61" xfId="0" applyFont="1" applyFill="1" applyBorder="1"/>
    <xf numFmtId="0" fontId="47" fillId="4" borderId="61" xfId="0" applyFont="1" applyFill="1" applyBorder="1" applyAlignment="1">
      <alignment horizontal="center"/>
    </xf>
    <xf numFmtId="0" fontId="45" fillId="11" borderId="61" xfId="0" applyFont="1" applyFill="1" applyBorder="1" applyAlignment="1">
      <alignment horizontal="left"/>
    </xf>
    <xf numFmtId="165" fontId="51" fillId="11" borderId="61" xfId="0" applyNumberFormat="1" applyFont="1" applyFill="1" applyBorder="1" applyAlignment="1">
      <alignment horizontal="left"/>
    </xf>
    <xf numFmtId="0" fontId="45" fillId="11" borderId="61" xfId="0" applyFont="1" applyFill="1" applyBorder="1" applyAlignment="1">
      <alignment horizontal="center"/>
    </xf>
    <xf numFmtId="0" fontId="47" fillId="11" borderId="61" xfId="0" quotePrefix="1" applyFont="1" applyFill="1" applyBorder="1" applyAlignment="1">
      <alignment horizontal="left"/>
    </xf>
    <xf numFmtId="0" fontId="47" fillId="11" borderId="61" xfId="0" applyFont="1" applyFill="1" applyBorder="1" applyAlignment="1">
      <alignment horizontal="left"/>
    </xf>
    <xf numFmtId="0" fontId="47" fillId="11" borderId="61" xfId="0" applyFont="1" applyFill="1" applyBorder="1" applyAlignment="1">
      <alignment vertical="center"/>
    </xf>
    <xf numFmtId="0" fontId="47" fillId="4" borderId="61" xfId="0" applyFont="1" applyFill="1" applyBorder="1" applyAlignment="1">
      <alignment horizontal="center" vertical="center"/>
    </xf>
    <xf numFmtId="0" fontId="45" fillId="11" borderId="0" xfId="0" applyFont="1" applyFill="1" applyAlignment="1">
      <alignment horizontal="left" vertical="center"/>
    </xf>
    <xf numFmtId="0" fontId="45" fillId="11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7" fillId="4" borderId="61" xfId="0" quotePrefix="1" applyFont="1" applyFill="1" applyBorder="1" applyAlignment="1">
      <alignment horizontal="center"/>
    </xf>
    <xf numFmtId="1" fontId="47" fillId="11" borderId="61" xfId="0" applyNumberFormat="1" applyFont="1" applyFill="1" applyBorder="1"/>
    <xf numFmtId="1" fontId="47" fillId="11" borderId="61" xfId="0" applyNumberFormat="1" applyFont="1" applyFill="1" applyBorder="1" applyAlignment="1">
      <alignment horizontal="left"/>
    </xf>
    <xf numFmtId="1" fontId="45" fillId="11" borderId="0" xfId="0" applyNumberFormat="1" applyFont="1" applyFill="1"/>
    <xf numFmtId="1" fontId="45" fillId="0" borderId="0" xfId="0" applyNumberFormat="1" applyFont="1"/>
    <xf numFmtId="1" fontId="47" fillId="11" borderId="0" xfId="0" applyNumberFormat="1" applyFont="1" applyFill="1"/>
    <xf numFmtId="1" fontId="47" fillId="4" borderId="61" xfId="0" applyNumberFormat="1" applyFont="1" applyFill="1" applyBorder="1" applyAlignment="1">
      <alignment horizontal="center"/>
    </xf>
    <xf numFmtId="0" fontId="47" fillId="11" borderId="61" xfId="0" quotePrefix="1" applyFont="1" applyFill="1" applyBorder="1"/>
    <xf numFmtId="0" fontId="0" fillId="11" borderId="0" xfId="0" applyFill="1"/>
    <xf numFmtId="167" fontId="49" fillId="11" borderId="1" xfId="0" applyNumberFormat="1" applyFont="1" applyFill="1" applyBorder="1" applyAlignment="1">
      <alignment vertical="top" wrapText="1"/>
    </xf>
    <xf numFmtId="167" fontId="50" fillId="11" borderId="0" xfId="0" applyNumberFormat="1" applyFont="1" applyFill="1" applyAlignment="1">
      <alignment vertical="top" wrapText="1"/>
    </xf>
    <xf numFmtId="167" fontId="50" fillId="11" borderId="0" xfId="0" applyNumberFormat="1" applyFont="1" applyFill="1" applyAlignment="1">
      <alignment horizontal="center" vertical="top" wrapText="1"/>
    </xf>
    <xf numFmtId="167" fontId="49" fillId="11" borderId="0" xfId="0" applyNumberFormat="1" applyFont="1" applyFill="1" applyAlignment="1">
      <alignment vertical="top" wrapText="1"/>
    </xf>
    <xf numFmtId="0" fontId="28" fillId="11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14" fillId="11" borderId="0" xfId="0" applyFont="1" applyFill="1" applyAlignment="1">
      <alignment horizontal="left"/>
    </xf>
    <xf numFmtId="17" fontId="6" fillId="11" borderId="0" xfId="0" applyNumberFormat="1" applyFont="1" applyFill="1" applyAlignment="1">
      <alignment horizontal="left"/>
    </xf>
    <xf numFmtId="0" fontId="6" fillId="11" borderId="0" xfId="0" quotePrefix="1" applyFont="1" applyFill="1" applyAlignment="1">
      <alignment horizontal="left"/>
    </xf>
    <xf numFmtId="17" fontId="14" fillId="11" borderId="0" xfId="0" applyNumberFormat="1" applyFont="1" applyFill="1" applyAlignment="1">
      <alignment horizontal="left"/>
    </xf>
    <xf numFmtId="0" fontId="0" fillId="11" borderId="0" xfId="0" applyFill="1" applyAlignment="1">
      <alignment vertical="center"/>
    </xf>
    <xf numFmtId="1" fontId="48" fillId="11" borderId="0" xfId="0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1" fontId="6" fillId="6" borderId="7" xfId="1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  <xf numFmtId="1" fontId="6" fillId="5" borderId="28" xfId="0" applyNumberFormat="1" applyFont="1" applyFill="1" applyBorder="1" applyAlignment="1">
      <alignment horizontal="center" vertical="center"/>
    </xf>
    <xf numFmtId="17" fontId="6" fillId="0" borderId="62" xfId="0" applyNumberFormat="1" applyFont="1" applyBorder="1" applyAlignment="1">
      <alignment horizontal="left"/>
    </xf>
    <xf numFmtId="0" fontId="6" fillId="0" borderId="62" xfId="0" applyFont="1" applyBorder="1"/>
    <xf numFmtId="1" fontId="6" fillId="4" borderId="63" xfId="0" applyNumberFormat="1" applyFont="1" applyFill="1" applyBorder="1" applyAlignment="1" applyProtection="1">
      <alignment horizontal="center" vertical="center"/>
      <protection locked="0"/>
    </xf>
    <xf numFmtId="9" fontId="6" fillId="6" borderId="64" xfId="1" applyFont="1" applyFill="1" applyBorder="1" applyAlignment="1" applyProtection="1">
      <alignment horizontal="center" vertical="center"/>
    </xf>
    <xf numFmtId="9" fontId="52" fillId="0" borderId="0" xfId="1" applyFont="1" applyAlignment="1">
      <alignment horizontal="center"/>
    </xf>
    <xf numFmtId="9" fontId="52" fillId="0" borderId="0" xfId="1" applyFont="1" applyAlignment="1">
      <alignment horizontal="left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/>
    </xf>
    <xf numFmtId="164" fontId="53" fillId="0" borderId="0" xfId="1" applyNumberFormat="1" applyFont="1" applyAlignment="1">
      <alignment horizontal="center"/>
    </xf>
    <xf numFmtId="9" fontId="18" fillId="0" borderId="0" xfId="1" applyFont="1" applyAlignment="1">
      <alignment horizontal="center"/>
    </xf>
    <xf numFmtId="0" fontId="11" fillId="0" borderId="0" xfId="0" applyFont="1"/>
    <xf numFmtId="1" fontId="11" fillId="0" borderId="0" xfId="0" applyNumberFormat="1" applyFont="1"/>
    <xf numFmtId="9" fontId="11" fillId="0" borderId="0" xfId="0" applyNumberFormat="1" applyFont="1"/>
    <xf numFmtId="1" fontId="11" fillId="11" borderId="65" xfId="0" applyNumberFormat="1" applyFont="1" applyFill="1" applyBorder="1" applyAlignment="1">
      <alignment horizontal="center"/>
    </xf>
    <xf numFmtId="0" fontId="54" fillId="0" borderId="0" xfId="0" applyFont="1"/>
    <xf numFmtId="164" fontId="5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9" fontId="26" fillId="0" borderId="0" xfId="1" applyFont="1" applyAlignment="1" applyProtection="1">
      <alignment horizontal="center"/>
    </xf>
    <xf numFmtId="2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7" fontId="6" fillId="0" borderId="66" xfId="0" applyNumberFormat="1" applyFont="1" applyBorder="1" applyAlignment="1">
      <alignment horizontal="left"/>
    </xf>
    <xf numFmtId="0" fontId="6" fillId="0" borderId="66" xfId="0" applyFont="1" applyBorder="1" applyAlignment="1">
      <alignment horizontal="center"/>
    </xf>
    <xf numFmtId="0" fontId="6" fillId="0" borderId="66" xfId="0" applyFont="1" applyBorder="1"/>
    <xf numFmtId="1" fontId="6" fillId="7" borderId="64" xfId="0" applyNumberFormat="1" applyFont="1" applyFill="1" applyBorder="1" applyAlignment="1" applyProtection="1">
      <alignment horizontal="center"/>
      <protection locked="0"/>
    </xf>
    <xf numFmtId="1" fontId="6" fillId="8" borderId="64" xfId="1" applyNumberFormat="1" applyFont="1" applyFill="1" applyBorder="1" applyAlignment="1" applyProtection="1">
      <alignment horizontal="center" vertical="center"/>
      <protection locked="0"/>
    </xf>
    <xf numFmtId="0" fontId="6" fillId="13" borderId="62" xfId="0" applyFont="1" applyFill="1" applyBorder="1" applyAlignment="1" applyProtection="1">
      <alignment horizontal="center" vertical="center"/>
      <protection locked="0"/>
    </xf>
    <xf numFmtId="0" fontId="14" fillId="9" borderId="64" xfId="0" applyFont="1" applyFill="1" applyBorder="1" applyAlignment="1" applyProtection="1">
      <alignment horizontal="center" vertical="center"/>
      <protection locked="0"/>
    </xf>
    <xf numFmtId="0" fontId="18" fillId="12" borderId="62" xfId="0" applyFont="1" applyFill="1" applyBorder="1" applyAlignment="1" applyProtection="1">
      <alignment horizontal="center" vertical="center"/>
      <protection locked="0"/>
    </xf>
    <xf numFmtId="17" fontId="6" fillId="0" borderId="67" xfId="0" applyNumberFormat="1" applyFont="1" applyBorder="1" applyAlignment="1">
      <alignment horizontal="left"/>
    </xf>
    <xf numFmtId="0" fontId="6" fillId="0" borderId="67" xfId="0" applyFont="1" applyBorder="1"/>
    <xf numFmtId="1" fontId="6" fillId="4" borderId="68" xfId="0" applyNumberFormat="1" applyFont="1" applyFill="1" applyBorder="1" applyAlignment="1" applyProtection="1">
      <alignment horizontal="center" vertical="center"/>
      <protection locked="0"/>
    </xf>
    <xf numFmtId="0" fontId="57" fillId="0" borderId="20" xfId="0" applyFont="1" applyBorder="1" applyAlignment="1">
      <alignment vertical="center"/>
    </xf>
    <xf numFmtId="0" fontId="57" fillId="3" borderId="21" xfId="0" applyFont="1" applyFill="1" applyBorder="1" applyAlignment="1">
      <alignment horizontal="center" vertical="center" wrapText="1"/>
    </xf>
    <xf numFmtId="0" fontId="58" fillId="11" borderId="22" xfId="0" quotePrefix="1" applyFont="1" applyFill="1" applyBorder="1" applyAlignment="1" applyProtection="1">
      <alignment horizontal="center" vertical="center" wrapText="1"/>
      <protection locked="0"/>
    </xf>
    <xf numFmtId="0" fontId="57" fillId="3" borderId="23" xfId="0" applyFont="1" applyFill="1" applyBorder="1" applyAlignment="1">
      <alignment horizontal="center" vertical="center" wrapText="1"/>
    </xf>
    <xf numFmtId="0" fontId="58" fillId="11" borderId="23" xfId="0" quotePrefix="1" applyFont="1" applyFill="1" applyBorder="1" applyAlignment="1" applyProtection="1">
      <alignment horizontal="center" vertical="center" wrapText="1"/>
      <protection locked="0"/>
    </xf>
    <xf numFmtId="0" fontId="57" fillId="3" borderId="22" xfId="0" applyFont="1" applyFill="1" applyBorder="1" applyAlignment="1">
      <alignment horizontal="center" vertical="center" wrapText="1"/>
    </xf>
    <xf numFmtId="0" fontId="58" fillId="11" borderId="23" xfId="0" applyFont="1" applyFill="1" applyBorder="1" applyAlignment="1">
      <alignment horizontal="center" vertical="center" wrapText="1"/>
    </xf>
    <xf numFmtId="0" fontId="59" fillId="3" borderId="23" xfId="0" applyFont="1" applyFill="1" applyBorder="1" applyAlignment="1">
      <alignment horizontal="center" vertical="center" wrapText="1"/>
    </xf>
    <xf numFmtId="0" fontId="57" fillId="3" borderId="24" xfId="0" applyFont="1" applyFill="1" applyBorder="1" applyAlignment="1">
      <alignment horizontal="center" vertical="center" wrapText="1"/>
    </xf>
    <xf numFmtId="9" fontId="26" fillId="0" borderId="10" xfId="1" applyFont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9" fontId="26" fillId="3" borderId="4" xfId="0" applyNumberFormat="1" applyFont="1" applyFill="1" applyBorder="1" applyAlignment="1">
      <alignment horizontal="center" vertical="center"/>
    </xf>
    <xf numFmtId="9" fontId="56" fillId="11" borderId="9" xfId="1" applyFont="1" applyFill="1" applyBorder="1" applyAlignment="1" applyProtection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56" fillId="11" borderId="5" xfId="1" applyFont="1" applyFill="1" applyBorder="1" applyAlignment="1" applyProtection="1">
      <alignment horizontal="center" vertical="center"/>
    </xf>
    <xf numFmtId="9" fontId="26" fillId="3" borderId="9" xfId="0" applyNumberFormat="1" applyFont="1" applyFill="1" applyBorder="1" applyAlignment="1">
      <alignment horizontal="center" vertical="center"/>
    </xf>
    <xf numFmtId="9" fontId="56" fillId="11" borderId="5" xfId="0" applyNumberFormat="1" applyFont="1" applyFill="1" applyBorder="1" applyAlignment="1">
      <alignment horizontal="center" vertical="center"/>
    </xf>
    <xf numFmtId="9" fontId="26" fillId="3" borderId="5" xfId="1" applyFont="1" applyFill="1" applyBorder="1" applyAlignment="1" applyProtection="1">
      <alignment horizontal="center" vertical="center"/>
    </xf>
    <xf numFmtId="0" fontId="60" fillId="0" borderId="0" xfId="0" applyFont="1"/>
    <xf numFmtId="9" fontId="60" fillId="3" borderId="4" xfId="0" applyNumberFormat="1" applyFont="1" applyFill="1" applyBorder="1" applyAlignment="1">
      <alignment horizontal="center"/>
    </xf>
    <xf numFmtId="9" fontId="61" fillId="11" borderId="9" xfId="1" applyFont="1" applyFill="1" applyBorder="1" applyAlignment="1" applyProtection="1">
      <alignment horizontal="center"/>
    </xf>
    <xf numFmtId="164" fontId="60" fillId="3" borderId="5" xfId="0" applyNumberFormat="1" applyFont="1" applyFill="1" applyBorder="1" applyAlignment="1">
      <alignment horizontal="center"/>
    </xf>
    <xf numFmtId="9" fontId="61" fillId="11" borderId="5" xfId="1" applyFont="1" applyFill="1" applyBorder="1" applyAlignment="1" applyProtection="1">
      <alignment horizontal="center"/>
    </xf>
    <xf numFmtId="9" fontId="60" fillId="3" borderId="9" xfId="0" applyNumberFormat="1" applyFont="1" applyFill="1" applyBorder="1" applyAlignment="1">
      <alignment horizontal="center"/>
    </xf>
    <xf numFmtId="9" fontId="61" fillId="11" borderId="5" xfId="0" applyNumberFormat="1" applyFont="1" applyFill="1" applyBorder="1" applyAlignment="1">
      <alignment horizontal="center"/>
    </xf>
    <xf numFmtId="9" fontId="60" fillId="3" borderId="5" xfId="1" applyFont="1" applyFill="1" applyBorder="1" applyAlignment="1" applyProtection="1">
      <alignment horizontal="center"/>
    </xf>
    <xf numFmtId="9" fontId="57" fillId="0" borderId="10" xfId="1" applyFont="1" applyBorder="1" applyAlignment="1" applyProtection="1">
      <alignment horizontal="center"/>
    </xf>
    <xf numFmtId="0" fontId="62" fillId="10" borderId="69" xfId="0" applyFont="1" applyFill="1" applyBorder="1" applyAlignment="1">
      <alignment horizontal="left" vertical="center"/>
    </xf>
    <xf numFmtId="0" fontId="63" fillId="10" borderId="70" xfId="0" applyFont="1" applyFill="1" applyBorder="1" applyAlignment="1">
      <alignment horizontal="center" vertical="center" wrapText="1"/>
    </xf>
    <xf numFmtId="0" fontId="63" fillId="10" borderId="71" xfId="0" quotePrefix="1" applyFont="1" applyFill="1" applyBorder="1" applyAlignment="1" applyProtection="1">
      <alignment horizontal="center" vertical="center" wrapText="1"/>
      <protection locked="0"/>
    </xf>
    <xf numFmtId="0" fontId="63" fillId="10" borderId="71" xfId="0" applyFont="1" applyFill="1" applyBorder="1" applyAlignment="1">
      <alignment horizontal="center" vertical="center" wrapText="1"/>
    </xf>
    <xf numFmtId="0" fontId="62" fillId="10" borderId="71" xfId="0" quotePrefix="1" applyFont="1" applyFill="1" applyBorder="1" applyAlignment="1" applyProtection="1">
      <alignment horizontal="center" vertical="center" wrapText="1"/>
      <protection locked="0"/>
    </xf>
    <xf numFmtId="0" fontId="62" fillId="10" borderId="71" xfId="0" applyFont="1" applyFill="1" applyBorder="1" applyAlignment="1">
      <alignment horizontal="center" vertical="center" wrapText="1"/>
    </xf>
    <xf numFmtId="0" fontId="63" fillId="10" borderId="72" xfId="0" applyFont="1" applyFill="1" applyBorder="1" applyAlignment="1">
      <alignment horizontal="center" vertical="center" wrapText="1"/>
    </xf>
    <xf numFmtId="9" fontId="62" fillId="10" borderId="73" xfId="0" applyNumberFormat="1" applyFont="1" applyFill="1" applyBorder="1" applyAlignment="1">
      <alignment horizontal="center" vertical="center" wrapText="1"/>
    </xf>
    <xf numFmtId="0" fontId="25" fillId="18" borderId="54" xfId="0" applyFont="1" applyFill="1" applyBorder="1" applyAlignment="1">
      <alignment horizontal="center" vertical="center"/>
    </xf>
    <xf numFmtId="9" fontId="0" fillId="0" borderId="0" xfId="1" applyFont="1"/>
    <xf numFmtId="1" fontId="45" fillId="11" borderId="62" xfId="0" applyNumberFormat="1" applyFont="1" applyFill="1" applyBorder="1" applyAlignment="1">
      <alignment horizontal="left"/>
    </xf>
    <xf numFmtId="1" fontId="45" fillId="11" borderId="61" xfId="0" applyNumberFormat="1" applyFont="1" applyFill="1" applyBorder="1" applyAlignment="1">
      <alignment horizontal="left"/>
    </xf>
    <xf numFmtId="1" fontId="47" fillId="11" borderId="61" xfId="0" applyNumberFormat="1" applyFont="1" applyFill="1" applyBorder="1" applyAlignment="1">
      <alignment horizontal="center"/>
    </xf>
    <xf numFmtId="49" fontId="37" fillId="3" borderId="56" xfId="0" applyNumberFormat="1" applyFont="1" applyFill="1" applyBorder="1" applyAlignment="1" applyProtection="1">
      <alignment horizontal="center" vertical="center"/>
      <protection locked="0"/>
    </xf>
    <xf numFmtId="49" fontId="37" fillId="3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36" fillId="17" borderId="45" xfId="0" applyFont="1" applyFill="1" applyBorder="1" applyAlignment="1">
      <alignment horizontal="left" vertical="center" indent="1"/>
    </xf>
    <xf numFmtId="0" fontId="36" fillId="17" borderId="0" xfId="0" applyFont="1" applyFill="1" applyAlignment="1">
      <alignment horizontal="left" vertical="center" indent="1"/>
    </xf>
    <xf numFmtId="0" fontId="36" fillId="17" borderId="46" xfId="0" applyFont="1" applyFill="1" applyBorder="1" applyAlignment="1">
      <alignment horizontal="left" vertical="center" indent="1"/>
    </xf>
    <xf numFmtId="0" fontId="36" fillId="17" borderId="20" xfId="0" applyFont="1" applyFill="1" applyBorder="1" applyAlignment="1">
      <alignment horizontal="left" vertical="center" indent="1"/>
    </xf>
    <xf numFmtId="165" fontId="64" fillId="11" borderId="56" xfId="0" applyNumberFormat="1" applyFont="1" applyFill="1" applyBorder="1" applyAlignment="1">
      <alignment horizontal="center" vertical="center"/>
    </xf>
    <xf numFmtId="165" fontId="64" fillId="11" borderId="74" xfId="0" applyNumberFormat="1" applyFont="1" applyFill="1" applyBorder="1" applyAlignment="1">
      <alignment horizontal="center" vertical="center"/>
    </xf>
    <xf numFmtId="165" fontId="64" fillId="11" borderId="75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u val="none"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EB3"/>
      <color rgb="FF001F60"/>
      <color rgb="FFFFFFFF"/>
      <color rgb="FFEACEFF"/>
      <color rgb="FFDEB2FF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CBED-7A6D-FE43-8416-616B55454931}">
  <sheetPr codeName="Sheet1">
    <pageSetUpPr fitToPage="1"/>
  </sheetPr>
  <dimension ref="A1:N91"/>
  <sheetViews>
    <sheetView showGridLines="0" tabSelected="1" zoomScaleNormal="70" workbookViewId="0">
      <pane ySplit="6" topLeftCell="A7" activePane="bottomLeft" state="frozen"/>
      <selection activeCell="H60" sqref="H60"/>
      <selection pane="bottomLeft" activeCell="B56" sqref="B56:M56"/>
    </sheetView>
  </sheetViews>
  <sheetFormatPr defaultColWidth="10.83203125" defaultRowHeight="15.5" x14ac:dyDescent="0.35"/>
  <cols>
    <col min="1" max="1" width="2.33203125" style="423" customWidth="1"/>
    <col min="2" max="2" width="31.08203125" style="1" customWidth="1"/>
    <col min="3" max="9" width="18.33203125" style="1" customWidth="1"/>
    <col min="10" max="10" width="18.33203125" style="1" hidden="1" customWidth="1"/>
    <col min="11" max="12" width="18.33203125" style="1" customWidth="1"/>
    <col min="13" max="13" width="18.83203125" style="1" customWidth="1"/>
    <col min="14" max="16384" width="10.83203125" style="1"/>
  </cols>
  <sheetData>
    <row r="1" spans="1:13" ht="10" customHeight="1" x14ac:dyDescent="0.35"/>
    <row r="2" spans="1:13" ht="30" x14ac:dyDescent="0.6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29"/>
    </row>
    <row r="3" spans="1:13" ht="20" x14ac:dyDescent="0.4">
      <c r="B3" s="249">
        <f>WORKSHEET!F4</f>
        <v>45992</v>
      </c>
    </row>
    <row r="4" spans="1:13" ht="20.149999999999999" customHeight="1" x14ac:dyDescent="0.35">
      <c r="B4" s="328"/>
    </row>
    <row r="5" spans="1:13" ht="20.149999999999999" customHeight="1" x14ac:dyDescent="0.35"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45" customHeight="1" thickBot="1" x14ac:dyDescent="0.4">
      <c r="B6" s="17" t="s">
        <v>1</v>
      </c>
      <c r="C6" s="132" t="s">
        <v>2</v>
      </c>
      <c r="D6" s="296" t="s">
        <v>3</v>
      </c>
      <c r="E6" s="131" t="s">
        <v>4</v>
      </c>
      <c r="F6" s="305" t="s">
        <v>5</v>
      </c>
      <c r="G6" s="129" t="s">
        <v>6</v>
      </c>
      <c r="H6" s="309" t="s">
        <v>7</v>
      </c>
      <c r="I6" s="130" t="s">
        <v>8</v>
      </c>
      <c r="J6" s="309" t="s">
        <v>9</v>
      </c>
      <c r="K6" s="309" t="s">
        <v>10</v>
      </c>
      <c r="L6" s="130" t="s">
        <v>11</v>
      </c>
      <c r="M6" s="256" t="s">
        <v>12</v>
      </c>
    </row>
    <row r="7" spans="1:13" s="87" customFormat="1" ht="5.15" customHeight="1" thickTop="1" x14ac:dyDescent="0.35">
      <c r="A7" s="424"/>
      <c r="B7" s="153"/>
      <c r="C7" s="154"/>
      <c r="D7" s="297"/>
      <c r="E7" s="155"/>
      <c r="F7" s="297"/>
      <c r="G7" s="154"/>
      <c r="H7" s="310"/>
      <c r="I7" s="156"/>
      <c r="J7" s="310"/>
      <c r="K7" s="310"/>
      <c r="L7" s="156"/>
      <c r="M7" s="157"/>
    </row>
    <row r="8" spans="1:13" s="87" customFormat="1" ht="24" customHeight="1" x14ac:dyDescent="0.35">
      <c r="A8" s="424"/>
      <c r="B8" s="115" t="s">
        <v>13</v>
      </c>
      <c r="C8" s="116">
        <f>'LEGEND&amp;DATA'!G91</f>
        <v>0.97143930853062754</v>
      </c>
      <c r="D8" s="298">
        <f>'LEGEND&amp;DATA'!I91</f>
        <v>1.8731501057082451</v>
      </c>
      <c r="E8" s="117">
        <f>'LEGEND&amp;DATA'!M91</f>
        <v>2.2108183079056865</v>
      </c>
      <c r="F8" s="306">
        <f>'LEGEND&amp;DATA'!O91</f>
        <v>0.75765151515151519</v>
      </c>
      <c r="G8" s="118">
        <f>'LEGEND&amp;DATA'!Q91</f>
        <v>0.15163094644736114</v>
      </c>
      <c r="H8" s="311">
        <f>'LEGEND&amp;DATA'!S91</f>
        <v>0.22062168309325247</v>
      </c>
      <c r="I8" s="119">
        <f>'LEGEND&amp;DATA'!U91</f>
        <v>0.65154264972776765</v>
      </c>
      <c r="J8" s="311" t="str">
        <f>'LEGEND&amp;DATA'!W91</f>
        <v>-</v>
      </c>
      <c r="K8" s="311">
        <f>'LEGEND&amp;DATA'!Y91</f>
        <v>1.0258379888268156</v>
      </c>
      <c r="L8" s="119">
        <f>'LEGEND&amp;DATA'!AA91</f>
        <v>0.58327668252889187</v>
      </c>
      <c r="M8" s="120">
        <f>'LEGEND&amp;DATA'!AE91</f>
        <v>0.80683543807357438</v>
      </c>
    </row>
    <row r="9" spans="1:13" s="87" customFormat="1" ht="5.15" customHeight="1" thickBot="1" x14ac:dyDescent="0.4">
      <c r="A9" s="424"/>
      <c r="B9" s="133"/>
      <c r="C9" s="145"/>
      <c r="D9" s="299"/>
      <c r="E9" s="146"/>
      <c r="F9" s="299"/>
      <c r="G9" s="145"/>
      <c r="H9" s="312"/>
      <c r="I9" s="147"/>
      <c r="J9" s="312"/>
      <c r="K9" s="312"/>
      <c r="L9" s="147"/>
      <c r="M9" s="148"/>
    </row>
    <row r="10" spans="1:13" s="87" customFormat="1" ht="5.15" customHeight="1" x14ac:dyDescent="0.35">
      <c r="A10" s="424"/>
      <c r="B10" s="134"/>
      <c r="C10" s="149"/>
      <c r="D10" s="300"/>
      <c r="E10" s="150"/>
      <c r="F10" s="300"/>
      <c r="G10" s="149"/>
      <c r="H10" s="313"/>
      <c r="I10" s="151"/>
      <c r="J10" s="313"/>
      <c r="K10" s="313"/>
      <c r="L10" s="151"/>
      <c r="M10" s="152"/>
    </row>
    <row r="11" spans="1:13" ht="18" customHeight="1" x14ac:dyDescent="0.35">
      <c r="A11" s="425">
        <v>1</v>
      </c>
      <c r="B11" s="121" t="str">
        <f>VLOOKUP($A11,'LEGEND&amp;DATA'!$AF$92:$AG$100,2,FALSE)</f>
        <v>Orange County</v>
      </c>
      <c r="C11" s="122">
        <f>IFERROR(VLOOKUP($B11,'LEGEND&amp;DATA'!$F$20:$AB$100,2,FALSE),"")</f>
        <v>0.8927848954821308</v>
      </c>
      <c r="D11" s="301">
        <f>IFERROR(VLOOKUP($B11,'LEGEND&amp;DATA'!$F$20:$AB$100,4,FALSE),"")</f>
        <v>2.2736842105263158</v>
      </c>
      <c r="E11" s="123">
        <f>IFERROR(VLOOKUP($B11,'LEGEND&amp;DATA'!$F$20:$AB$100,8,FALSE),"")</f>
        <v>2.6419753086419755</v>
      </c>
      <c r="F11" s="307">
        <f>IFERROR(VLOOKUP($B11,'LEGEND&amp;DATA'!$F$20:$AB$100,10,FALSE),"")</f>
        <v>0.91666666666666663</v>
      </c>
      <c r="G11" s="124">
        <f>IFERROR(VLOOKUP($B11,'LEGEND&amp;DATA'!$F$20:$AB$100,12,FALSE),"")</f>
        <v>0.17775229357798164</v>
      </c>
      <c r="H11" s="314">
        <f>IFERROR(VLOOKUP($B11,'LEGEND&amp;DATA'!$F$20:$AB$100,14,FALSE),"")</f>
        <v>0.29349269588313415</v>
      </c>
      <c r="I11" s="125">
        <f>IFERROR(VLOOKUP($B11,'LEGEND&amp;DATA'!$F$20:$AB$100,16,FALSE),"")</f>
        <v>0.61445783132530118</v>
      </c>
      <c r="J11" s="307" t="str">
        <f>IFERROR(VLOOKUP($B11,'LEGEND&amp;DATA'!$F$20:$AB$100,18,FALSE),"")</f>
        <v>-</v>
      </c>
      <c r="K11" s="314">
        <f>IFERROR(VLOOKUP($B11,'LEGEND&amp;DATA'!$F$20:$AB$100,20,FALSE),"")</f>
        <v>1.1773288439955107</v>
      </c>
      <c r="L11" s="125">
        <f>IFERROR(VLOOKUP($B11,'LEGEND&amp;DATA'!$F$20:$AB$100,22,FALSE),"")</f>
        <v>0.68706896551724139</v>
      </c>
      <c r="M11" s="126">
        <f>IFERROR(VLOOKUP($B11,'LEGEND&amp;DATA'!$F$20:$AE$100,26,FALSE),"")</f>
        <v>0.83198830409356717</v>
      </c>
    </row>
    <row r="12" spans="1:13" ht="18" customHeight="1" x14ac:dyDescent="0.35">
      <c r="A12" s="425">
        <v>2</v>
      </c>
      <c r="B12" s="121" t="str">
        <f>VLOOKUP($A12,'LEGEND&amp;DATA'!$AF$92:$AG$100,2,FALSE)</f>
        <v>Arizona</v>
      </c>
      <c r="C12" s="122">
        <f>IFERROR(VLOOKUP($B12,'LEGEND&amp;DATA'!$F$20:$AB$100,2,FALSE),"")</f>
        <v>0.96024096385542168</v>
      </c>
      <c r="D12" s="301">
        <f>IFERROR(VLOOKUP($B12,'LEGEND&amp;DATA'!$F$20:$AB$100,4,FALSE),"")</f>
        <v>2.3085501858736057</v>
      </c>
      <c r="E12" s="123">
        <f>IFERROR(VLOOKUP($B12,'LEGEND&amp;DATA'!$F$20:$AB$100,8,FALSE),"")</f>
        <v>2.442622950819672</v>
      </c>
      <c r="F12" s="307">
        <f>IFERROR(VLOOKUP($B12,'LEGEND&amp;DATA'!$F$20:$AB$100,10,FALSE),"")</f>
        <v>0.79861111111111116</v>
      </c>
      <c r="G12" s="124">
        <f>IFERROR(VLOOKUP($B12,'LEGEND&amp;DATA'!$F$20:$AB$100,12,FALSE),"")</f>
        <v>0.16151202749140894</v>
      </c>
      <c r="H12" s="314">
        <f>IFERROR(VLOOKUP($B12,'LEGEND&amp;DATA'!$F$20:$AB$100,14,FALSE),"")</f>
        <v>0.21628498727735368</v>
      </c>
      <c r="I12" s="125">
        <f>IFERROR(VLOOKUP($B12,'LEGEND&amp;DATA'!$F$20:$AB$100,16,FALSE),"")</f>
        <v>0.6875</v>
      </c>
      <c r="J12" s="307" t="str">
        <f>IFERROR(VLOOKUP($B12,'LEGEND&amp;DATA'!$F$20:$AB$100,18,FALSE),"")</f>
        <v>-</v>
      </c>
      <c r="K12" s="314">
        <f>IFERROR(VLOOKUP($B12,'LEGEND&amp;DATA'!$F$20:$AB$100,20,FALSE),"")</f>
        <v>0.96731358529111333</v>
      </c>
      <c r="L12" s="125">
        <f>IFERROR(VLOOKUP($B12,'LEGEND&amp;DATA'!$F$20:$AB$100,22,FALSE),"")</f>
        <v>0.65791632485643969</v>
      </c>
      <c r="M12" s="126">
        <f>IFERROR(VLOOKUP($B12,'LEGEND&amp;DATA'!$F$20:$AE$100,26,FALSE),"")</f>
        <v>0.82871212121212101</v>
      </c>
    </row>
    <row r="13" spans="1:13" ht="18" customHeight="1" x14ac:dyDescent="0.35">
      <c r="A13" s="425">
        <v>3</v>
      </c>
      <c r="B13" s="121" t="str">
        <f>VLOOKUP($A13,'LEGEND&amp;DATA'!$AF$92:$AG$100,2,FALSE)</f>
        <v>Southern California</v>
      </c>
      <c r="C13" s="122">
        <f>IFERROR(VLOOKUP($B13,'LEGEND&amp;DATA'!$F$20:$AB$100,2,FALSE),"")</f>
        <v>0.99740596627756162</v>
      </c>
      <c r="D13" s="301">
        <f>IFERROR(VLOOKUP($B13,'LEGEND&amp;DATA'!$F$20:$AB$100,4,FALSE),"")</f>
        <v>2.0660377358490565</v>
      </c>
      <c r="E13" s="123">
        <f>IFERROR(VLOOKUP($B13,'LEGEND&amp;DATA'!$F$20:$AB$100,8,FALSE),"")</f>
        <v>2.6120689655172415</v>
      </c>
      <c r="F13" s="307">
        <f>IFERROR(VLOOKUP($B13,'LEGEND&amp;DATA'!$F$20:$AB$100,10,FALSE),"")</f>
        <v>0.87549999999999994</v>
      </c>
      <c r="G13" s="124">
        <f>IFERROR(VLOOKUP($B13,'LEGEND&amp;DATA'!$F$20:$AB$100,12,FALSE),"")</f>
        <v>0.14974003466204505</v>
      </c>
      <c r="H13" s="314">
        <f>IFERROR(VLOOKUP($B13,'LEGEND&amp;DATA'!$F$20:$AB$100,14,FALSE),"")</f>
        <v>0.23931623931623933</v>
      </c>
      <c r="I13" s="125">
        <f>IFERROR(VLOOKUP($B13,'LEGEND&amp;DATA'!$F$20:$AB$100,16,FALSE),"")</f>
        <v>0.69461077844311381</v>
      </c>
      <c r="J13" s="307" t="str">
        <f>IFERROR(VLOOKUP($B13,'LEGEND&amp;DATA'!$F$20:$AB$100,18,FALSE),"")</f>
        <v>-</v>
      </c>
      <c r="K13" s="314">
        <f>IFERROR(VLOOKUP($B13,'LEGEND&amp;DATA'!$F$20:$AB$100,20,FALSE),"")</f>
        <v>1.0246865203761755</v>
      </c>
      <c r="L13" s="125">
        <f>IFERROR(VLOOKUP($B13,'LEGEND&amp;DATA'!$F$20:$AB$100,22,FALSE),"")</f>
        <v>0.60992907801418439</v>
      </c>
      <c r="M13" s="126">
        <f>IFERROR(VLOOKUP($B13,'LEGEND&amp;DATA'!$F$20:$AE$100,26,FALSE),"")</f>
        <v>0.82499999999999996</v>
      </c>
    </row>
    <row r="14" spans="1:13" ht="18" customHeight="1" x14ac:dyDescent="0.35">
      <c r="A14" s="425">
        <v>4</v>
      </c>
      <c r="B14" s="121" t="str">
        <f>VLOOKUP($A14,'LEGEND&amp;DATA'!$AF$92:$AG$100,2,FALSE)</f>
        <v>Michigan &amp; Minnesota</v>
      </c>
      <c r="C14" s="122">
        <f>IFERROR(VLOOKUP($B14,'LEGEND&amp;DATA'!$F$20:$AB$100,2,FALSE),"")</f>
        <v>0.9563567362428842</v>
      </c>
      <c r="D14" s="301">
        <f>IFERROR(VLOOKUP($B14,'LEGEND&amp;DATA'!$F$20:$AB$100,4,FALSE),"")</f>
        <v>3.8691588785046731</v>
      </c>
      <c r="E14" s="123">
        <f>IFERROR(VLOOKUP($B14,'LEGEND&amp;DATA'!$F$20:$AB$100,8,FALSE),"")</f>
        <v>2.342857142857143</v>
      </c>
      <c r="F14" s="307">
        <f>IFERROR(VLOOKUP($B14,'LEGEND&amp;DATA'!$F$20:$AB$100,10,FALSE),"")</f>
        <v>0.625</v>
      </c>
      <c r="G14" s="124">
        <f>IFERROR(VLOOKUP($B14,'LEGEND&amp;DATA'!$F$20:$AB$100,12,FALSE),"")</f>
        <v>0.18204488778054864</v>
      </c>
      <c r="H14" s="314">
        <f>IFERROR(VLOOKUP($B14,'LEGEND&amp;DATA'!$F$20:$AB$100,14,FALSE),"")</f>
        <v>0.22404371584699453</v>
      </c>
      <c r="I14" s="125">
        <f>IFERROR(VLOOKUP($B14,'LEGEND&amp;DATA'!$F$20:$AB$100,16,FALSE),"")</f>
        <v>0.42</v>
      </c>
      <c r="J14" s="307" t="str">
        <f>IFERROR(VLOOKUP($B14,'LEGEND&amp;DATA'!$F$20:$AB$100,18,FALSE),"")</f>
        <v>-</v>
      </c>
      <c r="K14" s="314">
        <f>IFERROR(VLOOKUP($B14,'LEGEND&amp;DATA'!$F$20:$AB$100,20,FALSE),"")</f>
        <v>0.93766233766233764</v>
      </c>
      <c r="L14" s="125">
        <f>IFERROR(VLOOKUP($B14,'LEGEND&amp;DATA'!$F$20:$AB$100,22,FALSE),"")</f>
        <v>0.51574803149606296</v>
      </c>
      <c r="M14" s="126">
        <f>IFERROR(VLOOKUP($B14,'LEGEND&amp;DATA'!$F$20:$AE$100,26,FALSE),"")</f>
        <v>0.80333333333333334</v>
      </c>
    </row>
    <row r="15" spans="1:13" ht="18" customHeight="1" x14ac:dyDescent="0.35">
      <c r="A15" s="425">
        <v>5</v>
      </c>
      <c r="B15" s="121" t="str">
        <f>VLOOKUP($A15,'LEGEND&amp;DATA'!$AF$92:$AG$100,2,FALSE)</f>
        <v>Texas</v>
      </c>
      <c r="C15" s="122">
        <f>IFERROR(VLOOKUP($B15,'LEGEND&amp;DATA'!$F$20:$AB$100,2,FALSE),"")</f>
        <v>1.0673035171515415</v>
      </c>
      <c r="D15" s="301">
        <f>IFERROR(VLOOKUP($B15,'LEGEND&amp;DATA'!$F$20:$AB$100,4,FALSE),"")</f>
        <v>1.2473347547974414</v>
      </c>
      <c r="E15" s="123">
        <f>IFERROR(VLOOKUP($B15,'LEGEND&amp;DATA'!$F$20:$AB$100,8,FALSE),"")</f>
        <v>1.7898089171974523</v>
      </c>
      <c r="F15" s="307">
        <f>IFERROR(VLOOKUP($B15,'LEGEND&amp;DATA'!$F$20:$AB$100,10,FALSE),"")</f>
        <v>0.82499999999999996</v>
      </c>
      <c r="G15" s="124">
        <f>IFERROR(VLOOKUP($B15,'LEGEND&amp;DATA'!$F$20:$AB$100,12,FALSE),"")</f>
        <v>0.12621737436696534</v>
      </c>
      <c r="H15" s="314">
        <f>IFERROR(VLOOKUP($B15,'LEGEND&amp;DATA'!$F$20:$AB$100,14,FALSE),"")</f>
        <v>0.17341040462427745</v>
      </c>
      <c r="I15" s="125">
        <f>IFERROR(VLOOKUP($B15,'LEGEND&amp;DATA'!$F$20:$AB$100,16,FALSE),"")</f>
        <v>0.76315789473684215</v>
      </c>
      <c r="J15" s="307" t="str">
        <f>IFERROR(VLOOKUP($B15,'LEGEND&amp;DATA'!$F$20:$AB$100,18,FALSE),"")</f>
        <v>-</v>
      </c>
      <c r="K15" s="314">
        <f>IFERROR(VLOOKUP($B15,'LEGEND&amp;DATA'!$F$20:$AB$100,20,FALSE),"")</f>
        <v>1.122466705269253</v>
      </c>
      <c r="L15" s="125">
        <f>IFERROR(VLOOKUP($B15,'LEGEND&amp;DATA'!$F$20:$AB$100,22,FALSE),"")</f>
        <v>0.51778496362166537</v>
      </c>
      <c r="M15" s="126">
        <f>IFERROR(VLOOKUP($B15,'LEGEND&amp;DATA'!$F$20:$AE$100,26,FALSE),"")</f>
        <v>0.79722488038277517</v>
      </c>
    </row>
    <row r="16" spans="1:13" ht="18" customHeight="1" x14ac:dyDescent="0.35">
      <c r="A16" s="425">
        <v>6</v>
      </c>
      <c r="B16" s="121" t="str">
        <f>VLOOKUP($A16,'LEGEND&amp;DATA'!$AF$92:$AG$100,2,FALSE)</f>
        <v>Northern California</v>
      </c>
      <c r="C16" s="122">
        <f>IFERROR(VLOOKUP($B16,'LEGEND&amp;DATA'!$F$20:$AB$100,2,FALSE),"")</f>
        <v>0.92901878914405012</v>
      </c>
      <c r="D16" s="301">
        <f>IFERROR(VLOOKUP($B16,'LEGEND&amp;DATA'!$F$20:$AB$100,4,FALSE),"")</f>
        <v>1.2254901960784315</v>
      </c>
      <c r="E16" s="123">
        <f>IFERROR(VLOOKUP($B16,'LEGEND&amp;DATA'!$F$20:$AB$100,8,FALSE),"")</f>
        <v>2.3131313131313131</v>
      </c>
      <c r="F16" s="307">
        <f>IFERROR(VLOOKUP($B16,'LEGEND&amp;DATA'!$F$20:$AB$100,10,FALSE),"")</f>
        <v>0.765625</v>
      </c>
      <c r="G16" s="124">
        <f>IFERROR(VLOOKUP($B16,'LEGEND&amp;DATA'!$F$20:$AB$100,12,FALSE),"")</f>
        <v>0.14230171073094869</v>
      </c>
      <c r="H16" s="314">
        <f>IFERROR(VLOOKUP($B16,'LEGEND&amp;DATA'!$F$20:$AB$100,14,FALSE),"")</f>
        <v>0.23669724770642203</v>
      </c>
      <c r="I16" s="125">
        <f>IFERROR(VLOOKUP($B16,'LEGEND&amp;DATA'!$F$20:$AB$100,16,FALSE),"")</f>
        <v>0.67149758454106279</v>
      </c>
      <c r="J16" s="307" t="str">
        <f>IFERROR(VLOOKUP($B16,'LEGEND&amp;DATA'!$F$20:$AB$100,18,FALSE),"")</f>
        <v>-</v>
      </c>
      <c r="K16" s="314">
        <f>IFERROR(VLOOKUP($B16,'LEGEND&amp;DATA'!$F$20:$AB$100,20,FALSE),"")</f>
        <v>1.0068870523415978</v>
      </c>
      <c r="L16" s="125">
        <f>IFERROR(VLOOKUP($B16,'LEGEND&amp;DATA'!$F$20:$AB$100,22,FALSE),"")</f>
        <v>0.53975200583515681</v>
      </c>
      <c r="M16" s="126">
        <f>IFERROR(VLOOKUP($B16,'LEGEND&amp;DATA'!$F$20:$AE$100,26,FALSE),"")</f>
        <v>0.78</v>
      </c>
    </row>
    <row r="17" spans="1:14" ht="18" customHeight="1" x14ac:dyDescent="0.35">
      <c r="A17" s="425">
        <v>7</v>
      </c>
      <c r="B17" s="121" t="str">
        <f>VLOOKUP($A17,'LEGEND&amp;DATA'!$AF$92:$AG$100,2,FALSE)</f>
        <v>Wisconsin</v>
      </c>
      <c r="C17" s="122">
        <f>IFERROR(VLOOKUP($B17,'LEGEND&amp;DATA'!$F$20:$AB$100,2,FALSE),"")</f>
        <v>1.1111111111111112</v>
      </c>
      <c r="D17" s="301">
        <f>IFERROR(VLOOKUP($B17,'LEGEND&amp;DATA'!$F$20:$AB$100,4,FALSE),"")</f>
        <v>2.3571428571428572</v>
      </c>
      <c r="E17" s="123">
        <f>IFERROR(VLOOKUP($B17,'LEGEND&amp;DATA'!$F$20:$AB$100,8,FALSE),"")</f>
        <v>1.1333333333333333</v>
      </c>
      <c r="F17" s="307">
        <f>IFERROR(VLOOKUP($B17,'LEGEND&amp;DATA'!$F$20:$AB$100,10,FALSE),"")</f>
        <v>0.875</v>
      </c>
      <c r="G17" s="124">
        <f>IFERROR(VLOOKUP($B17,'LEGEND&amp;DATA'!$F$20:$AB$100,12,FALSE),"")</f>
        <v>0.21612903225806451</v>
      </c>
      <c r="H17" s="314">
        <f>IFERROR(VLOOKUP($B17,'LEGEND&amp;DATA'!$F$20:$AB$100,14,FALSE),"")</f>
        <v>0.25388601036269431</v>
      </c>
      <c r="I17" s="125">
        <f>IFERROR(VLOOKUP($B17,'LEGEND&amp;DATA'!$F$20:$AB$100,16,FALSE),"")</f>
        <v>0.2857142857142857</v>
      </c>
      <c r="J17" s="307" t="str">
        <f>IFERROR(VLOOKUP($B17,'LEGEND&amp;DATA'!$F$20:$AB$100,18,FALSE),"")</f>
        <v>-</v>
      </c>
      <c r="K17" s="314">
        <f>IFERROR(VLOOKUP($B17,'LEGEND&amp;DATA'!$F$20:$AB$100,20,FALSE),"")</f>
        <v>0.87878787878787878</v>
      </c>
      <c r="L17" s="125">
        <f>IFERROR(VLOOKUP($B17,'LEGEND&amp;DATA'!$F$20:$AB$100,22,FALSE),"")</f>
        <v>0.47599999999999998</v>
      </c>
      <c r="M17" s="126">
        <f>IFERROR(VLOOKUP($B17,'LEGEND&amp;DATA'!$F$20:$AE$100,26,FALSE),"")</f>
        <v>0.77</v>
      </c>
    </row>
    <row r="18" spans="1:14" ht="18" customHeight="1" x14ac:dyDescent="0.35">
      <c r="A18" s="425">
        <v>8</v>
      </c>
      <c r="B18" s="121" t="str">
        <f>VLOOKUP($A18,'LEGEND&amp;DATA'!$AF$92:$AG$100,2,FALSE)</f>
        <v>Indiana</v>
      </c>
      <c r="C18" s="122">
        <f>IFERROR(VLOOKUP($B18,'LEGEND&amp;DATA'!$F$20:$AB$100,2,FALSE),"")</f>
        <v>0.84772370486656201</v>
      </c>
      <c r="D18" s="301">
        <f>IFERROR(VLOOKUP($B18,'LEGEND&amp;DATA'!$F$20:$AB$100,4,FALSE),"")</f>
        <v>0.67567567567567566</v>
      </c>
      <c r="E18" s="123">
        <f>IFERROR(VLOOKUP($B18,'LEGEND&amp;DATA'!$F$20:$AB$100,8,FALSE),"")</f>
        <v>0.6</v>
      </c>
      <c r="F18" s="307">
        <f>IFERROR(VLOOKUP($B18,'LEGEND&amp;DATA'!$F$20:$AB$100,10,FALSE),"")</f>
        <v>0.75</v>
      </c>
      <c r="G18" s="124">
        <f>IFERROR(VLOOKUP($B18,'LEGEND&amp;DATA'!$F$20:$AB$100,12,FALSE),"")</f>
        <v>0.19105199516324062</v>
      </c>
      <c r="H18" s="314">
        <f>IFERROR(VLOOKUP($B18,'LEGEND&amp;DATA'!$F$20:$AB$100,14,FALSE),"")</f>
        <v>0.24257425742574257</v>
      </c>
      <c r="I18" s="125">
        <f>IFERROR(VLOOKUP($B18,'LEGEND&amp;DATA'!$F$20:$AB$100,16,FALSE),"")</f>
        <v>0.61728395061728392</v>
      </c>
      <c r="J18" s="307" t="str">
        <f>IFERROR(VLOOKUP($B18,'LEGEND&amp;DATA'!$F$20:$AB$100,18,FALSE),"")</f>
        <v>-</v>
      </c>
      <c r="K18" s="314">
        <f>IFERROR(VLOOKUP($B18,'LEGEND&amp;DATA'!$F$20:$AB$100,20,FALSE),"")</f>
        <v>0.74805194805194808</v>
      </c>
      <c r="L18" s="125">
        <f>IFERROR(VLOOKUP($B18,'LEGEND&amp;DATA'!$F$20:$AB$100,22,FALSE),"")</f>
        <v>0.47155963302752296</v>
      </c>
      <c r="M18" s="126">
        <f>IFERROR(VLOOKUP($B18,'LEGEND&amp;DATA'!$F$20:$AE$100,26,FALSE),"")</f>
        <v>0.58499999999999996</v>
      </c>
    </row>
    <row r="19" spans="1:14" ht="18" hidden="1" customHeight="1" x14ac:dyDescent="0.35">
      <c r="A19" s="425">
        <v>9</v>
      </c>
      <c r="B19" s="121" t="str">
        <f>IFERROR(VLOOKUP($A19,'LEGEND&amp;DATA'!$AF$92:$AG$100,2,FALSE),"")</f>
        <v/>
      </c>
      <c r="C19" s="122" t="str">
        <f>IFERROR(VLOOKUP($B19,'LEGEND&amp;DATA'!$F$20:$AB$100,2,FALSE),"")</f>
        <v/>
      </c>
      <c r="D19" s="301" t="str">
        <f>IFERROR(VLOOKUP($B19,'LEGEND&amp;DATA'!$F$20:$AB$100,4,FALSE),"")</f>
        <v/>
      </c>
      <c r="E19" s="123" t="str">
        <f>IFERROR(VLOOKUP($B19,'LEGEND&amp;DATA'!$F$20:$AB$100,8,FALSE),"")</f>
        <v/>
      </c>
      <c r="F19" s="307" t="str">
        <f>IFERROR(VLOOKUP($B19,'LEGEND&amp;DATA'!$F$20:$AB$100,10,FALSE),"")</f>
        <v/>
      </c>
      <c r="G19" s="124" t="str">
        <f>IFERROR(VLOOKUP($B19,'LEGEND&amp;DATA'!$F$20:$AB$100,12,FALSE),"")</f>
        <v/>
      </c>
      <c r="H19" s="314" t="str">
        <f>IFERROR(VLOOKUP($B19,'LEGEND&amp;DATA'!$F$20:$AB$100,14,FALSE),"")</f>
        <v/>
      </c>
      <c r="I19" s="125" t="str">
        <f>IFERROR(VLOOKUP($B19,'LEGEND&amp;DATA'!$F$20:$AB$100,16,FALSE),"")</f>
        <v/>
      </c>
      <c r="J19" s="307" t="str">
        <f>IFERROR(VLOOKUP($B19,'LEGEND&amp;DATA'!$F$20:$AB$100,18,FALSE),"")</f>
        <v>-</v>
      </c>
      <c r="K19" s="314" t="str">
        <f>IFERROR(VLOOKUP($B19,'LEGEND&amp;DATA'!$F$20:$AB$100,20,FALSE),"")</f>
        <v/>
      </c>
      <c r="L19" s="125" t="str">
        <f>IFERROR(VLOOKUP($B19,'LEGEND&amp;DATA'!$F$20:$AB$100,22,FALSE),"")</f>
        <v/>
      </c>
      <c r="M19" s="126" t="str">
        <f>IFERROR(VLOOKUP($B19,'LEGEND&amp;DATA'!$F$20:$AE$100,26,FALSE),"")</f>
        <v/>
      </c>
    </row>
    <row r="20" spans="1:14" ht="5.15" customHeight="1" x14ac:dyDescent="0.35">
      <c r="A20" s="425"/>
      <c r="B20" s="135"/>
      <c r="C20" s="137"/>
      <c r="D20" s="302"/>
      <c r="E20" s="139"/>
      <c r="F20" s="302"/>
      <c r="G20" s="137"/>
      <c r="H20" s="315"/>
      <c r="I20" s="138"/>
      <c r="J20" s="302"/>
      <c r="K20" s="315"/>
      <c r="L20" s="138"/>
      <c r="M20" s="140"/>
    </row>
    <row r="21" spans="1:14" ht="5.15" customHeight="1" x14ac:dyDescent="0.35">
      <c r="A21" s="425"/>
      <c r="B21" s="136"/>
      <c r="C21" s="141"/>
      <c r="D21" s="303"/>
      <c r="E21" s="143"/>
      <c r="F21" s="303"/>
      <c r="G21" s="141"/>
      <c r="H21" s="316"/>
      <c r="I21" s="142"/>
      <c r="J21" s="303"/>
      <c r="K21" s="316"/>
      <c r="L21" s="142"/>
      <c r="M21" s="144"/>
    </row>
    <row r="22" spans="1:14" ht="16" customHeight="1" x14ac:dyDescent="0.35">
      <c r="A22" s="423">
        <v>1</v>
      </c>
      <c r="B22" s="3" t="str">
        <f>IF($A22&gt;KEY!$B$2,"",IFERROR(VLOOKUP($A22,'LEGEND&amp;DATA'!$E$20:$F$90,2,FALSE),""))</f>
        <v>Bentley Scottsdale</v>
      </c>
      <c r="C22" s="15">
        <f>IFERROR(VLOOKUP($B22,'LEGEND&amp;DATA'!$F$20:$AB$90,2,FALSE),"")</f>
        <v>1.173913043478261</v>
      </c>
      <c r="D22" s="304">
        <f>IFERROR(VLOOKUP($B22,'LEGEND&amp;DATA'!$F$20:$AB$90,4,FALSE),"")</f>
        <v>1</v>
      </c>
      <c r="E22" s="127">
        <f>IFERROR(VLOOKUP($B22,'LEGEND&amp;DATA'!$F$20:$AB$90,8,FALSE),"")</f>
        <v>2</v>
      </c>
      <c r="F22" s="308">
        <f>IFERROR(VLOOKUP($B22,'LEGEND&amp;DATA'!$F$20:$AB$90,10,FALSE),"")</f>
        <v>1</v>
      </c>
      <c r="G22" s="10">
        <f>IFERROR(VLOOKUP($B22,'LEGEND&amp;DATA'!$F$20:$AB$90,12,FALSE),"")</f>
        <v>0.19444444444444445</v>
      </c>
      <c r="H22" s="317">
        <f>IFERROR(VLOOKUP($B22,'LEGEND&amp;DATA'!$F$20:$AB$90,14,FALSE),"")</f>
        <v>0.43478260869565216</v>
      </c>
      <c r="I22" s="80" t="str">
        <f>IFERROR(VLOOKUP($B22,'LEGEND&amp;DATA'!$F$20:$AB$90,16,FALSE),"")</f>
        <v>N/A</v>
      </c>
      <c r="J22" s="308" t="str">
        <f>IFERROR(VLOOKUP($B22,'LEGEND&amp;DATA'!$F$20:$AB$90,18,FALSE),"")</f>
        <v>-</v>
      </c>
      <c r="K22" s="317">
        <f>IFERROR(VLOOKUP($B22,'LEGEND&amp;DATA'!$F$20:$AB$90,20,FALSE),"")</f>
        <v>2.6666666666666665</v>
      </c>
      <c r="L22" s="80">
        <f>IFERROR(VLOOKUP($B22,'LEGEND&amp;DATA'!$F$20:$AB$90,22,FALSE),"")</f>
        <v>0.5714285714285714</v>
      </c>
      <c r="M22" s="128">
        <f>IFERROR(VLOOKUP($B22,'LEGEND&amp;DATA'!$F$20:$AE$90,26,FALSE),"")</f>
        <v>1</v>
      </c>
      <c r="N22" s="9"/>
    </row>
    <row r="23" spans="1:14" ht="16" customHeight="1" x14ac:dyDescent="0.35">
      <c r="A23" s="423">
        <v>2</v>
      </c>
      <c r="B23" s="3" t="str">
        <f>IF($A23&gt;KEY!$B$2,"",IFERROR(VLOOKUP($A23,'LEGEND&amp;DATA'!$E$20:$F$90,2,FALSE),""))</f>
        <v>BMW of San Diego</v>
      </c>
      <c r="C23" s="15">
        <f>IFERROR(VLOOKUP($B23,'LEGEND&amp;DATA'!$F$20:$AB$90,2,FALSE),"")</f>
        <v>1.0472727272727274</v>
      </c>
      <c r="D23" s="304">
        <f>IFERROR(VLOOKUP($B23,'LEGEND&amp;DATA'!$F$20:$AB$90,4,FALSE),"")</f>
        <v>1.7999999999999998</v>
      </c>
      <c r="E23" s="127">
        <f>IFERROR(VLOOKUP($B23,'LEGEND&amp;DATA'!$F$20:$AB$90,8,FALSE),"")</f>
        <v>2.7826086956521738</v>
      </c>
      <c r="F23" s="308">
        <f>IFERROR(VLOOKUP($B23,'LEGEND&amp;DATA'!$F$20:$AB$90,10,FALSE),"")</f>
        <v>0.88</v>
      </c>
      <c r="G23" s="10">
        <f>IFERROR(VLOOKUP($B23,'LEGEND&amp;DATA'!$F$20:$AB$90,12,FALSE),"")</f>
        <v>0.18289085545722714</v>
      </c>
      <c r="H23" s="317">
        <f>IFERROR(VLOOKUP($B23,'LEGEND&amp;DATA'!$F$20:$AB$90,14,FALSE),"")</f>
        <v>0.25925925925925924</v>
      </c>
      <c r="I23" s="80">
        <f>IFERROR(VLOOKUP($B23,'LEGEND&amp;DATA'!$F$20:$AB$90,16,FALSE),"")</f>
        <v>0.82</v>
      </c>
      <c r="J23" s="308" t="str">
        <f>IFERROR(VLOOKUP($B23,'LEGEND&amp;DATA'!$F$20:$AB$90,18,FALSE),"")</f>
        <v>-</v>
      </c>
      <c r="K23" s="317">
        <f>IFERROR(VLOOKUP($B23,'LEGEND&amp;DATA'!$F$20:$AB$90,20,FALSE),"")</f>
        <v>0.96047430830039526</v>
      </c>
      <c r="L23" s="80">
        <f>IFERROR(VLOOKUP($B23,'LEGEND&amp;DATA'!$F$20:$AB$90,22,FALSE),"")</f>
        <v>0.64827586206896548</v>
      </c>
      <c r="M23" s="128">
        <f>IFERROR(VLOOKUP($B23,'LEGEND&amp;DATA'!$F$20:$AE$90,26,FALSE),"")</f>
        <v>0.99</v>
      </c>
      <c r="N23" s="9"/>
    </row>
    <row r="24" spans="1:14" ht="16" customHeight="1" x14ac:dyDescent="0.35">
      <c r="A24" s="423">
        <v>3</v>
      </c>
      <c r="B24" s="3" t="str">
        <f>IF($A24&gt;KEY!$B$2,"",IFERROR(VLOOKUP($A24,'LEGEND&amp;DATA'!$E$20:$F$90,2,FALSE),""))</f>
        <v>Lexus San Diego</v>
      </c>
      <c r="C24" s="15">
        <f>IFERROR(VLOOKUP($B24,'LEGEND&amp;DATA'!$F$20:$AB$90,2,FALSE),"")</f>
        <v>1.4364406779661016</v>
      </c>
      <c r="D24" s="304">
        <f>IFERROR(VLOOKUP($B24,'LEGEND&amp;DATA'!$F$20:$AB$90,4,FALSE),"")</f>
        <v>2.8536585365853662</v>
      </c>
      <c r="E24" s="127">
        <f>IFERROR(VLOOKUP($B24,'LEGEND&amp;DATA'!$F$20:$AB$90,8,FALSE),"")</f>
        <v>2.4117647058823528</v>
      </c>
      <c r="F24" s="308">
        <f>IFERROR(VLOOKUP($B24,'LEGEND&amp;DATA'!$F$20:$AB$90,10,FALSE),"")</f>
        <v>0.875</v>
      </c>
      <c r="G24" s="10">
        <f>IFERROR(VLOOKUP($B24,'LEGEND&amp;DATA'!$F$20:$AB$90,12,FALSE),"")</f>
        <v>0.15807560137457044</v>
      </c>
      <c r="H24" s="317">
        <f>IFERROR(VLOOKUP($B24,'LEGEND&amp;DATA'!$F$20:$AB$90,14,FALSE),"")</f>
        <v>0.26530612244897961</v>
      </c>
      <c r="I24" s="80">
        <f>IFERROR(VLOOKUP($B24,'LEGEND&amp;DATA'!$F$20:$AB$90,16,FALSE),"")</f>
        <v>0.75</v>
      </c>
      <c r="J24" s="308" t="str">
        <f>IFERROR(VLOOKUP($B24,'LEGEND&amp;DATA'!$F$20:$AB$90,18,FALSE),"")</f>
        <v>-</v>
      </c>
      <c r="K24" s="317">
        <f>IFERROR(VLOOKUP($B24,'LEGEND&amp;DATA'!$F$20:$AB$90,20,FALSE),"")</f>
        <v>1.5267379679144386</v>
      </c>
      <c r="L24" s="80">
        <f>IFERROR(VLOOKUP($B24,'LEGEND&amp;DATA'!$F$20:$AB$90,22,FALSE),"")</f>
        <v>0.55294117647058827</v>
      </c>
      <c r="M24" s="128">
        <f>IFERROR(VLOOKUP($B24,'LEGEND&amp;DATA'!$F$20:$AE$90,26,FALSE),"")</f>
        <v>0.99</v>
      </c>
      <c r="N24" s="9"/>
    </row>
    <row r="25" spans="1:14" ht="16" customHeight="1" x14ac:dyDescent="0.35">
      <c r="A25" s="423">
        <v>4</v>
      </c>
      <c r="B25" s="3" t="str">
        <f>IF($A25&gt;KEY!$B$2,"",IFERROR(VLOOKUP($A25,'LEGEND&amp;DATA'!$E$20:$F$90,2,FALSE),""))</f>
        <v>Mercedes-Benz of North Scottsdale</v>
      </c>
      <c r="C25" s="15">
        <f>IFERROR(VLOOKUP($B25,'LEGEND&amp;DATA'!$F$20:$AB$90,2,FALSE),"")</f>
        <v>0.95986622073578598</v>
      </c>
      <c r="D25" s="304">
        <f>IFERROR(VLOOKUP($B25,'LEGEND&amp;DATA'!$F$20:$AB$90,4,FALSE),"")</f>
        <v>3.3684210526315788</v>
      </c>
      <c r="E25" s="127">
        <f>IFERROR(VLOOKUP($B25,'LEGEND&amp;DATA'!$F$20:$AB$90,8,FALSE),"")</f>
        <v>2.8333333333333335</v>
      </c>
      <c r="F25" s="308">
        <f>IFERROR(VLOOKUP($B25,'LEGEND&amp;DATA'!$F$20:$AB$90,10,FALSE),"")</f>
        <v>1</v>
      </c>
      <c r="G25" s="10">
        <f>IFERROR(VLOOKUP($B25,'LEGEND&amp;DATA'!$F$20:$AB$90,12,FALSE),"")</f>
        <v>0.14285714285714285</v>
      </c>
      <c r="H25" s="317">
        <f>IFERROR(VLOOKUP($B25,'LEGEND&amp;DATA'!$F$20:$AB$90,14,FALSE),"")</f>
        <v>0.28440366972477066</v>
      </c>
      <c r="I25" s="80">
        <f>IFERROR(VLOOKUP($B25,'LEGEND&amp;DATA'!$F$20:$AB$90,16,FALSE),"")</f>
        <v>0.8125</v>
      </c>
      <c r="J25" s="308" t="str">
        <f>IFERROR(VLOOKUP($B25,'LEGEND&amp;DATA'!$F$20:$AB$90,18,FALSE),"")</f>
        <v>-</v>
      </c>
      <c r="K25" s="317">
        <f>IFERROR(VLOOKUP($B25,'LEGEND&amp;DATA'!$F$20:$AB$90,20,FALSE),"")</f>
        <v>0.89393939393939392</v>
      </c>
      <c r="L25" s="80">
        <f>IFERROR(VLOOKUP($B25,'LEGEND&amp;DATA'!$F$20:$AB$90,22,FALSE),"")</f>
        <v>0.64451827242524917</v>
      </c>
      <c r="M25" s="128">
        <f>IFERROR(VLOOKUP($B25,'LEGEND&amp;DATA'!$F$20:$AE$90,26,FALSE),"")</f>
        <v>0.96</v>
      </c>
      <c r="N25" s="9"/>
    </row>
    <row r="26" spans="1:14" ht="16" customHeight="1" x14ac:dyDescent="0.35">
      <c r="A26" s="423">
        <v>5</v>
      </c>
      <c r="B26" s="3" t="str">
        <f>IF($A26&gt;KEY!$B$2,"",IFERROR(VLOOKUP($A26,'LEGEND&amp;DATA'!$E$20:$F$90,2,FALSE),""))</f>
        <v>Toyota of Surprise</v>
      </c>
      <c r="C26" s="15">
        <f>IFERROR(VLOOKUP($B26,'LEGEND&amp;DATA'!$F$20:$AB$90,2,FALSE),"")</f>
        <v>0.95962732919254656</v>
      </c>
      <c r="D26" s="304">
        <f>IFERROR(VLOOKUP($B26,'LEGEND&amp;DATA'!$F$20:$AB$90,4,FALSE),"")</f>
        <v>3</v>
      </c>
      <c r="E26" s="127">
        <f>IFERROR(VLOOKUP($B26,'LEGEND&amp;DATA'!$F$20:$AB$90,8,FALSE),"")</f>
        <v>2.6</v>
      </c>
      <c r="F26" s="308">
        <f>IFERROR(VLOOKUP($B26,'LEGEND&amp;DATA'!$F$20:$AB$90,10,FALSE),"")</f>
        <v>1</v>
      </c>
      <c r="G26" s="10">
        <f>IFERROR(VLOOKUP($B26,'LEGEND&amp;DATA'!$F$20:$AB$90,12,FALSE),"")</f>
        <v>0.14532019704433496</v>
      </c>
      <c r="H26" s="317">
        <f>IFERROR(VLOOKUP($B26,'LEGEND&amp;DATA'!$F$20:$AB$90,14,FALSE),"")</f>
        <v>0.32758620689655171</v>
      </c>
      <c r="I26" s="80">
        <f>IFERROR(VLOOKUP($B26,'LEGEND&amp;DATA'!$F$20:$AB$90,16,FALSE),"")</f>
        <v>1</v>
      </c>
      <c r="J26" s="308" t="str">
        <f>IFERROR(VLOOKUP($B26,'LEGEND&amp;DATA'!$F$20:$AB$90,18,FALSE),"")</f>
        <v>-</v>
      </c>
      <c r="K26" s="317">
        <f>IFERROR(VLOOKUP($B26,'LEGEND&amp;DATA'!$F$20:$AB$90,20,FALSE),"")</f>
        <v>0.86136363636363633</v>
      </c>
      <c r="L26" s="80">
        <f>IFERROR(VLOOKUP($B26,'LEGEND&amp;DATA'!$F$20:$AB$90,22,FALSE),"")</f>
        <v>0.50613496932515334</v>
      </c>
      <c r="M26" s="128">
        <f>IFERROR(VLOOKUP($B26,'LEGEND&amp;DATA'!$F$20:$AE$90,26,FALSE),"")</f>
        <v>0.96</v>
      </c>
      <c r="N26" s="9"/>
    </row>
    <row r="27" spans="1:14" ht="16" customHeight="1" x14ac:dyDescent="0.35">
      <c r="A27" s="423">
        <v>6</v>
      </c>
      <c r="B27" s="3" t="str">
        <f>IF($A27&gt;KEY!$B$2,"",IFERROR(VLOOKUP($A27,'LEGEND&amp;DATA'!$E$20:$F$90,2,FALSE),""))</f>
        <v>Crevier BMW</v>
      </c>
      <c r="C27" s="15">
        <f>IFERROR(VLOOKUP($B27,'LEGEND&amp;DATA'!$F$20:$AB$90,2,FALSE),"")</f>
        <v>0.86875000000000002</v>
      </c>
      <c r="D27" s="304">
        <f>IFERROR(VLOOKUP($B27,'LEGEND&amp;DATA'!$F$20:$AB$90,4,FALSE),"")</f>
        <v>1.6265060240963856</v>
      </c>
      <c r="E27" s="127">
        <f>IFERROR(VLOOKUP($B27,'LEGEND&amp;DATA'!$F$20:$AB$90,8,FALSE),"")</f>
        <v>3.6603773584905661</v>
      </c>
      <c r="F27" s="308">
        <f>IFERROR(VLOOKUP($B27,'LEGEND&amp;DATA'!$F$20:$AB$90,10,FALSE),"")</f>
        <v>1</v>
      </c>
      <c r="G27" s="10">
        <f>IFERROR(VLOOKUP($B27,'LEGEND&amp;DATA'!$F$20:$AB$90,12,FALSE),"")</f>
        <v>0.20079260237780713</v>
      </c>
      <c r="H27" s="317">
        <f>IFERROR(VLOOKUP($B27,'LEGEND&amp;DATA'!$F$20:$AB$90,14,FALSE),"")</f>
        <v>0.32794457274826788</v>
      </c>
      <c r="I27" s="80">
        <f>IFERROR(VLOOKUP($B27,'LEGEND&amp;DATA'!$F$20:$AB$90,16,FALSE),"")</f>
        <v>0.72619047619047616</v>
      </c>
      <c r="J27" s="308" t="str">
        <f>IFERROR(VLOOKUP($B27,'LEGEND&amp;DATA'!$F$20:$AB$90,18,FALSE),"")</f>
        <v>-</v>
      </c>
      <c r="K27" s="317">
        <f>IFERROR(VLOOKUP($B27,'LEGEND&amp;DATA'!$F$20:$AB$90,20,FALSE),"")</f>
        <v>1.4871355060034306</v>
      </c>
      <c r="L27" s="80">
        <f>IFERROR(VLOOKUP($B27,'LEGEND&amp;DATA'!$F$20:$AB$90,22,FALSE),"")</f>
        <v>0.60071301247771836</v>
      </c>
      <c r="M27" s="128">
        <f>IFERROR(VLOOKUP($B27,'LEGEND&amp;DATA'!$F$20:$AE$90,26,FALSE),"")</f>
        <v>0.95</v>
      </c>
      <c r="N27" s="9"/>
    </row>
    <row r="28" spans="1:14" ht="16" customHeight="1" x14ac:dyDescent="0.35">
      <c r="A28" s="423">
        <v>7</v>
      </c>
      <c r="B28" s="3" t="str">
        <f>IF($A28&gt;KEY!$B$2,"",IFERROR(VLOOKUP($A28,'LEGEND&amp;DATA'!$E$20:$F$90,2,FALSE),""))</f>
        <v>Mazda of Escondido</v>
      </c>
      <c r="C28" s="15">
        <f>IFERROR(VLOOKUP($B28,'LEGEND&amp;DATA'!$F$20:$AB$90,2,FALSE),"")</f>
        <v>0.9285714285714286</v>
      </c>
      <c r="D28" s="304">
        <f>IFERROR(VLOOKUP($B28,'LEGEND&amp;DATA'!$F$20:$AB$90,4,FALSE),"")</f>
        <v>1.3333333333333333</v>
      </c>
      <c r="E28" s="127">
        <f>IFERROR(VLOOKUP($B28,'LEGEND&amp;DATA'!$F$20:$AB$90,8,FALSE),"")</f>
        <v>4.333333333333333</v>
      </c>
      <c r="F28" s="308">
        <f>IFERROR(VLOOKUP($B28,'LEGEND&amp;DATA'!$F$20:$AB$90,10,FALSE),"")</f>
        <v>0.75</v>
      </c>
      <c r="G28" s="10">
        <f>IFERROR(VLOOKUP($B28,'LEGEND&amp;DATA'!$F$20:$AB$90,12,FALSE),"")</f>
        <v>0.19892473118279569</v>
      </c>
      <c r="H28" s="317">
        <f>IFERROR(VLOOKUP($B28,'LEGEND&amp;DATA'!$F$20:$AB$90,14,FALSE),"")</f>
        <v>0.30555555555555558</v>
      </c>
      <c r="I28" s="80">
        <f>IFERROR(VLOOKUP($B28,'LEGEND&amp;DATA'!$F$20:$AB$90,16,FALSE),"")</f>
        <v>0.70588235294117652</v>
      </c>
      <c r="J28" s="308" t="str">
        <f>IFERROR(VLOOKUP($B28,'LEGEND&amp;DATA'!$F$20:$AB$90,18,FALSE),"")</f>
        <v>-</v>
      </c>
      <c r="K28" s="317">
        <f>IFERROR(VLOOKUP($B28,'LEGEND&amp;DATA'!$F$20:$AB$90,20,FALSE),"")</f>
        <v>1.106060606060606</v>
      </c>
      <c r="L28" s="80">
        <f>IFERROR(VLOOKUP($B28,'LEGEND&amp;DATA'!$F$20:$AB$90,22,FALSE),"")</f>
        <v>0.97826086956521741</v>
      </c>
      <c r="M28" s="128">
        <f>IFERROR(VLOOKUP($B28,'LEGEND&amp;DATA'!$F$20:$AE$90,26,FALSE),"")</f>
        <v>0.95</v>
      </c>
      <c r="N28" s="9"/>
    </row>
    <row r="29" spans="1:14" ht="16" customHeight="1" x14ac:dyDescent="0.35">
      <c r="A29" s="423">
        <v>8</v>
      </c>
      <c r="B29" s="3" t="str">
        <f>IF($A29&gt;KEY!$B$2,"",IFERROR(VLOOKUP($A29,'LEGEND&amp;DATA'!$E$20:$F$90,2,FALSE),""))</f>
        <v>Porsche Stevens Creek</v>
      </c>
      <c r="C29" s="15">
        <f>IFERROR(VLOOKUP($B29,'LEGEND&amp;DATA'!$F$20:$AB$90,2,FALSE),"")</f>
        <v>1.0507246376811594</v>
      </c>
      <c r="D29" s="304">
        <f>IFERROR(VLOOKUP($B29,'LEGEND&amp;DATA'!$F$20:$AB$90,4,FALSE),"")</f>
        <v>1.9285714285714284</v>
      </c>
      <c r="E29" s="127">
        <f>IFERROR(VLOOKUP($B29,'LEGEND&amp;DATA'!$F$20:$AB$90,8,FALSE),"")</f>
        <v>3.7777777777777777</v>
      </c>
      <c r="F29" s="308">
        <f>IFERROR(VLOOKUP($B29,'LEGEND&amp;DATA'!$F$20:$AB$90,10,FALSE),"")</f>
        <v>0.875</v>
      </c>
      <c r="G29" s="10">
        <f>IFERROR(VLOOKUP($B29,'LEGEND&amp;DATA'!$F$20:$AB$90,12,FALSE),"")</f>
        <v>0.14560439560439561</v>
      </c>
      <c r="H29" s="317">
        <f>IFERROR(VLOOKUP($B29,'LEGEND&amp;DATA'!$F$20:$AB$90,14,FALSE),"")</f>
        <v>0.21714285714285714</v>
      </c>
      <c r="I29" s="80">
        <f>IFERROR(VLOOKUP($B29,'LEGEND&amp;DATA'!$F$20:$AB$90,16,FALSE),"")</f>
        <v>0.66666666666666663</v>
      </c>
      <c r="J29" s="308" t="str">
        <f>IFERROR(VLOOKUP($B29,'LEGEND&amp;DATA'!$F$20:$AB$90,18,FALSE),"")</f>
        <v>-</v>
      </c>
      <c r="K29" s="317">
        <f>IFERROR(VLOOKUP($B29,'LEGEND&amp;DATA'!$F$20:$AB$90,20,FALSE),"")</f>
        <v>1.4444444444444444</v>
      </c>
      <c r="L29" s="80">
        <f>IFERROR(VLOOKUP($B29,'LEGEND&amp;DATA'!$F$20:$AB$90,22,FALSE),"")</f>
        <v>0.55102040816326525</v>
      </c>
      <c r="M29" s="128">
        <f>IFERROR(VLOOKUP($B29,'LEGEND&amp;DATA'!$F$20:$AE$90,26,FALSE),"")</f>
        <v>0.95</v>
      </c>
      <c r="N29" s="9"/>
    </row>
    <row r="30" spans="1:14" ht="16" customHeight="1" x14ac:dyDescent="0.35">
      <c r="A30" s="423">
        <v>9</v>
      </c>
      <c r="B30" s="3" t="str">
        <f>IF($A30&gt;KEY!$B$2,"",IFERROR(VLOOKUP($A30,'LEGEND&amp;DATA'!$E$20:$F$90,2,FALSE),""))</f>
        <v>Honda Leander</v>
      </c>
      <c r="C30" s="15">
        <f>IFERROR(VLOOKUP($B30,'LEGEND&amp;DATA'!$F$20:$AB$90,2,FALSE),"")</f>
        <v>1.0909090909090908</v>
      </c>
      <c r="D30" s="304">
        <f>IFERROR(VLOOKUP($B30,'LEGEND&amp;DATA'!$F$20:$AB$90,4,FALSE),"")</f>
        <v>2.9285714285714284</v>
      </c>
      <c r="E30" s="127">
        <f>IFERROR(VLOOKUP($B30,'LEGEND&amp;DATA'!$F$20:$AB$90,8,FALSE),"")</f>
        <v>2.0714285714285716</v>
      </c>
      <c r="F30" s="308">
        <f>IFERROR(VLOOKUP($B30,'LEGEND&amp;DATA'!$F$20:$AB$90,10,FALSE),"")</f>
        <v>1</v>
      </c>
      <c r="G30" s="10">
        <f>IFERROR(VLOOKUP($B30,'LEGEND&amp;DATA'!$F$20:$AB$90,12,FALSE),"")</f>
        <v>0.13364055299539171</v>
      </c>
      <c r="H30" s="317">
        <f>IFERROR(VLOOKUP($B30,'LEGEND&amp;DATA'!$F$20:$AB$90,14,FALSE),"")</f>
        <v>0.21383647798742139</v>
      </c>
      <c r="I30" s="80">
        <f>IFERROR(VLOOKUP($B30,'LEGEND&amp;DATA'!$F$20:$AB$90,16,FALSE),"")</f>
        <v>0.625</v>
      </c>
      <c r="J30" s="308" t="str">
        <f>IFERROR(VLOOKUP($B30,'LEGEND&amp;DATA'!$F$20:$AB$90,18,FALSE),"")</f>
        <v>-</v>
      </c>
      <c r="K30" s="317">
        <f>IFERROR(VLOOKUP($B30,'LEGEND&amp;DATA'!$F$20:$AB$90,20,FALSE),"")</f>
        <v>1.2402597402597402</v>
      </c>
      <c r="L30" s="80">
        <f>IFERROR(VLOOKUP($B30,'LEGEND&amp;DATA'!$F$20:$AB$90,22,FALSE),"")</f>
        <v>0.51152073732718895</v>
      </c>
      <c r="M30" s="128">
        <f>IFERROR(VLOOKUP($B30,'LEGEND&amp;DATA'!$F$20:$AE$90,26,FALSE),"")</f>
        <v>0.94</v>
      </c>
      <c r="N30" s="9"/>
    </row>
    <row r="31" spans="1:14" ht="16" customHeight="1" x14ac:dyDescent="0.35">
      <c r="A31" s="423">
        <v>10</v>
      </c>
      <c r="B31" s="3" t="str">
        <f>IF($A31&gt;KEY!$B$2,"",IFERROR(VLOOKUP($A31,'LEGEND&amp;DATA'!$E$20:$F$90,2,FALSE),""))</f>
        <v>Lexus of Lakeway</v>
      </c>
      <c r="C31" s="15">
        <f>IFERROR(VLOOKUP($B31,'LEGEND&amp;DATA'!$F$20:$AB$90,2,FALSE),"")</f>
        <v>0.88557213930348255</v>
      </c>
      <c r="D31" s="304">
        <f>IFERROR(VLOOKUP($B31,'LEGEND&amp;DATA'!$F$20:$AB$90,4,FALSE),"")</f>
        <v>1.6</v>
      </c>
      <c r="E31" s="127">
        <f>IFERROR(VLOOKUP($B31,'LEGEND&amp;DATA'!$F$20:$AB$90,8,FALSE),"")</f>
        <v>2.8</v>
      </c>
      <c r="F31" s="308">
        <f>IFERROR(VLOOKUP($B31,'LEGEND&amp;DATA'!$F$20:$AB$90,10,FALSE),"")</f>
        <v>0.875</v>
      </c>
      <c r="G31" s="10">
        <f>IFERROR(VLOOKUP($B31,'LEGEND&amp;DATA'!$F$20:$AB$90,12,FALSE),"")</f>
        <v>0.16599190283400811</v>
      </c>
      <c r="H31" s="317">
        <f>IFERROR(VLOOKUP($B31,'LEGEND&amp;DATA'!$F$20:$AB$90,14,FALSE),"")</f>
        <v>0.29813664596273293</v>
      </c>
      <c r="I31" s="80">
        <f>IFERROR(VLOOKUP($B31,'LEGEND&amp;DATA'!$F$20:$AB$90,16,FALSE),"")</f>
        <v>0.9</v>
      </c>
      <c r="J31" s="308" t="str">
        <f>IFERROR(VLOOKUP($B31,'LEGEND&amp;DATA'!$F$20:$AB$90,18,FALSE),"")</f>
        <v>-</v>
      </c>
      <c r="K31" s="317">
        <f>IFERROR(VLOOKUP($B31,'LEGEND&amp;DATA'!$F$20:$AB$90,20,FALSE),"")</f>
        <v>1.3318181818181818</v>
      </c>
      <c r="L31" s="80">
        <f>IFERROR(VLOOKUP($B31,'LEGEND&amp;DATA'!$F$20:$AB$90,22,FALSE),"")</f>
        <v>0.62146892655367236</v>
      </c>
      <c r="M31" s="128">
        <f>IFERROR(VLOOKUP($B31,'LEGEND&amp;DATA'!$F$20:$AE$90,26,FALSE),"")</f>
        <v>0.94</v>
      </c>
      <c r="N31" s="9"/>
    </row>
    <row r="32" spans="1:14" ht="16" customHeight="1" x14ac:dyDescent="0.35">
      <c r="A32" s="423">
        <v>11</v>
      </c>
      <c r="B32" s="3" t="str">
        <f>IF($A32&gt;KEY!$B$2,"",IFERROR(VLOOKUP($A32,'LEGEND&amp;DATA'!$E$20:$F$90,2,FALSE),""))</f>
        <v>Peter Pan BMW</v>
      </c>
      <c r="C32" s="15">
        <f>IFERROR(VLOOKUP($B32,'LEGEND&amp;DATA'!$F$20:$AB$90,2,FALSE),"")</f>
        <v>0.94262295081967218</v>
      </c>
      <c r="D32" s="304">
        <f>IFERROR(VLOOKUP($B32,'LEGEND&amp;DATA'!$F$20:$AB$90,4,FALSE),"")</f>
        <v>1.9459459459459458</v>
      </c>
      <c r="E32" s="127">
        <f>IFERROR(VLOOKUP($B32,'LEGEND&amp;DATA'!$F$20:$AB$90,8,FALSE),"")</f>
        <v>4.2307692307692308</v>
      </c>
      <c r="F32" s="308">
        <f>IFERROR(VLOOKUP($B32,'LEGEND&amp;DATA'!$F$20:$AB$90,10,FALSE),"")</f>
        <v>0.625</v>
      </c>
      <c r="G32" s="10">
        <f>IFERROR(VLOOKUP($B32,'LEGEND&amp;DATA'!$F$20:$AB$90,12,FALSE),"")</f>
        <v>0.21693121693121692</v>
      </c>
      <c r="H32" s="317">
        <f>IFERROR(VLOOKUP($B32,'LEGEND&amp;DATA'!$F$20:$AB$90,14,FALSE),"")</f>
        <v>0.31213872832369943</v>
      </c>
      <c r="I32" s="80">
        <f>IFERROR(VLOOKUP($B32,'LEGEND&amp;DATA'!$F$20:$AB$90,16,FALSE),"")</f>
        <v>0.70270270270270274</v>
      </c>
      <c r="J32" s="308" t="str">
        <f>IFERROR(VLOOKUP($B32,'LEGEND&amp;DATA'!$F$20:$AB$90,18,FALSE),"")</f>
        <v>-</v>
      </c>
      <c r="K32" s="317">
        <f>IFERROR(VLOOKUP($B32,'LEGEND&amp;DATA'!$F$20:$AB$90,20,FALSE),"")</f>
        <v>1.5629370629370629</v>
      </c>
      <c r="L32" s="80">
        <f>IFERROR(VLOOKUP($B32,'LEGEND&amp;DATA'!$F$20:$AB$90,22,FALSE),"")</f>
        <v>0.81659388646288211</v>
      </c>
      <c r="M32" s="128">
        <f>IFERROR(VLOOKUP($B32,'LEGEND&amp;DATA'!$F$20:$AE$90,26,FALSE),"")</f>
        <v>0.94</v>
      </c>
      <c r="N32" s="9"/>
    </row>
    <row r="33" spans="1:14" ht="16" customHeight="1" x14ac:dyDescent="0.35">
      <c r="A33" s="423">
        <v>12</v>
      </c>
      <c r="B33" s="3" t="str">
        <f>IF($A33&gt;KEY!$B$2,"",IFERROR(VLOOKUP($A33,'LEGEND&amp;DATA'!$E$20:$F$90,2,FALSE),""))</f>
        <v>Porsche North Scottsdale</v>
      </c>
      <c r="C33" s="15">
        <f>IFERROR(VLOOKUP($B33,'LEGEND&amp;DATA'!$F$20:$AB$90,2,FALSE),"")</f>
        <v>1.1764705882352942</v>
      </c>
      <c r="D33" s="304">
        <f>IFERROR(VLOOKUP($B33,'LEGEND&amp;DATA'!$F$20:$AB$90,4,FALSE),"")</f>
        <v>2.8536585365853662</v>
      </c>
      <c r="E33" s="127">
        <f>IFERROR(VLOOKUP($B33,'LEGEND&amp;DATA'!$F$20:$AB$90,8,FALSE),"")</f>
        <v>4.5</v>
      </c>
      <c r="F33" s="308">
        <f>IFERROR(VLOOKUP($B33,'LEGEND&amp;DATA'!$F$20:$AB$90,10,FALSE),"")</f>
        <v>1</v>
      </c>
      <c r="G33" s="10">
        <f>IFERROR(VLOOKUP($B33,'LEGEND&amp;DATA'!$F$20:$AB$90,12,FALSE),"")</f>
        <v>0.17277486910994763</v>
      </c>
      <c r="H33" s="317">
        <f>IFERROR(VLOOKUP($B33,'LEGEND&amp;DATA'!$F$20:$AB$90,14,FALSE),"")</f>
        <v>0.1553398058252427</v>
      </c>
      <c r="I33" s="80">
        <f>IFERROR(VLOOKUP($B33,'LEGEND&amp;DATA'!$F$20:$AB$90,16,FALSE),"")</f>
        <v>0.75</v>
      </c>
      <c r="J33" s="308" t="str">
        <f>IFERROR(VLOOKUP($B33,'LEGEND&amp;DATA'!$F$20:$AB$90,18,FALSE),"")</f>
        <v>-</v>
      </c>
      <c r="K33" s="317">
        <f>IFERROR(VLOOKUP($B33,'LEGEND&amp;DATA'!$F$20:$AB$90,20,FALSE),"")</f>
        <v>1.4053030303030303</v>
      </c>
      <c r="L33" s="80">
        <f>IFERROR(VLOOKUP($B33,'LEGEND&amp;DATA'!$F$20:$AB$90,22,FALSE),"")</f>
        <v>0.62264150943396224</v>
      </c>
      <c r="M33" s="128">
        <f>IFERROR(VLOOKUP($B33,'LEGEND&amp;DATA'!$F$20:$AE$90,26,FALSE),"")</f>
        <v>0.94</v>
      </c>
      <c r="N33" s="9"/>
    </row>
    <row r="34" spans="1:14" ht="16" customHeight="1" x14ac:dyDescent="0.35">
      <c r="A34" s="423">
        <v>13</v>
      </c>
      <c r="B34" s="3" t="str">
        <f>IF($A34&gt;KEY!$B$2,"",IFERROR(VLOOKUP($A34,'LEGEND&amp;DATA'!$E$20:$F$90,2,FALSE),""))</f>
        <v>Capitol Acura</v>
      </c>
      <c r="C34" s="15">
        <f>IFERROR(VLOOKUP($B34,'LEGEND&amp;DATA'!$F$20:$AB$90,2,FALSE),"")</f>
        <v>1.0169491525423728</v>
      </c>
      <c r="D34" s="304">
        <f>IFERROR(VLOOKUP($B34,'LEGEND&amp;DATA'!$F$20:$AB$90,4,FALSE),"")</f>
        <v>2.2000000000000002</v>
      </c>
      <c r="E34" s="127">
        <f>IFERROR(VLOOKUP($B34,'LEGEND&amp;DATA'!$F$20:$AB$90,8,FALSE),"")</f>
        <v>1.5</v>
      </c>
      <c r="F34" s="308">
        <f>IFERROR(VLOOKUP($B34,'LEGEND&amp;DATA'!$F$20:$AB$90,10,FALSE),"")</f>
        <v>0.75</v>
      </c>
      <c r="G34" s="10">
        <f>IFERROR(VLOOKUP($B34,'LEGEND&amp;DATA'!$F$20:$AB$90,12,FALSE),"")</f>
        <v>0.11267605633802817</v>
      </c>
      <c r="H34" s="317">
        <f>IFERROR(VLOOKUP($B34,'LEGEND&amp;DATA'!$F$20:$AB$90,14,FALSE),"")</f>
        <v>0.34285714285714286</v>
      </c>
      <c r="I34" s="80">
        <f>IFERROR(VLOOKUP($B34,'LEGEND&amp;DATA'!$F$20:$AB$90,16,FALSE),"")</f>
        <v>0.88888888888888884</v>
      </c>
      <c r="J34" s="308" t="str">
        <f>IFERROR(VLOOKUP($B34,'LEGEND&amp;DATA'!$F$20:$AB$90,18,FALSE),"")</f>
        <v>-</v>
      </c>
      <c r="K34" s="317">
        <f>IFERROR(VLOOKUP($B34,'LEGEND&amp;DATA'!$F$20:$AB$90,20,FALSE),"")</f>
        <v>0.99242424242424243</v>
      </c>
      <c r="L34" s="80">
        <f>IFERROR(VLOOKUP($B34,'LEGEND&amp;DATA'!$F$20:$AB$90,22,FALSE),"")</f>
        <v>0.53333333333333333</v>
      </c>
      <c r="M34" s="128">
        <f>IFERROR(VLOOKUP($B34,'LEGEND&amp;DATA'!$F$20:$AE$90,26,FALSE),"")</f>
        <v>0.93</v>
      </c>
      <c r="N34" s="9"/>
    </row>
    <row r="35" spans="1:14" ht="16" customHeight="1" x14ac:dyDescent="0.35">
      <c r="A35" s="423">
        <v>14</v>
      </c>
      <c r="B35" s="3" t="str">
        <f>IF($A35&gt;KEY!$B$2,"",IFERROR(VLOOKUP($A35,'LEGEND&amp;DATA'!$E$20:$F$90,2,FALSE),""))</f>
        <v>BMW of Ontario</v>
      </c>
      <c r="C35" s="15">
        <f>IFERROR(VLOOKUP($B35,'LEGEND&amp;DATA'!$F$20:$AB$90,2,FALSE),"")</f>
        <v>1.0027777777777778</v>
      </c>
      <c r="D35" s="304">
        <f>IFERROR(VLOOKUP($B35,'LEGEND&amp;DATA'!$F$20:$AB$90,4,FALSE),"")</f>
        <v>1.6909090909090909</v>
      </c>
      <c r="E35" s="127">
        <f>IFERROR(VLOOKUP($B35,'LEGEND&amp;DATA'!$F$20:$AB$90,8,FALSE),"")</f>
        <v>2</v>
      </c>
      <c r="F35" s="308">
        <f>IFERROR(VLOOKUP($B35,'LEGEND&amp;DATA'!$F$20:$AB$90,10,FALSE),"")</f>
        <v>1</v>
      </c>
      <c r="G35" s="10" t="str">
        <f>IFERROR(VLOOKUP($B35,'LEGEND&amp;DATA'!$F$20:$AB$90,12,FALSE),"")</f>
        <v>N/A</v>
      </c>
      <c r="H35" s="317" t="str">
        <f>IFERROR(VLOOKUP($B35,'LEGEND&amp;DATA'!$F$20:$AB$90,14,FALSE),"")</f>
        <v>N/A</v>
      </c>
      <c r="I35" s="80">
        <f>IFERROR(VLOOKUP($B35,'LEGEND&amp;DATA'!$F$20:$AB$90,16,FALSE),"")</f>
        <v>0.54838709677419351</v>
      </c>
      <c r="J35" s="308" t="str">
        <f>IFERROR(VLOOKUP($B35,'LEGEND&amp;DATA'!$F$20:$AB$90,18,FALSE),"")</f>
        <v>-</v>
      </c>
      <c r="K35" s="317">
        <f>IFERROR(VLOOKUP($B35,'LEGEND&amp;DATA'!$F$20:$AB$90,20,FALSE),"")</f>
        <v>1.1318181818181818</v>
      </c>
      <c r="L35" s="80">
        <f>IFERROR(VLOOKUP($B35,'LEGEND&amp;DATA'!$F$20:$AB$90,22,FALSE),"")</f>
        <v>0.75609756097560976</v>
      </c>
      <c r="M35" s="128">
        <f>IFERROR(VLOOKUP($B35,'LEGEND&amp;DATA'!$F$20:$AE$90,26,FALSE),"")</f>
        <v>0.92105263157894735</v>
      </c>
      <c r="N35" s="9"/>
    </row>
    <row r="36" spans="1:14" ht="16" customHeight="1" x14ac:dyDescent="0.35">
      <c r="A36" s="423">
        <v>15</v>
      </c>
      <c r="B36" s="3" t="str">
        <f>IF($A36&gt;KEY!$B$2,"",IFERROR(VLOOKUP($A36,'LEGEND&amp;DATA'!$E$20:$F$90,2,FALSE),""))</f>
        <v>MINI of San Diego</v>
      </c>
      <c r="C36" s="15">
        <f>IFERROR(VLOOKUP($B36,'LEGEND&amp;DATA'!$F$20:$AB$90,2,FALSE),"")</f>
        <v>1.1346153846153846</v>
      </c>
      <c r="D36" s="304">
        <f>IFERROR(VLOOKUP($B36,'LEGEND&amp;DATA'!$F$20:$AB$90,4,FALSE),"")</f>
        <v>6.5454545454545459</v>
      </c>
      <c r="E36" s="127">
        <f>IFERROR(VLOOKUP($B36,'LEGEND&amp;DATA'!$F$20:$AB$90,8,FALSE),"")</f>
        <v>4</v>
      </c>
      <c r="F36" s="308">
        <f>IFERROR(VLOOKUP($B36,'LEGEND&amp;DATA'!$F$20:$AB$90,10,FALSE),"")</f>
        <v>1</v>
      </c>
      <c r="G36" s="10">
        <f>IFERROR(VLOOKUP($B36,'LEGEND&amp;DATA'!$F$20:$AB$90,12,FALSE),"")</f>
        <v>0.2</v>
      </c>
      <c r="H36" s="317">
        <f>IFERROR(VLOOKUP($B36,'LEGEND&amp;DATA'!$F$20:$AB$90,14,FALSE),"")</f>
        <v>0.25</v>
      </c>
      <c r="I36" s="80">
        <f>IFERROR(VLOOKUP($B36,'LEGEND&amp;DATA'!$F$20:$AB$90,16,FALSE),"")</f>
        <v>0.5</v>
      </c>
      <c r="J36" s="308" t="str">
        <f>IFERROR(VLOOKUP($B36,'LEGEND&amp;DATA'!$F$20:$AB$90,18,FALSE),"")</f>
        <v>-</v>
      </c>
      <c r="K36" s="317">
        <f>IFERROR(VLOOKUP($B36,'LEGEND&amp;DATA'!$F$20:$AB$90,20,FALSE),"")</f>
        <v>0.97727272727272729</v>
      </c>
      <c r="L36" s="80">
        <f>IFERROR(VLOOKUP($B36,'LEGEND&amp;DATA'!$F$20:$AB$90,22,FALSE),"")</f>
        <v>0.57627118644067798</v>
      </c>
      <c r="M36" s="128">
        <f>IFERROR(VLOOKUP($B36,'LEGEND&amp;DATA'!$F$20:$AE$90,26,FALSE),"")</f>
        <v>0.92</v>
      </c>
      <c r="N36" s="9"/>
    </row>
    <row r="37" spans="1:14" ht="16" customHeight="1" x14ac:dyDescent="0.35">
      <c r="A37" s="423">
        <v>16</v>
      </c>
      <c r="B37" s="3" t="str">
        <f>IF($A37&gt;KEY!$B$2,"",IFERROR(VLOOKUP($A37,'LEGEND&amp;DATA'!$E$20:$F$90,2,FALSE),""))</f>
        <v>Mercedes-Benz of Chandler</v>
      </c>
      <c r="C37" s="15">
        <f>IFERROR(VLOOKUP($B37,'LEGEND&amp;DATA'!$F$20:$AB$90,2,FALSE),"")</f>
        <v>1.3246753246753247</v>
      </c>
      <c r="D37" s="304">
        <f>IFERROR(VLOOKUP($B37,'LEGEND&amp;DATA'!$F$20:$AB$90,4,FALSE),"")</f>
        <v>2.7692307692307696</v>
      </c>
      <c r="E37" s="127">
        <f>IFERROR(VLOOKUP($B37,'LEGEND&amp;DATA'!$F$20:$AB$90,8,FALSE),"")</f>
        <v>1.7777777777777777</v>
      </c>
      <c r="F37" s="308">
        <f>IFERROR(VLOOKUP($B37,'LEGEND&amp;DATA'!$F$20:$AB$90,10,FALSE),"")</f>
        <v>1</v>
      </c>
      <c r="G37" s="10">
        <f>IFERROR(VLOOKUP($B37,'LEGEND&amp;DATA'!$F$20:$AB$90,12,FALSE),"")</f>
        <v>0.13934426229508196</v>
      </c>
      <c r="H37" s="317">
        <f>IFERROR(VLOOKUP($B37,'LEGEND&amp;DATA'!$F$20:$AB$90,14,FALSE),"")</f>
        <v>0.2247191011235955</v>
      </c>
      <c r="I37" s="80">
        <f>IFERROR(VLOOKUP($B37,'LEGEND&amp;DATA'!$F$20:$AB$90,16,FALSE),"")</f>
        <v>0.66666666666666663</v>
      </c>
      <c r="J37" s="308" t="str">
        <f>IFERROR(VLOOKUP($B37,'LEGEND&amp;DATA'!$F$20:$AB$90,18,FALSE),"")</f>
        <v>-</v>
      </c>
      <c r="K37" s="317">
        <f>IFERROR(VLOOKUP($B37,'LEGEND&amp;DATA'!$F$20:$AB$90,20,FALSE),"")</f>
        <v>0.84848484848484851</v>
      </c>
      <c r="L37" s="80">
        <f>IFERROR(VLOOKUP($B37,'LEGEND&amp;DATA'!$F$20:$AB$90,22,FALSE),"")</f>
        <v>0.73076923076923073</v>
      </c>
      <c r="M37" s="128">
        <f>IFERROR(VLOOKUP($B37,'LEGEND&amp;DATA'!$F$20:$AE$90,26,FALSE),"")</f>
        <v>0.91</v>
      </c>
      <c r="N37" s="9"/>
    </row>
    <row r="38" spans="1:14" ht="16" customHeight="1" x14ac:dyDescent="0.35">
      <c r="A38" s="423">
        <v>17</v>
      </c>
      <c r="B38" s="3" t="str">
        <f>IF($A38&gt;KEY!$B$2,"",IFERROR(VLOOKUP($A38,'LEGEND&amp;DATA'!$E$20:$F$90,2,FALSE),""))</f>
        <v>MINI of Austin</v>
      </c>
      <c r="C38" s="15">
        <f>IFERROR(VLOOKUP($B38,'LEGEND&amp;DATA'!$F$20:$AB$90,2,FALSE),"")</f>
        <v>0.86363636363636365</v>
      </c>
      <c r="D38" s="304">
        <f>IFERROR(VLOOKUP($B38,'LEGEND&amp;DATA'!$F$20:$AB$90,4,FALSE),"")</f>
        <v>2.75</v>
      </c>
      <c r="E38" s="127">
        <f>IFERROR(VLOOKUP($B38,'LEGEND&amp;DATA'!$F$20:$AB$90,8,FALSE),"")</f>
        <v>2.25</v>
      </c>
      <c r="F38" s="308">
        <f>IFERROR(VLOOKUP($B38,'LEGEND&amp;DATA'!$F$20:$AB$90,10,FALSE),"")</f>
        <v>1</v>
      </c>
      <c r="G38" s="10">
        <f>IFERROR(VLOOKUP($B38,'LEGEND&amp;DATA'!$F$20:$AB$90,12,FALSE),"")</f>
        <v>0.17391304347826086</v>
      </c>
      <c r="H38" s="317">
        <f>IFERROR(VLOOKUP($B38,'LEGEND&amp;DATA'!$F$20:$AB$90,14,FALSE),"")</f>
        <v>0.23076923076923078</v>
      </c>
      <c r="I38" s="80">
        <f>IFERROR(VLOOKUP($B38,'LEGEND&amp;DATA'!$F$20:$AB$90,16,FALSE),"")</f>
        <v>0.7142857142857143</v>
      </c>
      <c r="J38" s="308" t="str">
        <f>IFERROR(VLOOKUP($B38,'LEGEND&amp;DATA'!$F$20:$AB$90,18,FALSE),"")</f>
        <v>-</v>
      </c>
      <c r="K38" s="317">
        <f>IFERROR(VLOOKUP($B38,'LEGEND&amp;DATA'!$F$20:$AB$90,20,FALSE),"")</f>
        <v>0.82954545454545459</v>
      </c>
      <c r="L38" s="80">
        <f>IFERROR(VLOOKUP($B38,'LEGEND&amp;DATA'!$F$20:$AB$90,22,FALSE),"")</f>
        <v>1.0526315789473684</v>
      </c>
      <c r="M38" s="128">
        <f>IFERROR(VLOOKUP($B38,'LEGEND&amp;DATA'!$F$20:$AE$90,26,FALSE),"")</f>
        <v>0.91</v>
      </c>
      <c r="N38" s="9"/>
    </row>
    <row r="39" spans="1:14" ht="16" customHeight="1" x14ac:dyDescent="0.35">
      <c r="A39" s="423">
        <v>18</v>
      </c>
      <c r="B39" s="3" t="str">
        <f>IF($A39&gt;KEY!$B$2,"",IFERROR(VLOOKUP($A39,'LEGEND&amp;DATA'!$E$20:$F$90,2,FALSE),""))</f>
        <v>Motorwerks BMW</v>
      </c>
      <c r="C39" s="15">
        <f>IFERROR(VLOOKUP($B39,'LEGEND&amp;DATA'!$F$20:$AB$90,2,FALSE),"")</f>
        <v>0.86687306501547989</v>
      </c>
      <c r="D39" s="304">
        <f>IFERROR(VLOOKUP($B39,'LEGEND&amp;DATA'!$F$20:$AB$90,4,FALSE),"")</f>
        <v>2.6315789473684212</v>
      </c>
      <c r="E39" s="127">
        <f>IFERROR(VLOOKUP($B39,'LEGEND&amp;DATA'!$F$20:$AB$90,8,FALSE),"")</f>
        <v>3.5</v>
      </c>
      <c r="F39" s="308">
        <f>IFERROR(VLOOKUP($B39,'LEGEND&amp;DATA'!$F$20:$AB$90,10,FALSE),"")</f>
        <v>0.625</v>
      </c>
      <c r="G39" s="10">
        <f>IFERROR(VLOOKUP($B39,'LEGEND&amp;DATA'!$F$20:$AB$90,12,FALSE),"")</f>
        <v>0.19651741293532338</v>
      </c>
      <c r="H39" s="317">
        <f>IFERROR(VLOOKUP($B39,'LEGEND&amp;DATA'!$F$20:$AB$90,14,FALSE),"")</f>
        <v>0.29411764705882354</v>
      </c>
      <c r="I39" s="80">
        <f>IFERROR(VLOOKUP($B39,'LEGEND&amp;DATA'!$F$20:$AB$90,16,FALSE),"")</f>
        <v>0.875</v>
      </c>
      <c r="J39" s="308" t="str">
        <f>IFERROR(VLOOKUP($B39,'LEGEND&amp;DATA'!$F$20:$AB$90,18,FALSE),"")</f>
        <v>-</v>
      </c>
      <c r="K39" s="317">
        <f>IFERROR(VLOOKUP($B39,'LEGEND&amp;DATA'!$F$20:$AB$90,20,FALSE),"")</f>
        <v>0.99494949494949492</v>
      </c>
      <c r="L39" s="80">
        <f>IFERROR(VLOOKUP($B39,'LEGEND&amp;DATA'!$F$20:$AB$90,22,FALSE),"")</f>
        <v>0.49290780141843971</v>
      </c>
      <c r="M39" s="128">
        <f>IFERROR(VLOOKUP($B39,'LEGEND&amp;DATA'!$F$20:$AE$90,26,FALSE),"")</f>
        <v>0.9</v>
      </c>
      <c r="N39" s="9"/>
    </row>
    <row r="40" spans="1:14" ht="16" customHeight="1" x14ac:dyDescent="0.35">
      <c r="A40" s="423">
        <v>19</v>
      </c>
      <c r="B40" s="3" t="str">
        <f>IF($A40&gt;KEY!$B$2,"",IFERROR(VLOOKUP($A40,'LEGEND&amp;DATA'!$E$20:$F$90,2,FALSE),""))</f>
        <v>Audi Escondido</v>
      </c>
      <c r="C40" s="15">
        <f>IFERROR(VLOOKUP($B40,'LEGEND&amp;DATA'!$F$20:$AB$90,2,FALSE),"")</f>
        <v>1.1551724137931034</v>
      </c>
      <c r="D40" s="304">
        <f>IFERROR(VLOOKUP($B40,'LEGEND&amp;DATA'!$F$20:$AB$90,4,FALSE),"")</f>
        <v>3</v>
      </c>
      <c r="E40" s="127">
        <f>IFERROR(VLOOKUP($B40,'LEGEND&amp;DATA'!$F$20:$AB$90,8,FALSE),"")</f>
        <v>4</v>
      </c>
      <c r="F40" s="308">
        <f>IFERROR(VLOOKUP($B40,'LEGEND&amp;DATA'!$F$20:$AB$90,10,FALSE),"")</f>
        <v>0.875</v>
      </c>
      <c r="G40" s="10">
        <f>IFERROR(VLOOKUP($B40,'LEGEND&amp;DATA'!$F$20:$AB$90,12,FALSE),"")</f>
        <v>0.22535211267605634</v>
      </c>
      <c r="H40" s="317">
        <f>IFERROR(VLOOKUP($B40,'LEGEND&amp;DATA'!$F$20:$AB$90,14,FALSE),"")</f>
        <v>0.55172413793103448</v>
      </c>
      <c r="I40" s="80">
        <f>IFERROR(VLOOKUP($B40,'LEGEND&amp;DATA'!$F$20:$AB$90,16,FALSE),"")</f>
        <v>0.8</v>
      </c>
      <c r="J40" s="308" t="str">
        <f>IFERROR(VLOOKUP($B40,'LEGEND&amp;DATA'!$F$20:$AB$90,18,FALSE),"")</f>
        <v>-</v>
      </c>
      <c r="K40" s="317">
        <f>IFERROR(VLOOKUP($B40,'LEGEND&amp;DATA'!$F$20:$AB$90,20,FALSE),"")</f>
        <v>0.65454545454545454</v>
      </c>
      <c r="L40" s="80">
        <f>IFERROR(VLOOKUP($B40,'LEGEND&amp;DATA'!$F$20:$AB$90,22,FALSE),"")</f>
        <v>0.59701492537313428</v>
      </c>
      <c r="M40" s="128">
        <f>IFERROR(VLOOKUP($B40,'LEGEND&amp;DATA'!$F$20:$AE$90,26,FALSE),"")</f>
        <v>0.89</v>
      </c>
      <c r="N40" s="9"/>
    </row>
    <row r="41" spans="1:14" ht="16" customHeight="1" x14ac:dyDescent="0.35">
      <c r="A41" s="423">
        <v>20</v>
      </c>
      <c r="B41" s="3" t="str">
        <f>IF($A41&gt;KEY!$B$2,"",IFERROR(VLOOKUP($A41,'LEGEND&amp;DATA'!$E$20:$F$90,2,FALSE),""))</f>
        <v>Round Rock Hyundai</v>
      </c>
      <c r="C41" s="15">
        <f>IFERROR(VLOOKUP($B41,'LEGEND&amp;DATA'!$F$20:$AB$90,2,FALSE),"")</f>
        <v>0.952191235059761</v>
      </c>
      <c r="D41" s="304">
        <f>IFERROR(VLOOKUP($B41,'LEGEND&amp;DATA'!$F$20:$AB$90,4,FALSE),"")</f>
        <v>0.84782608695652173</v>
      </c>
      <c r="E41" s="127">
        <f>IFERROR(VLOOKUP($B41,'LEGEND&amp;DATA'!$F$20:$AB$90,8,FALSE),"")</f>
        <v>3</v>
      </c>
      <c r="F41" s="308">
        <f>IFERROR(VLOOKUP($B41,'LEGEND&amp;DATA'!$F$20:$AB$90,10,FALSE),"")</f>
        <v>0.75</v>
      </c>
      <c r="G41" s="10">
        <f>IFERROR(VLOOKUP($B41,'LEGEND&amp;DATA'!$F$20:$AB$90,12,FALSE),"")</f>
        <v>0.14603960396039603</v>
      </c>
      <c r="H41" s="317">
        <f>IFERROR(VLOOKUP($B41,'LEGEND&amp;DATA'!$F$20:$AB$90,14,FALSE),"")</f>
        <v>0.28497409326424872</v>
      </c>
      <c r="I41" s="80">
        <f>IFERROR(VLOOKUP($B41,'LEGEND&amp;DATA'!$F$20:$AB$90,16,FALSE),"")</f>
        <v>0.6</v>
      </c>
      <c r="J41" s="308" t="str">
        <f>IFERROR(VLOOKUP($B41,'LEGEND&amp;DATA'!$F$20:$AB$90,18,FALSE),"")</f>
        <v>-</v>
      </c>
      <c r="K41" s="317">
        <f>IFERROR(VLOOKUP($B41,'LEGEND&amp;DATA'!$F$20:$AB$90,20,FALSE),"")</f>
        <v>1.1666666666666667</v>
      </c>
      <c r="L41" s="80">
        <f>IFERROR(VLOOKUP($B41,'LEGEND&amp;DATA'!$F$20:$AB$90,22,FALSE),"")</f>
        <v>0.5829596412556054</v>
      </c>
      <c r="M41" s="128">
        <f>IFERROR(VLOOKUP($B41,'LEGEND&amp;DATA'!$F$20:$AE$90,26,FALSE),"")</f>
        <v>0.89</v>
      </c>
      <c r="N41" s="9"/>
    </row>
    <row r="42" spans="1:14" ht="16" customHeight="1" x14ac:dyDescent="0.35">
      <c r="A42" s="423">
        <v>21</v>
      </c>
      <c r="B42" s="3" t="str">
        <f>IF($A42&gt;KEY!$B$2,"",IFERROR(VLOOKUP($A42,'LEGEND&amp;DATA'!$E$20:$F$90,2,FALSE),""))</f>
        <v>Audi North Scottsdale</v>
      </c>
      <c r="C42" s="15">
        <f>IFERROR(VLOOKUP($B42,'LEGEND&amp;DATA'!$F$20:$AB$90,2,FALSE),"")</f>
        <v>1.0070422535211268</v>
      </c>
      <c r="D42" s="304">
        <f>IFERROR(VLOOKUP($B42,'LEGEND&amp;DATA'!$F$20:$AB$90,4,FALSE),"")</f>
        <v>0.9375</v>
      </c>
      <c r="E42" s="127">
        <f>IFERROR(VLOOKUP($B42,'LEGEND&amp;DATA'!$F$20:$AB$90,8,FALSE),"")</f>
        <v>2.5</v>
      </c>
      <c r="F42" s="308">
        <f>IFERROR(VLOOKUP($B42,'LEGEND&amp;DATA'!$F$20:$AB$90,10,FALSE),"")</f>
        <v>1</v>
      </c>
      <c r="G42" s="10">
        <f>IFERROR(VLOOKUP($B42,'LEGEND&amp;DATA'!$F$20:$AB$90,12,FALSE),"")</f>
        <v>0.13898305084745763</v>
      </c>
      <c r="H42" s="317">
        <f>IFERROR(VLOOKUP($B42,'LEGEND&amp;DATA'!$F$20:$AB$90,14,FALSE),"")</f>
        <v>0.18461538461538463</v>
      </c>
      <c r="I42" s="80">
        <f>IFERROR(VLOOKUP($B42,'LEGEND&amp;DATA'!$F$20:$AB$90,16,FALSE),"")</f>
        <v>0.5714285714285714</v>
      </c>
      <c r="J42" s="308" t="str">
        <f>IFERROR(VLOOKUP($B42,'LEGEND&amp;DATA'!$F$20:$AB$90,18,FALSE),"")</f>
        <v>-</v>
      </c>
      <c r="K42" s="317">
        <f>IFERROR(VLOOKUP($B42,'LEGEND&amp;DATA'!$F$20:$AB$90,20,FALSE),"")</f>
        <v>0.89090909090909087</v>
      </c>
      <c r="L42" s="80">
        <f>IFERROR(VLOOKUP($B42,'LEGEND&amp;DATA'!$F$20:$AB$90,22,FALSE),"")</f>
        <v>0.68531468531468531</v>
      </c>
      <c r="M42" s="128">
        <f>IFERROR(VLOOKUP($B42,'LEGEND&amp;DATA'!$F$20:$AE$90,26,FALSE),"")</f>
        <v>0.88</v>
      </c>
      <c r="N42" s="9"/>
    </row>
    <row r="43" spans="1:14" ht="16" customHeight="1" x14ac:dyDescent="0.35">
      <c r="A43" s="423">
        <v>22</v>
      </c>
      <c r="B43" s="3" t="str">
        <f>IF($A43&gt;KEY!$B$2,"",IFERROR(VLOOKUP($A43,'LEGEND&amp;DATA'!$E$20:$F$90,2,FALSE),""))</f>
        <v>Crevier MINI</v>
      </c>
      <c r="C43" s="15">
        <f>IFERROR(VLOOKUP($B43,'LEGEND&amp;DATA'!$F$20:$AB$90,2,FALSE),"")</f>
        <v>1.2619047619047619</v>
      </c>
      <c r="D43" s="304">
        <f>IFERROR(VLOOKUP($B43,'LEGEND&amp;DATA'!$F$20:$AB$90,4,FALSE),"")</f>
        <v>5.2941176470588234</v>
      </c>
      <c r="E43" s="127">
        <f>IFERROR(VLOOKUP($B43,'LEGEND&amp;DATA'!$F$20:$AB$90,8,FALSE),"")</f>
        <v>2</v>
      </c>
      <c r="F43" s="308">
        <f>IFERROR(VLOOKUP($B43,'LEGEND&amp;DATA'!$F$20:$AB$90,10,FALSE),"")</f>
        <v>1</v>
      </c>
      <c r="G43" s="10">
        <f>IFERROR(VLOOKUP($B43,'LEGEND&amp;DATA'!$F$20:$AB$90,12,FALSE),"")</f>
        <v>0.33333333333333331</v>
      </c>
      <c r="H43" s="317">
        <f>IFERROR(VLOOKUP($B43,'LEGEND&amp;DATA'!$F$20:$AB$90,14,FALSE),"")</f>
        <v>0.25</v>
      </c>
      <c r="I43" s="80">
        <f>IFERROR(VLOOKUP($B43,'LEGEND&amp;DATA'!$F$20:$AB$90,16,FALSE),"")</f>
        <v>0.36363636363636365</v>
      </c>
      <c r="J43" s="308" t="str">
        <f>IFERROR(VLOOKUP($B43,'LEGEND&amp;DATA'!$F$20:$AB$90,18,FALSE),"")</f>
        <v>-</v>
      </c>
      <c r="K43" s="317">
        <f>IFERROR(VLOOKUP($B43,'LEGEND&amp;DATA'!$F$20:$AB$90,20,FALSE),"")</f>
        <v>1.0649350649350648</v>
      </c>
      <c r="L43" s="80">
        <f>IFERROR(VLOOKUP($B43,'LEGEND&amp;DATA'!$F$20:$AB$90,22,FALSE),"")</f>
        <v>0.81481481481481477</v>
      </c>
      <c r="M43" s="128">
        <f>IFERROR(VLOOKUP($B43,'LEGEND&amp;DATA'!$F$20:$AE$90,26,FALSE),"")</f>
        <v>0.88</v>
      </c>
      <c r="N43" s="9"/>
    </row>
    <row r="44" spans="1:14" ht="16" customHeight="1" x14ac:dyDescent="0.35">
      <c r="A44" s="423">
        <v>23</v>
      </c>
      <c r="B44" s="3" t="str">
        <f>IF($A44&gt;KEY!$B$2,"",IFERROR(VLOOKUP($A44,'LEGEND&amp;DATA'!$E$20:$F$90,2,FALSE),""))</f>
        <v>Subaru Orange Coast</v>
      </c>
      <c r="C44" s="15">
        <f>IFERROR(VLOOKUP($B44,'LEGEND&amp;DATA'!$F$20:$AB$90,2,FALSE),"")</f>
        <v>0.5679012345679012</v>
      </c>
      <c r="D44" s="304">
        <f>IFERROR(VLOOKUP($B44,'LEGEND&amp;DATA'!$F$20:$AB$90,4,FALSE),"")</f>
        <v>2.52</v>
      </c>
      <c r="E44" s="127">
        <f>IFERROR(VLOOKUP($B44,'LEGEND&amp;DATA'!$F$20:$AB$90,8,FALSE),"")</f>
        <v>3.375</v>
      </c>
      <c r="F44" s="308">
        <f>IFERROR(VLOOKUP($B44,'LEGEND&amp;DATA'!$F$20:$AB$90,10,FALSE),"")</f>
        <v>0.875</v>
      </c>
      <c r="G44" s="10">
        <f>IFERROR(VLOOKUP($B44,'LEGEND&amp;DATA'!$F$20:$AB$90,12,FALSE),"")</f>
        <v>0.14285714285714285</v>
      </c>
      <c r="H44" s="317">
        <f>IFERROR(VLOOKUP($B44,'LEGEND&amp;DATA'!$F$20:$AB$90,14,FALSE),"")</f>
        <v>0.25</v>
      </c>
      <c r="I44" s="80">
        <f>IFERROR(VLOOKUP($B44,'LEGEND&amp;DATA'!$F$20:$AB$90,16,FALSE),"")</f>
        <v>0.75</v>
      </c>
      <c r="J44" s="308" t="str">
        <f>IFERROR(VLOOKUP($B44,'LEGEND&amp;DATA'!$F$20:$AB$90,18,FALSE),"")</f>
        <v>-</v>
      </c>
      <c r="K44" s="317">
        <f>IFERROR(VLOOKUP($B44,'LEGEND&amp;DATA'!$F$20:$AB$90,20,FALSE),"")</f>
        <v>1.125</v>
      </c>
      <c r="L44" s="80">
        <f>IFERROR(VLOOKUP($B44,'LEGEND&amp;DATA'!$F$20:$AB$90,22,FALSE),"")</f>
        <v>0.77173913043478259</v>
      </c>
      <c r="M44" s="128">
        <f>IFERROR(VLOOKUP($B44,'LEGEND&amp;DATA'!$F$20:$AE$90,26,FALSE),"")</f>
        <v>0.87</v>
      </c>
      <c r="N44" s="9"/>
    </row>
    <row r="45" spans="1:14" ht="16" customHeight="1" x14ac:dyDescent="0.35">
      <c r="A45" s="423">
        <v>24</v>
      </c>
      <c r="B45" s="3" t="str">
        <f>IF($A45&gt;KEY!$B$2,"",IFERROR(VLOOKUP($A45,'LEGEND&amp;DATA'!$E$20:$F$90,2,FALSE),""))</f>
        <v>Lexus of Chandler</v>
      </c>
      <c r="C45" s="15">
        <f>IFERROR(VLOOKUP($B45,'LEGEND&amp;DATA'!$F$20:$AB$90,2,FALSE),"")</f>
        <v>1.3364485981308412</v>
      </c>
      <c r="D45" s="304">
        <f>IFERROR(VLOOKUP($B45,'LEGEND&amp;DATA'!$F$20:$AB$90,4,FALSE),"")</f>
        <v>3.5454545454545454</v>
      </c>
      <c r="E45" s="127">
        <f>IFERROR(VLOOKUP($B45,'LEGEND&amp;DATA'!$F$20:$AB$90,8,FALSE),"")</f>
        <v>2</v>
      </c>
      <c r="F45" s="308">
        <f>IFERROR(VLOOKUP($B45,'LEGEND&amp;DATA'!$F$20:$AB$90,10,FALSE),"")</f>
        <v>0.5</v>
      </c>
      <c r="G45" s="10">
        <f>IFERROR(VLOOKUP($B45,'LEGEND&amp;DATA'!$F$20:$AB$90,12,FALSE),"")</f>
        <v>0.13680781758957655</v>
      </c>
      <c r="H45" s="317">
        <f>IFERROR(VLOOKUP($B45,'LEGEND&amp;DATA'!$F$20:$AB$90,14,FALSE),"")</f>
        <v>0.21379310344827587</v>
      </c>
      <c r="I45" s="80">
        <f>IFERROR(VLOOKUP($B45,'LEGEND&amp;DATA'!$F$20:$AB$90,16,FALSE),"")</f>
        <v>0.5</v>
      </c>
      <c r="J45" s="308" t="str">
        <f>IFERROR(VLOOKUP($B45,'LEGEND&amp;DATA'!$F$20:$AB$90,18,FALSE),"")</f>
        <v>-</v>
      </c>
      <c r="K45" s="317">
        <f>IFERROR(VLOOKUP($B45,'LEGEND&amp;DATA'!$F$20:$AB$90,20,FALSE),"")</f>
        <v>1.0656565656565657</v>
      </c>
      <c r="L45" s="80">
        <f>IFERROR(VLOOKUP($B45,'LEGEND&amp;DATA'!$F$20:$AB$90,22,FALSE),"")</f>
        <v>0.75</v>
      </c>
      <c r="M45" s="128">
        <f>IFERROR(VLOOKUP($B45,'LEGEND&amp;DATA'!$F$20:$AE$90,26,FALSE),"")</f>
        <v>0.86</v>
      </c>
      <c r="N45" s="9"/>
    </row>
    <row r="46" spans="1:14" ht="16" customHeight="1" x14ac:dyDescent="0.35">
      <c r="A46" s="423">
        <v>25</v>
      </c>
      <c r="B46" s="3" t="str">
        <f>IF($A46&gt;KEY!$B$2,"",IFERROR(VLOOKUP($A46,'LEGEND&amp;DATA'!$E$20:$F$90,2,FALSE),""))</f>
        <v>Mercedes-Benz of San Diego</v>
      </c>
      <c r="C46" s="15">
        <f>IFERROR(VLOOKUP($B46,'LEGEND&amp;DATA'!$F$20:$AB$90,2,FALSE),"")</f>
        <v>0.80082987551867224</v>
      </c>
      <c r="D46" s="304">
        <f>IFERROR(VLOOKUP($B46,'LEGEND&amp;DATA'!$F$20:$AB$90,4,FALSE),"")</f>
        <v>4.7058823529411766</v>
      </c>
      <c r="E46" s="127">
        <f>IFERROR(VLOOKUP($B46,'LEGEND&amp;DATA'!$F$20:$AB$90,8,FALSE),"")</f>
        <v>3.5625</v>
      </c>
      <c r="F46" s="308">
        <f>IFERROR(VLOOKUP($B46,'LEGEND&amp;DATA'!$F$20:$AB$90,10,FALSE),"")</f>
        <v>1</v>
      </c>
      <c r="G46" s="10">
        <f>IFERROR(VLOOKUP($B46,'LEGEND&amp;DATA'!$F$20:$AB$90,12,FALSE),"")</f>
        <v>0.1238390092879257</v>
      </c>
      <c r="H46" s="317">
        <f>IFERROR(VLOOKUP($B46,'LEGEND&amp;DATA'!$F$20:$AB$90,14,FALSE),"")</f>
        <v>0.234375</v>
      </c>
      <c r="I46" s="80">
        <f>IFERROR(VLOOKUP($B46,'LEGEND&amp;DATA'!$F$20:$AB$90,16,FALSE),"")</f>
        <v>0.625</v>
      </c>
      <c r="J46" s="308" t="str">
        <f>IFERROR(VLOOKUP($B46,'LEGEND&amp;DATA'!$F$20:$AB$90,18,FALSE),"")</f>
        <v>-</v>
      </c>
      <c r="K46" s="317">
        <f>IFERROR(VLOOKUP($B46,'LEGEND&amp;DATA'!$F$20:$AB$90,20,FALSE),"")</f>
        <v>0.86647727272727271</v>
      </c>
      <c r="L46" s="80">
        <f>IFERROR(VLOOKUP($B46,'LEGEND&amp;DATA'!$F$20:$AB$90,22,FALSE),"")</f>
        <v>0.6262626262626263</v>
      </c>
      <c r="M46" s="128">
        <f>IFERROR(VLOOKUP($B46,'LEGEND&amp;DATA'!$F$20:$AE$90,26,FALSE),"")</f>
        <v>0.85</v>
      </c>
      <c r="N46" s="9"/>
    </row>
    <row r="47" spans="1:14" ht="16" customHeight="1" x14ac:dyDescent="0.35">
      <c r="A47" s="423">
        <v>26</v>
      </c>
      <c r="B47" s="3" t="str">
        <f>IF($A47&gt;KEY!$B$2,"",IFERROR(VLOOKUP($A47,'LEGEND&amp;DATA'!$E$20:$F$90,2,FALSE),""))</f>
        <v>Volkswagen North Scottsdale</v>
      </c>
      <c r="C47" s="15">
        <f>IFERROR(VLOOKUP($B47,'LEGEND&amp;DATA'!$F$20:$AB$90,2,FALSE),"")</f>
        <v>0.91139240506329111</v>
      </c>
      <c r="D47" s="304">
        <f>IFERROR(VLOOKUP($B47,'LEGEND&amp;DATA'!$F$20:$AB$90,4,FALSE),"")</f>
        <v>1.736842105263158</v>
      </c>
      <c r="E47" s="127">
        <f>IFERROR(VLOOKUP($B47,'LEGEND&amp;DATA'!$F$20:$AB$90,8,FALSE),"")</f>
        <v>2.1666666666666665</v>
      </c>
      <c r="F47" s="308">
        <f>IFERROR(VLOOKUP($B47,'LEGEND&amp;DATA'!$F$20:$AB$90,10,FALSE),"")</f>
        <v>0.5</v>
      </c>
      <c r="G47" s="10">
        <f>IFERROR(VLOOKUP($B47,'LEGEND&amp;DATA'!$F$20:$AB$90,12,FALSE),"")</f>
        <v>0.15217391304347827</v>
      </c>
      <c r="H47" s="317">
        <f>IFERROR(VLOOKUP($B47,'LEGEND&amp;DATA'!$F$20:$AB$90,14,FALSE),"")</f>
        <v>0.28888888888888886</v>
      </c>
      <c r="I47" s="80">
        <f>IFERROR(VLOOKUP($B47,'LEGEND&amp;DATA'!$F$20:$AB$90,16,FALSE),"")</f>
        <v>1</v>
      </c>
      <c r="J47" s="308" t="str">
        <f>IFERROR(VLOOKUP($B47,'LEGEND&amp;DATA'!$F$20:$AB$90,18,FALSE),"")</f>
        <v>-</v>
      </c>
      <c r="K47" s="317">
        <f>IFERROR(VLOOKUP($B47,'LEGEND&amp;DATA'!$F$20:$AB$90,20,FALSE),"")</f>
        <v>0.71969696969696972</v>
      </c>
      <c r="L47" s="80">
        <f>IFERROR(VLOOKUP($B47,'LEGEND&amp;DATA'!$F$20:$AB$90,22,FALSE),"")</f>
        <v>0.72602739726027399</v>
      </c>
      <c r="M47" s="128">
        <f>IFERROR(VLOOKUP($B47,'LEGEND&amp;DATA'!$F$20:$AE$90,26,FALSE),"")</f>
        <v>0.85</v>
      </c>
      <c r="N47" s="9"/>
    </row>
    <row r="48" spans="1:14" ht="16" customHeight="1" x14ac:dyDescent="0.35">
      <c r="A48" s="423">
        <v>27</v>
      </c>
      <c r="B48" s="3" t="str">
        <f>IF($A48&gt;KEY!$B$2,"",IFERROR(VLOOKUP($A48,'LEGEND&amp;DATA'!$E$20:$F$90,2,FALSE),""))</f>
        <v>Toyota of Clovis</v>
      </c>
      <c r="C48" s="15">
        <f>IFERROR(VLOOKUP($B48,'LEGEND&amp;DATA'!$F$20:$AB$90,2,FALSE),"")</f>
        <v>1.0471380471380471</v>
      </c>
      <c r="D48" s="304">
        <f>IFERROR(VLOOKUP($B48,'LEGEND&amp;DATA'!$F$20:$AB$90,4,FALSE),"")</f>
        <v>1.1129032258064515</v>
      </c>
      <c r="E48" s="127">
        <f>IFERROR(VLOOKUP($B48,'LEGEND&amp;DATA'!$F$20:$AB$90,8,FALSE),"")</f>
        <v>2.65</v>
      </c>
      <c r="F48" s="308">
        <f>IFERROR(VLOOKUP($B48,'LEGEND&amp;DATA'!$F$20:$AB$90,10,FALSE),"")</f>
        <v>1</v>
      </c>
      <c r="G48" s="10">
        <f>IFERROR(VLOOKUP($B48,'LEGEND&amp;DATA'!$F$20:$AB$90,12,FALSE),"")</f>
        <v>0.13958810068649885</v>
      </c>
      <c r="H48" s="317">
        <f>IFERROR(VLOOKUP($B48,'LEGEND&amp;DATA'!$F$20:$AB$90,14,FALSE),"")</f>
        <v>0.23394495412844038</v>
      </c>
      <c r="I48" s="80">
        <f>IFERROR(VLOOKUP($B48,'LEGEND&amp;DATA'!$F$20:$AB$90,16,FALSE),"")</f>
        <v>1</v>
      </c>
      <c r="J48" s="308" t="str">
        <f>IFERROR(VLOOKUP($B48,'LEGEND&amp;DATA'!$F$20:$AB$90,18,FALSE),"")</f>
        <v>-</v>
      </c>
      <c r="K48" s="317">
        <f>IFERROR(VLOOKUP($B48,'LEGEND&amp;DATA'!$F$20:$AB$90,20,FALSE),"")</f>
        <v>0.73863636363636365</v>
      </c>
      <c r="L48" s="80">
        <f>IFERROR(VLOOKUP($B48,'LEGEND&amp;DATA'!$F$20:$AB$90,22,FALSE),"")</f>
        <v>0.31858407079646017</v>
      </c>
      <c r="M48" s="128">
        <f>IFERROR(VLOOKUP($B48,'LEGEND&amp;DATA'!$F$20:$AE$90,26,FALSE),"")</f>
        <v>0.84</v>
      </c>
      <c r="N48" s="9"/>
    </row>
    <row r="49" spans="1:14" ht="16" customHeight="1" x14ac:dyDescent="0.35">
      <c r="A49" s="423">
        <v>28</v>
      </c>
      <c r="B49" s="3" t="str">
        <f>IF($A49&gt;KEY!$B$2,"",IFERROR(VLOOKUP($A49,'LEGEND&amp;DATA'!$E$20:$F$90,2,FALSE),""))</f>
        <v>Acura North Scottsdale</v>
      </c>
      <c r="C49" s="15">
        <f>IFERROR(VLOOKUP($B49,'LEGEND&amp;DATA'!$F$20:$AB$90,2,FALSE),"")</f>
        <v>0.91566265060240959</v>
      </c>
      <c r="D49" s="304">
        <f>IFERROR(VLOOKUP($B49,'LEGEND&amp;DATA'!$F$20:$AB$90,4,FALSE),"")</f>
        <v>2.125</v>
      </c>
      <c r="E49" s="127">
        <f>IFERROR(VLOOKUP($B49,'LEGEND&amp;DATA'!$F$20:$AB$90,8,FALSE),"")</f>
        <v>2.5714285714285716</v>
      </c>
      <c r="F49" s="308">
        <f>IFERROR(VLOOKUP($B49,'LEGEND&amp;DATA'!$F$20:$AB$90,10,FALSE),"")</f>
        <v>0.75</v>
      </c>
      <c r="G49" s="10">
        <f>IFERROR(VLOOKUP($B49,'LEGEND&amp;DATA'!$F$20:$AB$90,12,FALSE),"")</f>
        <v>0.15753424657534246</v>
      </c>
      <c r="H49" s="317">
        <f>IFERROR(VLOOKUP($B49,'LEGEND&amp;DATA'!$F$20:$AB$90,14,FALSE),"")</f>
        <v>0.19480519480519481</v>
      </c>
      <c r="I49" s="80">
        <f>IFERROR(VLOOKUP($B49,'LEGEND&amp;DATA'!$F$20:$AB$90,16,FALSE),"")</f>
        <v>0.63636363636363635</v>
      </c>
      <c r="J49" s="308" t="str">
        <f>IFERROR(VLOOKUP($B49,'LEGEND&amp;DATA'!$F$20:$AB$90,18,FALSE),"")</f>
        <v>-</v>
      </c>
      <c r="K49" s="317">
        <f>IFERROR(VLOOKUP($B49,'LEGEND&amp;DATA'!$F$20:$AB$90,20,FALSE),"")</f>
        <v>0.79870129870129869</v>
      </c>
      <c r="L49" s="80">
        <f>IFERROR(VLOOKUP($B49,'LEGEND&amp;DATA'!$F$20:$AB$90,22,FALSE),"")</f>
        <v>0.81578947368421051</v>
      </c>
      <c r="M49" s="128">
        <f>IFERROR(VLOOKUP($B49,'LEGEND&amp;DATA'!$F$20:$AE$90,26,FALSE),"")</f>
        <v>0.83</v>
      </c>
      <c r="N49" s="9"/>
    </row>
    <row r="50" spans="1:14" ht="16" customHeight="1" x14ac:dyDescent="0.35">
      <c r="A50" s="423">
        <v>29</v>
      </c>
      <c r="B50" s="3" t="str">
        <f>IF($A50&gt;KEY!$B$2,"",IFERROR(VLOOKUP($A50,'LEGEND&amp;DATA'!$E$20:$F$90,2,FALSE),""))</f>
        <v>Audi North OC</v>
      </c>
      <c r="C50" s="15">
        <f>IFERROR(VLOOKUP($B50,'LEGEND&amp;DATA'!$F$20:$AB$90,2,FALSE),"")</f>
        <v>1.2857142857142858</v>
      </c>
      <c r="D50" s="304">
        <f>IFERROR(VLOOKUP($B50,'LEGEND&amp;DATA'!$F$20:$AB$90,4,FALSE),"")</f>
        <v>3</v>
      </c>
      <c r="E50" s="127">
        <f>IFERROR(VLOOKUP($B50,'LEGEND&amp;DATA'!$F$20:$AB$90,8,FALSE),"")</f>
        <v>1.8</v>
      </c>
      <c r="F50" s="308">
        <f>IFERROR(VLOOKUP($B50,'LEGEND&amp;DATA'!$F$20:$AB$90,10,FALSE),"")</f>
        <v>1</v>
      </c>
      <c r="G50" s="10">
        <f>IFERROR(VLOOKUP($B50,'LEGEND&amp;DATA'!$F$20:$AB$90,12,FALSE),"")</f>
        <v>0.23232323232323232</v>
      </c>
      <c r="H50" s="317">
        <f>IFERROR(VLOOKUP($B50,'LEGEND&amp;DATA'!$F$20:$AB$90,14,FALSE),"")</f>
        <v>0.34375</v>
      </c>
      <c r="I50" s="80">
        <f>IFERROR(VLOOKUP($B50,'LEGEND&amp;DATA'!$F$20:$AB$90,16,FALSE),"")</f>
        <v>0.5</v>
      </c>
      <c r="J50" s="308" t="str">
        <f>IFERROR(VLOOKUP($B50,'LEGEND&amp;DATA'!$F$20:$AB$90,18,FALSE),"")</f>
        <v>-</v>
      </c>
      <c r="K50" s="317">
        <f>IFERROR(VLOOKUP($B50,'LEGEND&amp;DATA'!$F$20:$AB$90,20,FALSE),"")</f>
        <v>0.78181818181818186</v>
      </c>
      <c r="L50" s="80">
        <f>IFERROR(VLOOKUP($B50,'LEGEND&amp;DATA'!$F$20:$AB$90,22,FALSE),"")</f>
        <v>0.8571428571428571</v>
      </c>
      <c r="M50" s="128">
        <f>IFERROR(VLOOKUP($B50,'LEGEND&amp;DATA'!$F$20:$AE$90,26,FALSE),"")</f>
        <v>0.83</v>
      </c>
      <c r="N50" s="9"/>
    </row>
    <row r="51" spans="1:14" ht="16" customHeight="1" x14ac:dyDescent="0.35">
      <c r="A51" s="423">
        <v>30</v>
      </c>
      <c r="B51" s="3" t="str">
        <f>IF($A51&gt;KEY!$B$2,"",IFERROR(VLOOKUP($A51,'LEGEND&amp;DATA'!$E$20:$F$90,2,FALSE),""))</f>
        <v>Lincoln South Coast</v>
      </c>
      <c r="C51" s="15">
        <f>IFERROR(VLOOKUP($B51,'LEGEND&amp;DATA'!$F$20:$AB$90,2,FALSE),"")</f>
        <v>1.125</v>
      </c>
      <c r="D51" s="304">
        <f>IFERROR(VLOOKUP($B51,'LEGEND&amp;DATA'!$F$20:$AB$90,4,FALSE),"")</f>
        <v>3.2727272727272729</v>
      </c>
      <c r="E51" s="127">
        <f>IFERROR(VLOOKUP($B51,'LEGEND&amp;DATA'!$F$20:$AB$90,8,FALSE),"")</f>
        <v>1.5</v>
      </c>
      <c r="F51" s="308">
        <f>IFERROR(VLOOKUP($B51,'LEGEND&amp;DATA'!$F$20:$AB$90,10,FALSE),"")</f>
        <v>1</v>
      </c>
      <c r="G51" s="10">
        <f>IFERROR(VLOOKUP($B51,'LEGEND&amp;DATA'!$F$20:$AB$90,12,FALSE),"")</f>
        <v>0.14563106796116504</v>
      </c>
      <c r="H51" s="317">
        <f>IFERROR(VLOOKUP($B51,'LEGEND&amp;DATA'!$F$20:$AB$90,14,FALSE),"")</f>
        <v>0.2</v>
      </c>
      <c r="I51" s="80">
        <f>IFERROR(VLOOKUP($B51,'LEGEND&amp;DATA'!$F$20:$AB$90,16,FALSE),"")</f>
        <v>0.42857142857142855</v>
      </c>
      <c r="J51" s="308" t="str">
        <f>IFERROR(VLOOKUP($B51,'LEGEND&amp;DATA'!$F$20:$AB$90,18,FALSE),"")</f>
        <v>-</v>
      </c>
      <c r="K51" s="317">
        <f>IFERROR(VLOOKUP($B51,'LEGEND&amp;DATA'!$F$20:$AB$90,20,FALSE),"")</f>
        <v>0.96590909090909094</v>
      </c>
      <c r="L51" s="80">
        <f>IFERROR(VLOOKUP($B51,'LEGEND&amp;DATA'!$F$20:$AB$90,22,FALSE),"")</f>
        <v>0.71111111111111114</v>
      </c>
      <c r="M51" s="128">
        <f>IFERROR(VLOOKUP($B51,'LEGEND&amp;DATA'!$F$20:$AE$90,26,FALSE),"")</f>
        <v>0.83</v>
      </c>
      <c r="N51" s="9"/>
    </row>
    <row r="52" spans="1:14" ht="16" customHeight="1" x14ac:dyDescent="0.35">
      <c r="A52" s="423">
        <v>31</v>
      </c>
      <c r="B52" s="3" t="str">
        <f>IF($A52&gt;KEY!$B$2,"",IFERROR(VLOOKUP($A52,'LEGEND&amp;DATA'!$E$20:$F$90,2,FALSE),""))</f>
        <v>MINI North Scottsdale</v>
      </c>
      <c r="C52" s="15">
        <f>IFERROR(VLOOKUP($B52,'LEGEND&amp;DATA'!$F$20:$AB$90,2,FALSE),"")</f>
        <v>1.4516129032258065</v>
      </c>
      <c r="D52" s="304">
        <f>IFERROR(VLOOKUP($B52,'LEGEND&amp;DATA'!$F$20:$AB$90,4,FALSE),"")</f>
        <v>11.25</v>
      </c>
      <c r="E52" s="127">
        <f>IFERROR(VLOOKUP($B52,'LEGEND&amp;DATA'!$F$20:$AB$90,8,FALSE),"")</f>
        <v>1.75</v>
      </c>
      <c r="F52" s="308">
        <f>IFERROR(VLOOKUP($B52,'LEGEND&amp;DATA'!$F$20:$AB$90,10,FALSE),"")</f>
        <v>1</v>
      </c>
      <c r="G52" s="10">
        <f>IFERROR(VLOOKUP($B52,'LEGEND&amp;DATA'!$F$20:$AB$90,12,FALSE),"")</f>
        <v>0.13793103448275862</v>
      </c>
      <c r="H52" s="317">
        <f>IFERROR(VLOOKUP($B52,'LEGEND&amp;DATA'!$F$20:$AB$90,14,FALSE),"")</f>
        <v>0.13636363636363635</v>
      </c>
      <c r="I52" s="80">
        <f>IFERROR(VLOOKUP($B52,'LEGEND&amp;DATA'!$F$20:$AB$90,16,FALSE),"")</f>
        <v>0.5</v>
      </c>
      <c r="J52" s="308" t="str">
        <f>IFERROR(VLOOKUP($B52,'LEGEND&amp;DATA'!$F$20:$AB$90,18,FALSE),"")</f>
        <v>-</v>
      </c>
      <c r="K52" s="317">
        <f>IFERROR(VLOOKUP($B52,'LEGEND&amp;DATA'!$F$20:$AB$90,20,FALSE),"")</f>
        <v>0.97727272727272729</v>
      </c>
      <c r="L52" s="80">
        <f>IFERROR(VLOOKUP($B52,'LEGEND&amp;DATA'!$F$20:$AB$90,22,FALSE),"")</f>
        <v>0.73913043478260865</v>
      </c>
      <c r="M52" s="128">
        <f>IFERROR(VLOOKUP($B52,'LEGEND&amp;DATA'!$F$20:$AE$90,26,FALSE),"")</f>
        <v>0.83</v>
      </c>
      <c r="N52" s="9"/>
    </row>
    <row r="53" spans="1:14" ht="16" customHeight="1" x14ac:dyDescent="0.35">
      <c r="A53" s="423">
        <v>32</v>
      </c>
      <c r="B53" s="3" t="str">
        <f>IF($A53&gt;KEY!$B$2,"",IFERROR(VLOOKUP($A53,'LEGEND&amp;DATA'!$E$20:$F$90,2,FALSE),""))</f>
        <v>Motorwerks MINI</v>
      </c>
      <c r="C53" s="15">
        <f>IFERROR(VLOOKUP($B53,'LEGEND&amp;DATA'!$F$20:$AB$90,2,FALSE),"")</f>
        <v>1.3541666666666667</v>
      </c>
      <c r="D53" s="304">
        <f>IFERROR(VLOOKUP($B53,'LEGEND&amp;DATA'!$F$20:$AB$90,4,FALSE),"")</f>
        <v>5.6470588235294112</v>
      </c>
      <c r="E53" s="127">
        <f>IFERROR(VLOOKUP($B53,'LEGEND&amp;DATA'!$F$20:$AB$90,8,FALSE),"")</f>
        <v>2.2000000000000002</v>
      </c>
      <c r="F53" s="308">
        <f>IFERROR(VLOOKUP($B53,'LEGEND&amp;DATA'!$F$20:$AB$90,10,FALSE),"")</f>
        <v>0.875</v>
      </c>
      <c r="G53" s="10">
        <f>IFERROR(VLOOKUP($B53,'LEGEND&amp;DATA'!$F$20:$AB$90,12,FALSE),"")</f>
        <v>0.17886178861788618</v>
      </c>
      <c r="H53" s="317">
        <f>IFERROR(VLOOKUP($B53,'LEGEND&amp;DATA'!$F$20:$AB$90,14,FALSE),"")</f>
        <v>0.2857142857142857</v>
      </c>
      <c r="I53" s="80">
        <f>IFERROR(VLOOKUP($B53,'LEGEND&amp;DATA'!$F$20:$AB$90,16,FALSE),"")</f>
        <v>0</v>
      </c>
      <c r="J53" s="308" t="str">
        <f>IFERROR(VLOOKUP($B53,'LEGEND&amp;DATA'!$F$20:$AB$90,18,FALSE),"")</f>
        <v>-</v>
      </c>
      <c r="K53" s="317">
        <f>IFERROR(VLOOKUP($B53,'LEGEND&amp;DATA'!$F$20:$AB$90,20,FALSE),"")</f>
        <v>0.81818181818181823</v>
      </c>
      <c r="L53" s="80">
        <f>IFERROR(VLOOKUP($B53,'LEGEND&amp;DATA'!$F$20:$AB$90,22,FALSE),"")</f>
        <v>0.59701492537313428</v>
      </c>
      <c r="M53" s="128">
        <f>IFERROR(VLOOKUP($B53,'LEGEND&amp;DATA'!$F$20:$AE$90,26,FALSE),"")</f>
        <v>0.83</v>
      </c>
      <c r="N53" s="9"/>
    </row>
    <row r="54" spans="1:14" ht="16" customHeight="1" x14ac:dyDescent="0.35">
      <c r="A54" s="423">
        <v>33</v>
      </c>
      <c r="B54" s="3" t="str">
        <f>IF($A54&gt;KEY!$B$2,"",IFERROR(VLOOKUP($A54,'LEGEND&amp;DATA'!$E$20:$F$90,2,FALSE),""))</f>
        <v>Tempe Honda</v>
      </c>
      <c r="C54" s="15">
        <f>IFERROR(VLOOKUP($B54,'LEGEND&amp;DATA'!$F$20:$AB$90,2,FALSE),"")</f>
        <v>0.8883248730964467</v>
      </c>
      <c r="D54" s="304">
        <f>IFERROR(VLOOKUP($B54,'LEGEND&amp;DATA'!$F$20:$AB$90,4,FALSE),"")</f>
        <v>0.890625</v>
      </c>
      <c r="E54" s="127">
        <f>IFERROR(VLOOKUP($B54,'LEGEND&amp;DATA'!$F$20:$AB$90,8,FALSE),"")</f>
        <v>2.3199999999999998</v>
      </c>
      <c r="F54" s="308">
        <f>IFERROR(VLOOKUP($B54,'LEGEND&amp;DATA'!$F$20:$AB$90,10,FALSE),"")</f>
        <v>1</v>
      </c>
      <c r="G54" s="10">
        <f>IFERROR(VLOOKUP($B54,'LEGEND&amp;DATA'!$F$20:$AB$90,12,FALSE),"")</f>
        <v>0.24635036496350365</v>
      </c>
      <c r="H54" s="317">
        <f>IFERROR(VLOOKUP($B54,'LEGEND&amp;DATA'!$F$20:$AB$90,14,FALSE),"")</f>
        <v>0.20657276995305165</v>
      </c>
      <c r="I54" s="80">
        <f>IFERROR(VLOOKUP($B54,'LEGEND&amp;DATA'!$F$20:$AB$90,16,FALSE),"")</f>
        <v>0.5</v>
      </c>
      <c r="J54" s="308" t="str">
        <f>IFERROR(VLOOKUP($B54,'LEGEND&amp;DATA'!$F$20:$AB$90,18,FALSE),"")</f>
        <v>-</v>
      </c>
      <c r="K54" s="317">
        <f>IFERROR(VLOOKUP($B54,'LEGEND&amp;DATA'!$F$20:$AB$90,20,FALSE),"")</f>
        <v>0.94545454545454544</v>
      </c>
      <c r="L54" s="80">
        <f>IFERROR(VLOOKUP($B54,'LEGEND&amp;DATA'!$F$20:$AB$90,22,FALSE),"")</f>
        <v>0.6458923512747875</v>
      </c>
      <c r="M54" s="128">
        <f>IFERROR(VLOOKUP($B54,'LEGEND&amp;DATA'!$F$20:$AE$90,26,FALSE),"")</f>
        <v>0.83</v>
      </c>
      <c r="N54" s="9"/>
    </row>
    <row r="55" spans="1:14" ht="16" customHeight="1" x14ac:dyDescent="0.35">
      <c r="A55" s="423">
        <v>34</v>
      </c>
      <c r="B55" s="3" t="str">
        <f>IF($A55&gt;KEY!$B$2,"",IFERROR(VLOOKUP($A55,'LEGEND&amp;DATA'!$E$20:$F$90,2,FALSE),""))</f>
        <v>Lamborghini North Scottsdale</v>
      </c>
      <c r="C55" s="15">
        <f>IFERROR(VLOOKUP($B55,'LEGEND&amp;DATA'!$F$20:$AB$90,2,FALSE),"")</f>
        <v>1.4615384615384615</v>
      </c>
      <c r="D55" s="304">
        <f>IFERROR(VLOOKUP($B55,'LEGEND&amp;DATA'!$F$20:$AB$90,4,FALSE),"")</f>
        <v>6</v>
      </c>
      <c r="E55" s="127">
        <f>IFERROR(VLOOKUP($B55,'LEGEND&amp;DATA'!$F$20:$AB$90,8,FALSE),"")</f>
        <v>4</v>
      </c>
      <c r="F55" s="308">
        <f>IFERROR(VLOOKUP($B55,'LEGEND&amp;DATA'!$F$20:$AB$90,10,FALSE),"")</f>
        <v>0.625</v>
      </c>
      <c r="G55" s="10">
        <f>IFERROR(VLOOKUP($B55,'LEGEND&amp;DATA'!$F$20:$AB$90,12,FALSE),"")</f>
        <v>0.23076923076923078</v>
      </c>
      <c r="H55" s="317">
        <f>IFERROR(VLOOKUP($B55,'LEGEND&amp;DATA'!$F$20:$AB$90,14,FALSE),"")</f>
        <v>0.32142857142857145</v>
      </c>
      <c r="I55" s="80" t="str">
        <f>IFERROR(VLOOKUP($B55,'LEGEND&amp;DATA'!$F$20:$AB$90,16,FALSE),"")</f>
        <v>N/A</v>
      </c>
      <c r="J55" s="308" t="str">
        <f>IFERROR(VLOOKUP($B55,'LEGEND&amp;DATA'!$F$20:$AB$90,18,FALSE),"")</f>
        <v>-</v>
      </c>
      <c r="K55" s="317">
        <f>IFERROR(VLOOKUP($B55,'LEGEND&amp;DATA'!$F$20:$AB$90,20,FALSE),"")</f>
        <v>2.75</v>
      </c>
      <c r="L55" s="80">
        <f>IFERROR(VLOOKUP($B55,'LEGEND&amp;DATA'!$F$20:$AB$90,22,FALSE),"")</f>
        <v>0.25</v>
      </c>
      <c r="M55" s="128">
        <f>IFERROR(VLOOKUP($B55,'LEGEND&amp;DATA'!$F$20:$AE$90,26,FALSE),"")</f>
        <v>0.82954545454545459</v>
      </c>
      <c r="N55" s="9"/>
    </row>
    <row r="56" spans="1:14" ht="16" customHeight="1" x14ac:dyDescent="0.35">
      <c r="A56" s="423">
        <v>35</v>
      </c>
      <c r="B56" s="3" t="str">
        <f>IF($A56&gt;KEY!$B$2,"",IFERROR(VLOOKUP($A56,'LEGEND&amp;DATA'!$E$20:$F$90,2,FALSE),""))</f>
        <v>Audi Chandler</v>
      </c>
      <c r="C56" s="15">
        <f>IFERROR(VLOOKUP($B56,'LEGEND&amp;DATA'!$F$20:$AB$90,2,FALSE),"")</f>
        <v>0.9285714285714286</v>
      </c>
      <c r="D56" s="304">
        <f>IFERROR(VLOOKUP($B56,'LEGEND&amp;DATA'!$F$20:$AB$90,4,FALSE),"")</f>
        <v>2.8333333333333335</v>
      </c>
      <c r="E56" s="127">
        <f>IFERROR(VLOOKUP($B56,'LEGEND&amp;DATA'!$F$20:$AB$90,8,FALSE),"")</f>
        <v>1.3333333333333333</v>
      </c>
      <c r="F56" s="308">
        <f>IFERROR(VLOOKUP($B56,'LEGEND&amp;DATA'!$F$20:$AB$90,10,FALSE),"")</f>
        <v>0.625</v>
      </c>
      <c r="G56" s="10">
        <f>IFERROR(VLOOKUP($B56,'LEGEND&amp;DATA'!$F$20:$AB$90,12,FALSE),"")</f>
        <v>0.15107913669064749</v>
      </c>
      <c r="H56" s="317">
        <f>IFERROR(VLOOKUP($B56,'LEGEND&amp;DATA'!$F$20:$AB$90,14,FALSE),"")</f>
        <v>0.29545454545454547</v>
      </c>
      <c r="I56" s="80">
        <f>IFERROR(VLOOKUP($B56,'LEGEND&amp;DATA'!$F$20:$AB$90,16,FALSE),"")</f>
        <v>0.5714285714285714</v>
      </c>
      <c r="J56" s="308" t="str">
        <f>IFERROR(VLOOKUP($B56,'LEGEND&amp;DATA'!$F$20:$AB$90,18,FALSE),"")</f>
        <v>-</v>
      </c>
      <c r="K56" s="317">
        <f>IFERROR(VLOOKUP($B56,'LEGEND&amp;DATA'!$F$20:$AB$90,20,FALSE),"")</f>
        <v>1.1742424242424243</v>
      </c>
      <c r="L56" s="80">
        <f>IFERROR(VLOOKUP($B56,'LEGEND&amp;DATA'!$F$20:$AB$90,22,FALSE),"")</f>
        <v>0.98750000000000004</v>
      </c>
      <c r="M56" s="128">
        <f>IFERROR(VLOOKUP($B56,'LEGEND&amp;DATA'!$F$20:$AE$90,26,FALSE),"")</f>
        <v>0.82</v>
      </c>
      <c r="N56" s="9"/>
    </row>
    <row r="57" spans="1:14" ht="16" customHeight="1" x14ac:dyDescent="0.35">
      <c r="A57" s="423">
        <v>36</v>
      </c>
      <c r="B57" s="3" t="str">
        <f>IF($A57&gt;KEY!$B$2,"",IFERROR(VLOOKUP($A57,'LEGEND&amp;DATA'!$E$20:$F$90,2,FALSE),""))</f>
        <v>Kearny Mesa Toyota</v>
      </c>
      <c r="C57" s="15">
        <f>IFERROR(VLOOKUP($B57,'LEGEND&amp;DATA'!$F$20:$AB$90,2,FALSE),"")</f>
        <v>0.89669421487603307</v>
      </c>
      <c r="D57" s="304">
        <f>IFERROR(VLOOKUP($B57,'LEGEND&amp;DATA'!$F$20:$AB$90,4,FALSE),"")</f>
        <v>6.5217391304347824E-2</v>
      </c>
      <c r="E57" s="127">
        <f>IFERROR(VLOOKUP($B57,'LEGEND&amp;DATA'!$F$20:$AB$90,8,FALSE),"")</f>
        <v>1.736842105263158</v>
      </c>
      <c r="F57" s="308">
        <f>IFERROR(VLOOKUP($B57,'LEGEND&amp;DATA'!$F$20:$AB$90,10,FALSE),"")</f>
        <v>1</v>
      </c>
      <c r="G57" s="10">
        <f>IFERROR(VLOOKUP($B57,'LEGEND&amp;DATA'!$F$20:$AB$90,12,FALSE),"")</f>
        <v>0.13818181818181818</v>
      </c>
      <c r="H57" s="317">
        <f>IFERROR(VLOOKUP($B57,'LEGEND&amp;DATA'!$F$20:$AB$90,14,FALSE),"")</f>
        <v>0.24398625429553264</v>
      </c>
      <c r="I57" s="80">
        <f>IFERROR(VLOOKUP($B57,'LEGEND&amp;DATA'!$F$20:$AB$90,16,FALSE),"")</f>
        <v>0.7</v>
      </c>
      <c r="J57" s="308" t="str">
        <f>IFERROR(VLOOKUP($B57,'LEGEND&amp;DATA'!$F$20:$AB$90,18,FALSE),"")</f>
        <v>-</v>
      </c>
      <c r="K57" s="317">
        <f>IFERROR(VLOOKUP($B57,'LEGEND&amp;DATA'!$F$20:$AB$90,20,FALSE),"")</f>
        <v>1.1937799043062201</v>
      </c>
      <c r="L57" s="80">
        <f>IFERROR(VLOOKUP($B57,'LEGEND&amp;DATA'!$F$20:$AB$90,22,FALSE),"")</f>
        <v>0.53917050691244239</v>
      </c>
      <c r="M57" s="128">
        <f>IFERROR(VLOOKUP($B57,'LEGEND&amp;DATA'!$F$20:$AE$90,26,FALSE),"")</f>
        <v>0.82</v>
      </c>
      <c r="N57" s="9"/>
    </row>
    <row r="58" spans="1:14" ht="16" customHeight="1" x14ac:dyDescent="0.35">
      <c r="A58" s="423">
        <v>37</v>
      </c>
      <c r="B58" s="3" t="str">
        <f>IF($A58&gt;KEY!$B$2,"",IFERROR(VLOOKUP($A58,'LEGEND&amp;DATA'!$E$20:$F$90,2,FALSE),""))</f>
        <v>Lexus of Austin</v>
      </c>
      <c r="C58" s="15">
        <f>IFERROR(VLOOKUP($B58,'LEGEND&amp;DATA'!$F$20:$AB$90,2,FALSE),"")</f>
        <v>0.95911949685534592</v>
      </c>
      <c r="D58" s="304">
        <f>IFERROR(VLOOKUP($B58,'LEGEND&amp;DATA'!$F$20:$AB$90,4,FALSE),"")</f>
        <v>0.6875</v>
      </c>
      <c r="E58" s="127">
        <f>IFERROR(VLOOKUP($B58,'LEGEND&amp;DATA'!$F$20:$AB$90,8,FALSE),"")</f>
        <v>2.3125</v>
      </c>
      <c r="F58" s="308">
        <f>IFERROR(VLOOKUP($B58,'LEGEND&amp;DATA'!$F$20:$AB$90,10,FALSE),"")</f>
        <v>0.875</v>
      </c>
      <c r="G58" s="10">
        <f>IFERROR(VLOOKUP($B58,'LEGEND&amp;DATA'!$F$20:$AB$90,12,FALSE),"")</f>
        <v>0.14236706689536879</v>
      </c>
      <c r="H58" s="317">
        <f>IFERROR(VLOOKUP($B58,'LEGEND&amp;DATA'!$F$20:$AB$90,14,FALSE),"")</f>
        <v>0.12672176308539945</v>
      </c>
      <c r="I58" s="80">
        <f>IFERROR(VLOOKUP($B58,'LEGEND&amp;DATA'!$F$20:$AB$90,16,FALSE),"")</f>
        <v>0.7857142857142857</v>
      </c>
      <c r="J58" s="308" t="str">
        <f>IFERROR(VLOOKUP($B58,'LEGEND&amp;DATA'!$F$20:$AB$90,18,FALSE),"")</f>
        <v>-</v>
      </c>
      <c r="K58" s="317">
        <f>IFERROR(VLOOKUP($B58,'LEGEND&amp;DATA'!$F$20:$AB$90,20,FALSE),"")</f>
        <v>1.4744318181818181</v>
      </c>
      <c r="L58" s="80">
        <f>IFERROR(VLOOKUP($B58,'LEGEND&amp;DATA'!$F$20:$AB$90,22,FALSE),"")</f>
        <v>0.6485623003194888</v>
      </c>
      <c r="M58" s="128">
        <f>IFERROR(VLOOKUP($B58,'LEGEND&amp;DATA'!$F$20:$AE$90,26,FALSE),"")</f>
        <v>0.82</v>
      </c>
      <c r="N58" s="9"/>
    </row>
    <row r="59" spans="1:14" ht="16" customHeight="1" x14ac:dyDescent="0.35">
      <c r="A59" s="423">
        <v>38</v>
      </c>
      <c r="B59" s="3" t="str">
        <f>IF($A59&gt;KEY!$B$2,"",IFERROR(VLOOKUP($A59,'LEGEND&amp;DATA'!$E$20:$F$90,2,FALSE),""))</f>
        <v>Land Rover Chandler</v>
      </c>
      <c r="C59" s="15">
        <f>IFERROR(VLOOKUP($B59,'LEGEND&amp;DATA'!$F$20:$AB$90,2,FALSE),"")</f>
        <v>0.55555555555555558</v>
      </c>
      <c r="D59" s="304">
        <f>IFERROR(VLOOKUP($B59,'LEGEND&amp;DATA'!$F$20:$AB$90,4,FALSE),"")</f>
        <v>1.5</v>
      </c>
      <c r="E59" s="127">
        <f>IFERROR(VLOOKUP($B59,'LEGEND&amp;DATA'!$F$20:$AB$90,8,FALSE),"")</f>
        <v>2.6</v>
      </c>
      <c r="F59" s="308">
        <f>IFERROR(VLOOKUP($B59,'LEGEND&amp;DATA'!$F$20:$AB$90,10,FALSE),"")</f>
        <v>1</v>
      </c>
      <c r="G59" s="10">
        <f>IFERROR(VLOOKUP($B59,'LEGEND&amp;DATA'!$F$20:$AB$90,12,FALSE),"")</f>
        <v>0.14473684210526316</v>
      </c>
      <c r="H59" s="317">
        <f>IFERROR(VLOOKUP($B59,'LEGEND&amp;DATA'!$F$20:$AB$90,14,FALSE),"")</f>
        <v>0.19565217391304349</v>
      </c>
      <c r="I59" s="80">
        <f>IFERROR(VLOOKUP($B59,'LEGEND&amp;DATA'!$F$20:$AB$90,16,FALSE),"")</f>
        <v>1</v>
      </c>
      <c r="J59" s="308" t="str">
        <f>IFERROR(VLOOKUP($B59,'LEGEND&amp;DATA'!$F$20:$AB$90,18,FALSE),"")</f>
        <v>-</v>
      </c>
      <c r="K59" s="317">
        <f>IFERROR(VLOOKUP($B59,'LEGEND&amp;DATA'!$F$20:$AB$90,20,FALSE),"")</f>
        <v>0.76363636363636367</v>
      </c>
      <c r="L59" s="80">
        <f>IFERROR(VLOOKUP($B59,'LEGEND&amp;DATA'!$F$20:$AB$90,22,FALSE),"")</f>
        <v>0.91666666666666663</v>
      </c>
      <c r="M59" s="128">
        <f>IFERROR(VLOOKUP($B59,'LEGEND&amp;DATA'!$F$20:$AE$90,26,FALSE),"")</f>
        <v>0.8</v>
      </c>
      <c r="N59" s="9"/>
    </row>
    <row r="60" spans="1:14" ht="16" customHeight="1" x14ac:dyDescent="0.35">
      <c r="A60" s="423">
        <v>39</v>
      </c>
      <c r="B60" s="3" t="str">
        <f>IF($A60&gt;KEY!$B$2,"",IFERROR(VLOOKUP($A60,'LEGEND&amp;DATA'!$E$20:$F$90,2,FALSE),""))</f>
        <v>Land Rover North Scottsdale</v>
      </c>
      <c r="C60" s="15">
        <f>IFERROR(VLOOKUP($B60,'LEGEND&amp;DATA'!$F$20:$AB$90,2,FALSE),"")</f>
        <v>0.69343065693430661</v>
      </c>
      <c r="D60" s="304">
        <f>IFERROR(VLOOKUP($B60,'LEGEND&amp;DATA'!$F$20:$AB$90,4,FALSE),"")</f>
        <v>1.588235294117647</v>
      </c>
      <c r="E60" s="127">
        <f>IFERROR(VLOOKUP($B60,'LEGEND&amp;DATA'!$F$20:$AB$90,8,FALSE),"")</f>
        <v>1.7777777777777777</v>
      </c>
      <c r="F60" s="308">
        <f>IFERROR(VLOOKUP($B60,'LEGEND&amp;DATA'!$F$20:$AB$90,10,FALSE),"")</f>
        <v>0.625</v>
      </c>
      <c r="G60" s="10">
        <f>IFERROR(VLOOKUP($B60,'LEGEND&amp;DATA'!$F$20:$AB$90,12,FALSE),"")</f>
        <v>0.13513513513513514</v>
      </c>
      <c r="H60" s="317">
        <f>IFERROR(VLOOKUP($B60,'LEGEND&amp;DATA'!$F$20:$AB$90,14,FALSE),"")</f>
        <v>0.2087912087912088</v>
      </c>
      <c r="I60" s="80">
        <f>IFERROR(VLOOKUP($B60,'LEGEND&amp;DATA'!$F$20:$AB$90,16,FALSE),"")</f>
        <v>0.75</v>
      </c>
      <c r="J60" s="308" t="str">
        <f>IFERROR(VLOOKUP($B60,'LEGEND&amp;DATA'!$F$20:$AB$90,18,FALSE),"")</f>
        <v>-</v>
      </c>
      <c r="K60" s="317">
        <f>IFERROR(VLOOKUP($B60,'LEGEND&amp;DATA'!$F$20:$AB$90,20,FALSE),"")</f>
        <v>1.0353535353535352</v>
      </c>
      <c r="L60" s="80">
        <f>IFERROR(VLOOKUP($B60,'LEGEND&amp;DATA'!$F$20:$AB$90,22,FALSE),"")</f>
        <v>0.76288659793814428</v>
      </c>
      <c r="M60" s="128">
        <f>IFERROR(VLOOKUP($B60,'LEGEND&amp;DATA'!$F$20:$AE$90,26,FALSE),"")</f>
        <v>0.8</v>
      </c>
      <c r="N60" s="9"/>
    </row>
    <row r="61" spans="1:14" ht="16" customHeight="1" x14ac:dyDescent="0.35">
      <c r="A61" s="423">
        <v>40</v>
      </c>
      <c r="B61" s="3" t="str">
        <f>IF($A61&gt;KEY!$B$2,"",IFERROR(VLOOKUP($A61,'LEGEND&amp;DATA'!$E$20:$F$90,2,FALSE),""))</f>
        <v>Audi South Coast</v>
      </c>
      <c r="C61" s="15">
        <f>IFERROR(VLOOKUP($B61,'LEGEND&amp;DATA'!$F$20:$AB$90,2,FALSE),"")</f>
        <v>0.7927927927927928</v>
      </c>
      <c r="D61" s="304">
        <f>IFERROR(VLOOKUP($B61,'LEGEND&amp;DATA'!$F$20:$AB$90,4,FALSE),"")</f>
        <v>3.1578947368421053</v>
      </c>
      <c r="E61" s="127">
        <f>IFERROR(VLOOKUP($B61,'LEGEND&amp;DATA'!$F$20:$AB$90,8,FALSE),"")</f>
        <v>2.6666666666666665</v>
      </c>
      <c r="F61" s="308">
        <f>IFERROR(VLOOKUP($B61,'LEGEND&amp;DATA'!$F$20:$AB$90,10,FALSE),"")</f>
        <v>0.75</v>
      </c>
      <c r="G61" s="10">
        <f>IFERROR(VLOOKUP($B61,'LEGEND&amp;DATA'!$F$20:$AB$90,12,FALSE),"")</f>
        <v>0.16923076923076924</v>
      </c>
      <c r="H61" s="317">
        <f>IFERROR(VLOOKUP($B61,'LEGEND&amp;DATA'!$F$20:$AB$90,14,FALSE),"")</f>
        <v>0.26666666666666666</v>
      </c>
      <c r="I61" s="80">
        <f>IFERROR(VLOOKUP($B61,'LEGEND&amp;DATA'!$F$20:$AB$90,16,FALSE),"")</f>
        <v>0.50980392156862742</v>
      </c>
      <c r="J61" s="308" t="str">
        <f>IFERROR(VLOOKUP($B61,'LEGEND&amp;DATA'!$F$20:$AB$90,18,FALSE),"")</f>
        <v>-</v>
      </c>
      <c r="K61" s="317">
        <f>IFERROR(VLOOKUP($B61,'LEGEND&amp;DATA'!$F$20:$AB$90,20,FALSE),"")</f>
        <v>0.99242424242424243</v>
      </c>
      <c r="L61" s="80">
        <f>IFERROR(VLOOKUP($B61,'LEGEND&amp;DATA'!$F$20:$AB$90,22,FALSE),"")</f>
        <v>0.78409090909090906</v>
      </c>
      <c r="M61" s="128">
        <f>IFERROR(VLOOKUP($B61,'LEGEND&amp;DATA'!$F$20:$AE$90,26,FALSE),"")</f>
        <v>0.78</v>
      </c>
      <c r="N61" s="9"/>
    </row>
    <row r="62" spans="1:14" ht="16" customHeight="1" x14ac:dyDescent="0.35">
      <c r="A62" s="423">
        <v>41</v>
      </c>
      <c r="B62" s="3" t="str">
        <f>IF($A62&gt;KEY!$B$2,"",IFERROR(VLOOKUP($A62,'LEGEND&amp;DATA'!$E$20:$F$90,2,FALSE),""))</f>
        <v>Round Rock Toyota</v>
      </c>
      <c r="C62" s="15">
        <f>IFERROR(VLOOKUP($B62,'LEGEND&amp;DATA'!$F$20:$AB$90,2,FALSE),"")</f>
        <v>1.3346613545816732</v>
      </c>
      <c r="D62" s="304">
        <f>IFERROR(VLOOKUP($B62,'LEGEND&amp;DATA'!$F$20:$AB$90,4,FALSE),"")</f>
        <v>0.83333333333333337</v>
      </c>
      <c r="E62" s="127">
        <f>IFERROR(VLOOKUP($B62,'LEGEND&amp;DATA'!$F$20:$AB$90,8,FALSE),"")</f>
        <v>1.5238095238095237</v>
      </c>
      <c r="F62" s="308">
        <f>IFERROR(VLOOKUP($B62,'LEGEND&amp;DATA'!$F$20:$AB$90,10,FALSE),"")</f>
        <v>0.75</v>
      </c>
      <c r="G62" s="10">
        <f>IFERROR(VLOOKUP($B62,'LEGEND&amp;DATA'!$F$20:$AB$90,12,FALSE),"")</f>
        <v>0.1028999064546305</v>
      </c>
      <c r="H62" s="317">
        <f>IFERROR(VLOOKUP($B62,'LEGEND&amp;DATA'!$F$20:$AB$90,14,FALSE),"")</f>
        <v>0.14789915966386555</v>
      </c>
      <c r="I62" s="80">
        <f>IFERROR(VLOOKUP($B62,'LEGEND&amp;DATA'!$F$20:$AB$90,16,FALSE),"")</f>
        <v>1</v>
      </c>
      <c r="J62" s="308" t="str">
        <f>IFERROR(VLOOKUP($B62,'LEGEND&amp;DATA'!$F$20:$AB$90,18,FALSE),"")</f>
        <v>-</v>
      </c>
      <c r="K62" s="317">
        <f>IFERROR(VLOOKUP($B62,'LEGEND&amp;DATA'!$F$20:$AB$90,20,FALSE),"")</f>
        <v>1.2283549783549783</v>
      </c>
      <c r="L62" s="80">
        <f>IFERROR(VLOOKUP($B62,'LEGEND&amp;DATA'!$F$20:$AB$90,22,FALSE),"")</f>
        <v>0.43235294117647061</v>
      </c>
      <c r="M62" s="128">
        <f>IFERROR(VLOOKUP($B62,'LEGEND&amp;DATA'!$F$20:$AE$90,26,FALSE),"")</f>
        <v>0.78</v>
      </c>
      <c r="N62" s="9"/>
    </row>
    <row r="63" spans="1:14" ht="16" customHeight="1" x14ac:dyDescent="0.35">
      <c r="A63" s="423">
        <v>42</v>
      </c>
      <c r="B63" s="3" t="str">
        <f>IF($A63&gt;KEY!$B$2,"",IFERROR(VLOOKUP($A63,'LEGEND&amp;DATA'!$E$20:$F$90,2,FALSE),""))</f>
        <v>BMW of Austin</v>
      </c>
      <c r="C63" s="15">
        <f>IFERROR(VLOOKUP($B63,'LEGEND&amp;DATA'!$F$20:$AB$90,2,FALSE),"")</f>
        <v>0.92835820895522392</v>
      </c>
      <c r="D63" s="304">
        <f>IFERROR(VLOOKUP($B63,'LEGEND&amp;DATA'!$F$20:$AB$90,4,FALSE),"")</f>
        <v>0.86956521739130432</v>
      </c>
      <c r="E63" s="127">
        <f>IFERROR(VLOOKUP($B63,'LEGEND&amp;DATA'!$F$20:$AB$90,8,FALSE),"")</f>
        <v>1.375</v>
      </c>
      <c r="F63" s="308">
        <f>IFERROR(VLOOKUP($B63,'LEGEND&amp;DATA'!$F$20:$AB$90,10,FALSE),"")</f>
        <v>0.875</v>
      </c>
      <c r="G63" s="10">
        <f>IFERROR(VLOOKUP($B63,'LEGEND&amp;DATA'!$F$20:$AB$90,12,FALSE),"")</f>
        <v>0.17721518987341772</v>
      </c>
      <c r="H63" s="317">
        <f>IFERROR(VLOOKUP($B63,'LEGEND&amp;DATA'!$F$20:$AB$90,14,FALSE),"")</f>
        <v>0.14963503649635038</v>
      </c>
      <c r="I63" s="80">
        <f>IFERROR(VLOOKUP($B63,'LEGEND&amp;DATA'!$F$20:$AB$90,16,FALSE),"")</f>
        <v>0.8</v>
      </c>
      <c r="J63" s="308" t="str">
        <f>IFERROR(VLOOKUP($B63,'LEGEND&amp;DATA'!$F$20:$AB$90,18,FALSE),"")</f>
        <v>-</v>
      </c>
      <c r="K63" s="317">
        <f>IFERROR(VLOOKUP($B63,'LEGEND&amp;DATA'!$F$20:$AB$90,20,FALSE),"")</f>
        <v>0.83901515151515149</v>
      </c>
      <c r="L63" s="80">
        <f>IFERROR(VLOOKUP($B63,'LEGEND&amp;DATA'!$F$20:$AB$90,22,FALSE),"")</f>
        <v>0.50961538461538458</v>
      </c>
      <c r="M63" s="128">
        <f>IFERROR(VLOOKUP($B63,'LEGEND&amp;DATA'!$F$20:$AE$90,26,FALSE),"")</f>
        <v>0.77</v>
      </c>
      <c r="N63" s="9"/>
    </row>
    <row r="64" spans="1:14" ht="16" customHeight="1" x14ac:dyDescent="0.35">
      <c r="A64" s="423">
        <v>43</v>
      </c>
      <c r="B64" s="3" t="str">
        <f>IF($A64&gt;KEY!$B$2,"",IFERROR(VLOOKUP($A64,'LEGEND&amp;DATA'!$E$20:$F$90,2,FALSE),""))</f>
        <v>East Madison Toyota</v>
      </c>
      <c r="C64" s="15">
        <f>IFERROR(VLOOKUP($B64,'LEGEND&amp;DATA'!$F$20:$AB$90,2,FALSE),"")</f>
        <v>1.1111111111111112</v>
      </c>
      <c r="D64" s="304">
        <f>IFERROR(VLOOKUP($B64,'LEGEND&amp;DATA'!$F$20:$AB$90,4,FALSE),"")</f>
        <v>2.3571428571428572</v>
      </c>
      <c r="E64" s="127">
        <f>IFERROR(VLOOKUP($B64,'LEGEND&amp;DATA'!$F$20:$AB$90,8,FALSE),"")</f>
        <v>1.1333333333333333</v>
      </c>
      <c r="F64" s="308">
        <f>IFERROR(VLOOKUP($B64,'LEGEND&amp;DATA'!$F$20:$AB$90,10,FALSE),"")</f>
        <v>0.875</v>
      </c>
      <c r="G64" s="10">
        <f>IFERROR(VLOOKUP($B64,'LEGEND&amp;DATA'!$F$20:$AB$90,12,FALSE),"")</f>
        <v>0.21612903225806451</v>
      </c>
      <c r="H64" s="317">
        <f>IFERROR(VLOOKUP($B64,'LEGEND&amp;DATA'!$F$20:$AB$90,14,FALSE),"")</f>
        <v>0.25388601036269431</v>
      </c>
      <c r="I64" s="80">
        <f>IFERROR(VLOOKUP($B64,'LEGEND&amp;DATA'!$F$20:$AB$90,16,FALSE),"")</f>
        <v>0.2857142857142857</v>
      </c>
      <c r="J64" s="308" t="str">
        <f>IFERROR(VLOOKUP($B64,'LEGEND&amp;DATA'!$F$20:$AB$90,18,FALSE),"")</f>
        <v>-</v>
      </c>
      <c r="K64" s="317">
        <f>IFERROR(VLOOKUP($B64,'LEGEND&amp;DATA'!$F$20:$AB$90,20,FALSE),"")</f>
        <v>0.87878787878787878</v>
      </c>
      <c r="L64" s="80">
        <f>IFERROR(VLOOKUP($B64,'LEGEND&amp;DATA'!$F$20:$AB$90,22,FALSE),"")</f>
        <v>0.47599999999999998</v>
      </c>
      <c r="M64" s="128">
        <f>IFERROR(VLOOKUP($B64,'LEGEND&amp;DATA'!$F$20:$AE$90,26,FALSE),"")</f>
        <v>0.77</v>
      </c>
      <c r="N64" s="9"/>
    </row>
    <row r="65" spans="1:14" ht="16" customHeight="1" x14ac:dyDescent="0.35">
      <c r="A65" s="423">
        <v>44</v>
      </c>
      <c r="B65" s="3" t="str">
        <f>IF($A65&gt;KEY!$B$2,"",IFERROR(VLOOKUP($A65,'LEGEND&amp;DATA'!$E$20:$F$90,2,FALSE),""))</f>
        <v>BMW North Scottsdale</v>
      </c>
      <c r="C65" s="15">
        <f>IFERROR(VLOOKUP($B65,'LEGEND&amp;DATA'!$F$20:$AB$90,2,FALSE),"")</f>
        <v>0.93006993006993011</v>
      </c>
      <c r="D65" s="304">
        <f>IFERROR(VLOOKUP($B65,'LEGEND&amp;DATA'!$F$20:$AB$90,4,FALSE),"")</f>
        <v>0.5</v>
      </c>
      <c r="E65" s="127">
        <f>IFERROR(VLOOKUP($B65,'LEGEND&amp;DATA'!$F$20:$AB$90,8,FALSE),"")</f>
        <v>2.8928571428571428</v>
      </c>
      <c r="F65" s="308">
        <f>IFERROR(VLOOKUP($B65,'LEGEND&amp;DATA'!$F$20:$AB$90,10,FALSE),"")</f>
        <v>0.625</v>
      </c>
      <c r="G65" s="10">
        <f>IFERROR(VLOOKUP($B65,'LEGEND&amp;DATA'!$F$20:$AB$90,12,FALSE),"")</f>
        <v>0.15745393634840871</v>
      </c>
      <c r="H65" s="317">
        <f>IFERROR(VLOOKUP($B65,'LEGEND&amp;DATA'!$F$20:$AB$90,14,FALSE),"")</f>
        <v>0.15857605177993528</v>
      </c>
      <c r="I65" s="80">
        <f>IFERROR(VLOOKUP($B65,'LEGEND&amp;DATA'!$F$20:$AB$90,16,FALSE),"")</f>
        <v>0.77358490566037741</v>
      </c>
      <c r="J65" s="308" t="str">
        <f>IFERROR(VLOOKUP($B65,'LEGEND&amp;DATA'!$F$20:$AB$90,18,FALSE),"")</f>
        <v>-</v>
      </c>
      <c r="K65" s="317">
        <f>IFERROR(VLOOKUP($B65,'LEGEND&amp;DATA'!$F$20:$AB$90,20,FALSE),"")</f>
        <v>0.93831168831168832</v>
      </c>
      <c r="L65" s="80">
        <f>IFERROR(VLOOKUP($B65,'LEGEND&amp;DATA'!$F$20:$AB$90,22,FALSE),"")</f>
        <v>0.60847880299251866</v>
      </c>
      <c r="M65" s="128">
        <f>IFERROR(VLOOKUP($B65,'LEGEND&amp;DATA'!$F$20:$AE$90,26,FALSE),"")</f>
        <v>0.75</v>
      </c>
      <c r="N65" s="9"/>
    </row>
    <row r="66" spans="1:14" ht="16" customHeight="1" x14ac:dyDescent="0.35">
      <c r="A66" s="423">
        <v>45</v>
      </c>
      <c r="B66" s="3" t="str">
        <f>IF($A66&gt;KEY!$B$2,"",IFERROR(VLOOKUP($A66,'LEGEND&amp;DATA'!$E$20:$F$90,2,FALSE),""))</f>
        <v>Round Rock Honda</v>
      </c>
      <c r="C66" s="15">
        <f>IFERROR(VLOOKUP($B66,'LEGEND&amp;DATA'!$F$20:$AB$90,2,FALSE),"")</f>
        <v>0.7372654155495979</v>
      </c>
      <c r="D66" s="304">
        <f>IFERROR(VLOOKUP($B66,'LEGEND&amp;DATA'!$F$20:$AB$90,4,FALSE),"")</f>
        <v>1.9411764705882353</v>
      </c>
      <c r="E66" s="127">
        <f>IFERROR(VLOOKUP($B66,'LEGEND&amp;DATA'!$F$20:$AB$90,8,FALSE),"")</f>
        <v>1.826086956521739</v>
      </c>
      <c r="F66" s="308">
        <f>IFERROR(VLOOKUP($B66,'LEGEND&amp;DATA'!$F$20:$AB$90,10,FALSE),"")</f>
        <v>0.75</v>
      </c>
      <c r="G66" s="10">
        <f>IFERROR(VLOOKUP($B66,'LEGEND&amp;DATA'!$F$20:$AB$90,12,FALSE),"")</f>
        <v>9.6842105263157896E-2</v>
      </c>
      <c r="H66" s="317">
        <f>IFERROR(VLOOKUP($B66,'LEGEND&amp;DATA'!$F$20:$AB$90,14,FALSE),"")</f>
        <v>0.19583333333333333</v>
      </c>
      <c r="I66" s="80">
        <f>IFERROR(VLOOKUP($B66,'LEGEND&amp;DATA'!$F$20:$AB$90,16,FALSE),"")</f>
        <v>0.70370370370370372</v>
      </c>
      <c r="J66" s="308" t="str">
        <f>IFERROR(VLOOKUP($B66,'LEGEND&amp;DATA'!$F$20:$AB$90,18,FALSE),"")</f>
        <v>-</v>
      </c>
      <c r="K66" s="317">
        <f>IFERROR(VLOOKUP($B66,'LEGEND&amp;DATA'!$F$20:$AB$90,20,FALSE),"")</f>
        <v>0.8675889328063241</v>
      </c>
      <c r="L66" s="80">
        <f>IFERROR(VLOOKUP($B66,'LEGEND&amp;DATA'!$F$20:$AB$90,22,FALSE),"")</f>
        <v>0.49820788530465948</v>
      </c>
      <c r="M66" s="128">
        <f>IFERROR(VLOOKUP($B66,'LEGEND&amp;DATA'!$F$20:$AE$90,26,FALSE),"")</f>
        <v>0.75</v>
      </c>
      <c r="N66" s="9"/>
    </row>
    <row r="67" spans="1:14" ht="16" customHeight="1" x14ac:dyDescent="0.35">
      <c r="A67" s="423">
        <v>46</v>
      </c>
      <c r="B67" s="3" t="str">
        <f>IF($A67&gt;KEY!$B$2,"",IFERROR(VLOOKUP($A67,'LEGEND&amp;DATA'!$E$20:$F$90,2,FALSE),""))</f>
        <v>MINI of Ontario</v>
      </c>
      <c r="C67" s="15" t="str">
        <f>IFERROR(VLOOKUP($B67,'LEGEND&amp;DATA'!$F$20:$AB$90,2,FALSE),"")</f>
        <v>N/A</v>
      </c>
      <c r="D67" s="304">
        <f>IFERROR(VLOOKUP($B67,'LEGEND&amp;DATA'!$F$20:$AB$90,4,FALSE),"")</f>
        <v>3</v>
      </c>
      <c r="E67" s="127">
        <f>IFERROR(VLOOKUP($B67,'LEGEND&amp;DATA'!$F$20:$AB$90,8,FALSE),"")</f>
        <v>0.66666666666666663</v>
      </c>
      <c r="F67" s="308">
        <f>IFERROR(VLOOKUP($B67,'LEGEND&amp;DATA'!$F$20:$AB$90,10,FALSE),"")</f>
        <v>0.875</v>
      </c>
      <c r="G67" s="10">
        <f>IFERROR(VLOOKUP($B67,'LEGEND&amp;DATA'!$F$20:$AB$90,12,FALSE),"")</f>
        <v>0.20930232558139536</v>
      </c>
      <c r="H67" s="317">
        <f>IFERROR(VLOOKUP($B67,'LEGEND&amp;DATA'!$F$20:$AB$90,14,FALSE),"")</f>
        <v>0.26666666666666666</v>
      </c>
      <c r="I67" s="80" t="str">
        <f>IFERROR(VLOOKUP($B67,'LEGEND&amp;DATA'!$F$20:$AB$90,16,FALSE),"")</f>
        <v>N/A</v>
      </c>
      <c r="J67" s="308" t="str">
        <f>IFERROR(VLOOKUP($B67,'LEGEND&amp;DATA'!$F$20:$AB$90,18,FALSE),"")</f>
        <v>-</v>
      </c>
      <c r="K67" s="317">
        <f>IFERROR(VLOOKUP($B67,'LEGEND&amp;DATA'!$F$20:$AB$90,20,FALSE),"")</f>
        <v>0.66666666666666663</v>
      </c>
      <c r="L67" s="80">
        <f>IFERROR(VLOOKUP($B67,'LEGEND&amp;DATA'!$F$20:$AB$90,22,FALSE),"")</f>
        <v>0.51851851851851849</v>
      </c>
      <c r="M67" s="128">
        <f>IFERROR(VLOOKUP($B67,'LEGEND&amp;DATA'!$F$20:$AE$90,26,FALSE),"")</f>
        <v>0.73684210526315785</v>
      </c>
      <c r="N67" s="9"/>
    </row>
    <row r="68" spans="1:14" ht="16" customHeight="1" x14ac:dyDescent="0.35">
      <c r="A68" s="423">
        <v>47</v>
      </c>
      <c r="B68" s="3" t="str">
        <f>IF($A68&gt;KEY!$B$2,"",IFERROR(VLOOKUP($A68,'LEGEND&amp;DATA'!$E$20:$F$90,2,FALSE),""))</f>
        <v>Acura of Escondido</v>
      </c>
      <c r="C68" s="15">
        <f>IFERROR(VLOOKUP($B68,'LEGEND&amp;DATA'!$F$20:$AB$90,2,FALSE),"")</f>
        <v>0.89090909090909087</v>
      </c>
      <c r="D68" s="304">
        <f>IFERROR(VLOOKUP($B68,'LEGEND&amp;DATA'!$F$20:$AB$90,4,FALSE),"")</f>
        <v>1.75</v>
      </c>
      <c r="E68" s="127">
        <f>IFERROR(VLOOKUP($B68,'LEGEND&amp;DATA'!$F$20:$AB$90,8,FALSE),"")</f>
        <v>1</v>
      </c>
      <c r="F68" s="308">
        <f>IFERROR(VLOOKUP($B68,'LEGEND&amp;DATA'!$F$20:$AB$90,10,FALSE),"")</f>
        <v>0.875</v>
      </c>
      <c r="G68" s="10">
        <f>IFERROR(VLOOKUP($B68,'LEGEND&amp;DATA'!$F$20:$AB$90,12,FALSE),"")</f>
        <v>0.13861386138613863</v>
      </c>
      <c r="H68" s="317">
        <f>IFERROR(VLOOKUP($B68,'LEGEND&amp;DATA'!$F$20:$AB$90,14,FALSE),"")</f>
        <v>0.27500000000000002</v>
      </c>
      <c r="I68" s="80">
        <f>IFERROR(VLOOKUP($B68,'LEGEND&amp;DATA'!$F$20:$AB$90,16,FALSE),"")</f>
        <v>0.44444444444444442</v>
      </c>
      <c r="J68" s="308" t="str">
        <f>IFERROR(VLOOKUP($B68,'LEGEND&amp;DATA'!$F$20:$AB$90,18,FALSE),"")</f>
        <v>-</v>
      </c>
      <c r="K68" s="317">
        <f>IFERROR(VLOOKUP($B68,'LEGEND&amp;DATA'!$F$20:$AB$90,20,FALSE),"")</f>
        <v>0.77272727272727271</v>
      </c>
      <c r="L68" s="80">
        <f>IFERROR(VLOOKUP($B68,'LEGEND&amp;DATA'!$F$20:$AB$90,22,FALSE),"")</f>
        <v>0.83673469387755106</v>
      </c>
      <c r="M68" s="128">
        <f>IFERROR(VLOOKUP($B68,'LEGEND&amp;DATA'!$F$20:$AE$90,26,FALSE),"")</f>
        <v>0.7</v>
      </c>
      <c r="N68" s="9"/>
    </row>
    <row r="69" spans="1:14" ht="16" customHeight="1" x14ac:dyDescent="0.35">
      <c r="A69" s="423">
        <v>48</v>
      </c>
      <c r="B69" s="3" t="str">
        <f>IF($A69&gt;KEY!$B$2,"",IFERROR(VLOOKUP($A69,'LEGEND&amp;DATA'!$E$20:$F$90,2,FALSE),""))</f>
        <v>MINI of Marin</v>
      </c>
      <c r="C69" s="15">
        <f>IFERROR(VLOOKUP($B69,'LEGEND&amp;DATA'!$F$20:$AB$90,2,FALSE),"")</f>
        <v>0.81632653061224492</v>
      </c>
      <c r="D69" s="304">
        <f>IFERROR(VLOOKUP($B69,'LEGEND&amp;DATA'!$F$20:$AB$90,4,FALSE),"")</f>
        <v>4.75</v>
      </c>
      <c r="E69" s="127">
        <f>IFERROR(VLOOKUP($B69,'LEGEND&amp;DATA'!$F$20:$AB$90,8,FALSE),"")</f>
        <v>2.5</v>
      </c>
      <c r="F69" s="308">
        <f>IFERROR(VLOOKUP($B69,'LEGEND&amp;DATA'!$F$20:$AB$90,10,FALSE),"")</f>
        <v>0.375</v>
      </c>
      <c r="G69" s="10">
        <f>IFERROR(VLOOKUP($B69,'LEGEND&amp;DATA'!$F$20:$AB$90,12,FALSE),"")</f>
        <v>0.11818181818181818</v>
      </c>
      <c r="H69" s="317">
        <f>IFERROR(VLOOKUP($B69,'LEGEND&amp;DATA'!$F$20:$AB$90,14,FALSE),"")</f>
        <v>0.11764705882352941</v>
      </c>
      <c r="I69" s="80">
        <f>IFERROR(VLOOKUP($B69,'LEGEND&amp;DATA'!$F$20:$AB$90,16,FALSE),"")</f>
        <v>0.5</v>
      </c>
      <c r="J69" s="308" t="str">
        <f>IFERROR(VLOOKUP($B69,'LEGEND&amp;DATA'!$F$20:$AB$90,18,FALSE),"")</f>
        <v>-</v>
      </c>
      <c r="K69" s="317">
        <f>IFERROR(VLOOKUP($B69,'LEGEND&amp;DATA'!$F$20:$AB$90,20,FALSE),"")</f>
        <v>0.86363636363636365</v>
      </c>
      <c r="L69" s="80">
        <f>IFERROR(VLOOKUP($B69,'LEGEND&amp;DATA'!$F$20:$AB$90,22,FALSE),"")</f>
        <v>0.77500000000000002</v>
      </c>
      <c r="M69" s="128">
        <f>IFERROR(VLOOKUP($B69,'LEGEND&amp;DATA'!$F$20:$AE$90,26,FALSE),"")</f>
        <v>0.69</v>
      </c>
      <c r="N69" s="9"/>
    </row>
    <row r="70" spans="1:14" ht="16" customHeight="1" x14ac:dyDescent="0.35">
      <c r="A70" s="423">
        <v>49</v>
      </c>
      <c r="B70" s="3" t="str">
        <f>IF($A70&gt;KEY!$B$2,"",IFERROR(VLOOKUP($A70,'LEGEND&amp;DATA'!$E$20:$F$90,2,FALSE),""))</f>
        <v>Volkswagen South Coast</v>
      </c>
      <c r="C70" s="15">
        <f>IFERROR(VLOOKUP($B70,'LEGEND&amp;DATA'!$F$20:$AB$90,2,FALSE),"")</f>
        <v>0.83544303797468356</v>
      </c>
      <c r="D70" s="304">
        <f>IFERROR(VLOOKUP($B70,'LEGEND&amp;DATA'!$F$20:$AB$90,4,FALSE),"")</f>
        <v>3</v>
      </c>
      <c r="E70" s="127">
        <f>IFERROR(VLOOKUP($B70,'LEGEND&amp;DATA'!$F$20:$AB$90,8,FALSE),"")</f>
        <v>2</v>
      </c>
      <c r="F70" s="308">
        <f>IFERROR(VLOOKUP($B70,'LEGEND&amp;DATA'!$F$20:$AB$90,10,FALSE),"")</f>
        <v>0.75</v>
      </c>
      <c r="G70" s="10">
        <f>IFERROR(VLOOKUP($B70,'LEGEND&amp;DATA'!$F$20:$AB$90,12,FALSE),"")</f>
        <v>9.3617021276595741E-2</v>
      </c>
      <c r="H70" s="317">
        <f>IFERROR(VLOOKUP($B70,'LEGEND&amp;DATA'!$F$20:$AB$90,14,FALSE),"")</f>
        <v>0.18181818181818182</v>
      </c>
      <c r="I70" s="80">
        <f>IFERROR(VLOOKUP($B70,'LEGEND&amp;DATA'!$F$20:$AB$90,16,FALSE),"")</f>
        <v>0.375</v>
      </c>
      <c r="J70" s="308" t="str">
        <f>IFERROR(VLOOKUP($B70,'LEGEND&amp;DATA'!$F$20:$AB$90,18,FALSE),"")</f>
        <v>-</v>
      </c>
      <c r="K70" s="317">
        <f>IFERROR(VLOOKUP($B70,'LEGEND&amp;DATA'!$F$20:$AB$90,20,FALSE),"")</f>
        <v>0.97272727272727277</v>
      </c>
      <c r="L70" s="80">
        <f>IFERROR(VLOOKUP($B70,'LEGEND&amp;DATA'!$F$20:$AB$90,22,FALSE),"")</f>
        <v>0.78787878787878785</v>
      </c>
      <c r="M70" s="128">
        <f>IFERROR(VLOOKUP($B70,'LEGEND&amp;DATA'!$F$20:$AE$90,26,FALSE),"")</f>
        <v>0.69</v>
      </c>
      <c r="N70" s="9"/>
    </row>
    <row r="71" spans="1:14" ht="16" customHeight="1" x14ac:dyDescent="0.35">
      <c r="A71" s="423">
        <v>50</v>
      </c>
      <c r="B71" s="3" t="str">
        <f>IF($A71&gt;KEY!$B$2,"",IFERROR(VLOOKUP($A71,'LEGEND&amp;DATA'!$E$20:$F$90,2,FALSE),""))</f>
        <v>BMW of Bloomfield Hills</v>
      </c>
      <c r="C71" s="15">
        <f>IFERROR(VLOOKUP($B71,'LEGEND&amp;DATA'!$F$20:$AB$90,2,FALSE),"")</f>
        <v>1.0192307692307692</v>
      </c>
      <c r="D71" s="304">
        <f>IFERROR(VLOOKUP($B71,'LEGEND&amp;DATA'!$F$20:$AB$90,4,FALSE),"")</f>
        <v>5.0909090909090908</v>
      </c>
      <c r="E71" s="127">
        <f>IFERROR(VLOOKUP($B71,'LEGEND&amp;DATA'!$F$20:$AB$90,8,FALSE),"")</f>
        <v>0.66666666666666663</v>
      </c>
      <c r="F71" s="308">
        <f>IFERROR(VLOOKUP($B71,'LEGEND&amp;DATA'!$F$20:$AB$90,10,FALSE),"")</f>
        <v>0.375</v>
      </c>
      <c r="G71" s="10">
        <f>IFERROR(VLOOKUP($B71,'LEGEND&amp;DATA'!$F$20:$AB$90,12,FALSE),"")</f>
        <v>0.16245487364620939</v>
      </c>
      <c r="H71" s="317">
        <f>IFERROR(VLOOKUP($B71,'LEGEND&amp;DATA'!$F$20:$AB$90,14,FALSE),"")</f>
        <v>0.15675675675675677</v>
      </c>
      <c r="I71" s="80">
        <f>IFERROR(VLOOKUP($B71,'LEGEND&amp;DATA'!$F$20:$AB$90,16,FALSE),"")</f>
        <v>0</v>
      </c>
      <c r="J71" s="308" t="str">
        <f>IFERROR(VLOOKUP($B71,'LEGEND&amp;DATA'!$F$20:$AB$90,18,FALSE),"")</f>
        <v>-</v>
      </c>
      <c r="K71" s="317">
        <f>IFERROR(VLOOKUP($B71,'LEGEND&amp;DATA'!$F$20:$AB$90,20,FALSE),"")</f>
        <v>0.90151515151515149</v>
      </c>
      <c r="L71" s="80">
        <f>IFERROR(VLOOKUP($B71,'LEGEND&amp;DATA'!$F$20:$AB$90,22,FALSE),"")</f>
        <v>0.5220125786163522</v>
      </c>
      <c r="M71" s="128">
        <f>IFERROR(VLOOKUP($B71,'LEGEND&amp;DATA'!$F$20:$AE$90,26,FALSE),"")</f>
        <v>0.68</v>
      </c>
      <c r="N71" s="9"/>
    </row>
    <row r="72" spans="1:14" ht="16" customHeight="1" x14ac:dyDescent="0.35">
      <c r="A72" s="423">
        <v>51</v>
      </c>
      <c r="B72" s="3" t="str">
        <f>IF($A72&gt;KEY!$B$2,"",IFERROR(VLOOKUP($A72,'LEGEND&amp;DATA'!$E$20:$F$90,2,FALSE),""))</f>
        <v>Honda North</v>
      </c>
      <c r="C72" s="15">
        <f>IFERROR(VLOOKUP($B72,'LEGEND&amp;DATA'!$F$20:$AB$90,2,FALSE),"")</f>
        <v>0.87027027027027026</v>
      </c>
      <c r="D72" s="304">
        <f>IFERROR(VLOOKUP($B72,'LEGEND&amp;DATA'!$F$20:$AB$90,4,FALSE),"")</f>
        <v>0</v>
      </c>
      <c r="E72" s="127">
        <f>IFERROR(VLOOKUP($B72,'LEGEND&amp;DATA'!$F$20:$AB$90,8,FALSE),"")</f>
        <v>2.5714285714285716</v>
      </c>
      <c r="F72" s="308">
        <f>IFERROR(VLOOKUP($B72,'LEGEND&amp;DATA'!$F$20:$AB$90,10,FALSE),"")</f>
        <v>0.875</v>
      </c>
      <c r="G72" s="10">
        <f>IFERROR(VLOOKUP($B72,'LEGEND&amp;DATA'!$F$20:$AB$90,12,FALSE),"")</f>
        <v>0.16949152542372881</v>
      </c>
      <c r="H72" s="317">
        <f>IFERROR(VLOOKUP($B72,'LEGEND&amp;DATA'!$F$20:$AB$90,14,FALSE),"")</f>
        <v>0.25675675675675674</v>
      </c>
      <c r="I72" s="80">
        <f>IFERROR(VLOOKUP($B72,'LEGEND&amp;DATA'!$F$20:$AB$90,16,FALSE),"")</f>
        <v>0.75</v>
      </c>
      <c r="J72" s="308" t="str">
        <f>IFERROR(VLOOKUP($B72,'LEGEND&amp;DATA'!$F$20:$AB$90,18,FALSE),"")</f>
        <v>-</v>
      </c>
      <c r="K72" s="317">
        <f>IFERROR(VLOOKUP($B72,'LEGEND&amp;DATA'!$F$20:$AB$90,20,FALSE),"")</f>
        <v>0.71103896103896103</v>
      </c>
      <c r="L72" s="80">
        <f>IFERROR(VLOOKUP($B72,'LEGEND&amp;DATA'!$F$20:$AB$90,22,FALSE),"")</f>
        <v>0.38650306748466257</v>
      </c>
      <c r="M72" s="128">
        <f>IFERROR(VLOOKUP($B72,'LEGEND&amp;DATA'!$F$20:$AE$90,26,FALSE),"")</f>
        <v>0.68</v>
      </c>
      <c r="N72" s="9"/>
    </row>
    <row r="73" spans="1:14" ht="16" customHeight="1" x14ac:dyDescent="0.35">
      <c r="A73" s="423">
        <v>52</v>
      </c>
      <c r="B73" s="3" t="str">
        <f>IF($A73&gt;KEY!$B$2,"",IFERROR(VLOOKUP($A73,'LEGEND&amp;DATA'!$E$20:$F$90,2,FALSE),""))</f>
        <v>Genesis of Round Rock</v>
      </c>
      <c r="C73" s="15">
        <f>IFERROR(VLOOKUP($B73,'LEGEND&amp;DATA'!$F$20:$AB$90,2,FALSE),"")</f>
        <v>1</v>
      </c>
      <c r="D73" s="304">
        <f>IFERROR(VLOOKUP($B73,'LEGEND&amp;DATA'!$F$20:$AB$90,4,FALSE),"")</f>
        <v>0</v>
      </c>
      <c r="E73" s="127">
        <f>IFERROR(VLOOKUP($B73,'LEGEND&amp;DATA'!$F$20:$AB$90,8,FALSE),"")</f>
        <v>0.6</v>
      </c>
      <c r="F73" s="308">
        <f>IFERROR(VLOOKUP($B73,'LEGEND&amp;DATA'!$F$20:$AB$90,10,FALSE),"")</f>
        <v>0.75</v>
      </c>
      <c r="G73" s="10">
        <f>IFERROR(VLOOKUP($B73,'LEGEND&amp;DATA'!$F$20:$AB$90,12,FALSE),"")</f>
        <v>0.11483253588516747</v>
      </c>
      <c r="H73" s="317">
        <f>IFERROR(VLOOKUP($B73,'LEGEND&amp;DATA'!$F$20:$AB$90,14,FALSE),"")</f>
        <v>0.17582417582417584</v>
      </c>
      <c r="I73" s="80" t="str">
        <f>IFERROR(VLOOKUP($B73,'LEGEND&amp;DATA'!$F$20:$AB$90,16,FALSE),"")</f>
        <v>N/A</v>
      </c>
      <c r="J73" s="308" t="str">
        <f>IFERROR(VLOOKUP($B73,'LEGEND&amp;DATA'!$F$20:$AB$90,18,FALSE),"")</f>
        <v>-</v>
      </c>
      <c r="K73" s="317">
        <f>IFERROR(VLOOKUP($B73,'LEGEND&amp;DATA'!$F$20:$AB$90,20,FALSE),"")</f>
        <v>0.9</v>
      </c>
      <c r="L73" s="80">
        <f>IFERROR(VLOOKUP($B73,'LEGEND&amp;DATA'!$F$20:$AB$90,22,FALSE),"")</f>
        <v>0.52380952380952384</v>
      </c>
      <c r="M73" s="128">
        <f>IFERROR(VLOOKUP($B73,'LEGEND&amp;DATA'!$F$20:$AE$90,26,FALSE),"")</f>
        <v>0.65909090909090906</v>
      </c>
      <c r="N73" s="9"/>
    </row>
    <row r="74" spans="1:14" ht="16" customHeight="1" x14ac:dyDescent="0.35">
      <c r="A74" s="423">
        <v>53</v>
      </c>
      <c r="B74" s="3" t="str">
        <f>IF($A74&gt;KEY!$B$2,"",IFERROR(VLOOKUP($A74,'LEGEND&amp;DATA'!$E$20:$F$90,2,FALSE),""))</f>
        <v>Audi San Jose</v>
      </c>
      <c r="C74" s="15">
        <f>IFERROR(VLOOKUP($B74,'LEGEND&amp;DATA'!$F$20:$AB$90,2,FALSE),"")</f>
        <v>0.77777777777777779</v>
      </c>
      <c r="D74" s="304">
        <f>IFERROR(VLOOKUP($B74,'LEGEND&amp;DATA'!$F$20:$AB$90,4,FALSE),"")</f>
        <v>1.2162162162162162</v>
      </c>
      <c r="E74" s="127">
        <f>IFERROR(VLOOKUP($B74,'LEGEND&amp;DATA'!$F$20:$AB$90,8,FALSE),"")</f>
        <v>0.4</v>
      </c>
      <c r="F74" s="308">
        <f>IFERROR(VLOOKUP($B74,'LEGEND&amp;DATA'!$F$20:$AB$90,10,FALSE),"")</f>
        <v>0.75</v>
      </c>
      <c r="G74" s="10">
        <f>IFERROR(VLOOKUP($B74,'LEGEND&amp;DATA'!$F$20:$AB$90,12,FALSE),"")</f>
        <v>0.12087912087912088</v>
      </c>
      <c r="H74" s="317">
        <f>IFERROR(VLOOKUP($B74,'LEGEND&amp;DATA'!$F$20:$AB$90,14,FALSE),"")</f>
        <v>0.20765027322404372</v>
      </c>
      <c r="I74" s="80">
        <f>IFERROR(VLOOKUP($B74,'LEGEND&amp;DATA'!$F$20:$AB$90,16,FALSE),"")</f>
        <v>0.47169811320754718</v>
      </c>
      <c r="J74" s="308" t="str">
        <f>IFERROR(VLOOKUP($B74,'LEGEND&amp;DATA'!$F$20:$AB$90,18,FALSE),"")</f>
        <v>-</v>
      </c>
      <c r="K74" s="317">
        <f>IFERROR(VLOOKUP($B74,'LEGEND&amp;DATA'!$F$20:$AB$90,20,FALSE),"")</f>
        <v>1.5545454545454545</v>
      </c>
      <c r="L74" s="80">
        <f>IFERROR(VLOOKUP($B74,'LEGEND&amp;DATA'!$F$20:$AB$90,22,FALSE),"")</f>
        <v>0.93827160493827155</v>
      </c>
      <c r="M74" s="128">
        <f>IFERROR(VLOOKUP($B74,'LEGEND&amp;DATA'!$F$20:$AE$90,26,FALSE),"")</f>
        <v>0.62</v>
      </c>
      <c r="N74" s="9"/>
    </row>
    <row r="75" spans="1:14" ht="16" customHeight="1" x14ac:dyDescent="0.35">
      <c r="A75" s="423">
        <v>54</v>
      </c>
      <c r="B75" s="3" t="str">
        <f>IF($A75&gt;KEY!$B$2,"",IFERROR(VLOOKUP($A75,'LEGEND&amp;DATA'!$E$20:$F$90,2,FALSE),""))</f>
        <v>Honda of Escondido</v>
      </c>
      <c r="C75" s="15">
        <f>IFERROR(VLOOKUP($B75,'LEGEND&amp;DATA'!$F$20:$AB$90,2,FALSE),"")</f>
        <v>0.875</v>
      </c>
      <c r="D75" s="304">
        <f>IFERROR(VLOOKUP($B75,'LEGEND&amp;DATA'!$F$20:$AB$90,4,FALSE),"")</f>
        <v>8.8235294117647051E-2</v>
      </c>
      <c r="E75" s="127">
        <f>IFERROR(VLOOKUP($B75,'LEGEND&amp;DATA'!$F$20:$AB$90,8,FALSE),"")</f>
        <v>1.3333333333333333</v>
      </c>
      <c r="F75" s="308">
        <f>IFERROR(VLOOKUP($B75,'LEGEND&amp;DATA'!$F$20:$AB$90,10,FALSE),"")</f>
        <v>0.875</v>
      </c>
      <c r="G75" s="10">
        <f>IFERROR(VLOOKUP($B75,'LEGEND&amp;DATA'!$F$20:$AB$90,12,FALSE),"")</f>
        <v>0.14663461538461539</v>
      </c>
      <c r="H75" s="317">
        <f>IFERROR(VLOOKUP($B75,'LEGEND&amp;DATA'!$F$20:$AB$90,14,FALSE),"")</f>
        <v>0.15723270440251572</v>
      </c>
      <c r="I75" s="80">
        <f>IFERROR(VLOOKUP($B75,'LEGEND&amp;DATA'!$F$20:$AB$90,16,FALSE),"")</f>
        <v>0.7857142857142857</v>
      </c>
      <c r="J75" s="308" t="str">
        <f>IFERROR(VLOOKUP($B75,'LEGEND&amp;DATA'!$F$20:$AB$90,18,FALSE),"")</f>
        <v>-</v>
      </c>
      <c r="K75" s="317">
        <f>IFERROR(VLOOKUP($B75,'LEGEND&amp;DATA'!$F$20:$AB$90,20,FALSE),"")</f>
        <v>0.77651515151515149</v>
      </c>
      <c r="L75" s="80">
        <f>IFERROR(VLOOKUP($B75,'LEGEND&amp;DATA'!$F$20:$AB$90,22,FALSE),"")</f>
        <v>0.48170731707317072</v>
      </c>
      <c r="M75" s="128">
        <f>IFERROR(VLOOKUP($B75,'LEGEND&amp;DATA'!$F$20:$AE$90,26,FALSE),"")</f>
        <v>0.62</v>
      </c>
      <c r="N75" s="9"/>
    </row>
    <row r="76" spans="1:14" ht="16" customHeight="1" x14ac:dyDescent="0.35">
      <c r="A76" s="423">
        <v>55</v>
      </c>
      <c r="B76" s="3" t="str">
        <f>IF($A76&gt;KEY!$B$2,"",IFERROR(VLOOKUP($A76,'LEGEND&amp;DATA'!$E$20:$F$90,2,FALSE),""))</f>
        <v>Capitol Honda</v>
      </c>
      <c r="C76" s="15">
        <f>IFERROR(VLOOKUP($B76,'LEGEND&amp;DATA'!$F$20:$AB$90,2,FALSE),"")</f>
        <v>0.87984496124031009</v>
      </c>
      <c r="D76" s="304">
        <f>IFERROR(VLOOKUP($B76,'LEGEND&amp;DATA'!$F$20:$AB$90,4,FALSE),"")</f>
        <v>0.67164179104477617</v>
      </c>
      <c r="E76" s="127">
        <f>IFERROR(VLOOKUP($B76,'LEGEND&amp;DATA'!$F$20:$AB$90,8,FALSE),"")</f>
        <v>1.2173913043478262</v>
      </c>
      <c r="F76" s="308">
        <f>IFERROR(VLOOKUP($B76,'LEGEND&amp;DATA'!$F$20:$AB$90,10,FALSE),"")</f>
        <v>0.875</v>
      </c>
      <c r="G76" s="10">
        <f>IFERROR(VLOOKUP($B76,'LEGEND&amp;DATA'!$F$20:$AB$90,12,FALSE),"")</f>
        <v>9.7510373443983403E-2</v>
      </c>
      <c r="H76" s="317">
        <f>IFERROR(VLOOKUP($B76,'LEGEND&amp;DATA'!$F$20:$AB$90,14,FALSE),"")</f>
        <v>0.18548387096774194</v>
      </c>
      <c r="I76" s="80">
        <f>IFERROR(VLOOKUP($B76,'LEGEND&amp;DATA'!$F$20:$AB$90,16,FALSE),"")</f>
        <v>0.90476190476190477</v>
      </c>
      <c r="J76" s="308" t="str">
        <f>IFERROR(VLOOKUP($B76,'LEGEND&amp;DATA'!$F$20:$AB$90,18,FALSE),"")</f>
        <v>-</v>
      </c>
      <c r="K76" s="317">
        <f>IFERROR(VLOOKUP($B76,'LEGEND&amp;DATA'!$F$20:$AB$90,20,FALSE),"")</f>
        <v>0.72529644268774707</v>
      </c>
      <c r="L76" s="80">
        <f>IFERROR(VLOOKUP($B76,'LEGEND&amp;DATA'!$F$20:$AB$90,22,FALSE),"")</f>
        <v>0.37229437229437229</v>
      </c>
      <c r="M76" s="128">
        <f>IFERROR(VLOOKUP($B76,'LEGEND&amp;DATA'!$F$20:$AE$90,26,FALSE),"")</f>
        <v>0.59</v>
      </c>
      <c r="N76" s="9"/>
    </row>
    <row r="77" spans="1:14" x14ac:dyDescent="0.35">
      <c r="A77" s="423">
        <v>56</v>
      </c>
      <c r="B77" s="3" t="str">
        <f>IF($A77&gt;KEY!$B$2,"",IFERROR(VLOOKUP($A77,'LEGEND&amp;DATA'!$E$20:$F$90,2,FALSE),""))</f>
        <v>MINI of Tempe</v>
      </c>
      <c r="C77" s="15">
        <f>IFERROR(VLOOKUP($B77,'LEGEND&amp;DATA'!$F$20:$AB$90,2,FALSE),"")</f>
        <v>0.51111111111111107</v>
      </c>
      <c r="D77" s="304">
        <f>IFERROR(VLOOKUP($B77,'LEGEND&amp;DATA'!$F$20:$AB$90,4,FALSE),"")</f>
        <v>8</v>
      </c>
      <c r="E77" s="127">
        <f>IFERROR(VLOOKUP($B77,'LEGEND&amp;DATA'!$F$20:$AB$90,8,FALSE),"")</f>
        <v>0.75</v>
      </c>
      <c r="F77" s="308">
        <f>IFERROR(VLOOKUP($B77,'LEGEND&amp;DATA'!$F$20:$AB$90,10,FALSE),"")</f>
        <v>1</v>
      </c>
      <c r="G77" s="10">
        <f>IFERROR(VLOOKUP($B77,'LEGEND&amp;DATA'!$F$20:$AB$90,12,FALSE),"")</f>
        <v>0.1702127659574468</v>
      </c>
      <c r="H77" s="317">
        <f>IFERROR(VLOOKUP($B77,'LEGEND&amp;DATA'!$F$20:$AB$90,14,FALSE),"")</f>
        <v>0.4</v>
      </c>
      <c r="I77" s="80">
        <f>IFERROR(VLOOKUP($B77,'LEGEND&amp;DATA'!$F$20:$AB$90,16,FALSE),"")</f>
        <v>0.5</v>
      </c>
      <c r="J77" s="308" t="str">
        <f>IFERROR(VLOOKUP($B77,'LEGEND&amp;DATA'!$F$20:$AB$90,18,FALSE),"")</f>
        <v>-</v>
      </c>
      <c r="K77" s="317">
        <f>IFERROR(VLOOKUP($B77,'LEGEND&amp;DATA'!$F$20:$AB$90,20,FALSE),"")</f>
        <v>0.57954545454545459</v>
      </c>
      <c r="L77" s="80">
        <f>IFERROR(VLOOKUP($B77,'LEGEND&amp;DATA'!$F$20:$AB$90,22,FALSE),"")</f>
        <v>1.173913043478261</v>
      </c>
      <c r="M77" s="128">
        <f>IFERROR(VLOOKUP($B77,'LEGEND&amp;DATA'!$F$20:$AE$90,26,FALSE),"")</f>
        <v>0.59</v>
      </c>
    </row>
    <row r="78" spans="1:14" x14ac:dyDescent="0.35">
      <c r="A78" s="423">
        <v>57</v>
      </c>
      <c r="B78" s="3" t="str">
        <f>IF($A78&gt;KEY!$B$2,"",IFERROR(VLOOKUP($A78,'LEGEND&amp;DATA'!$E$20:$F$90,2,FALSE),""))</f>
        <v>Penske Honda</v>
      </c>
      <c r="C78" s="15">
        <f>IFERROR(VLOOKUP($B78,'LEGEND&amp;DATA'!$F$20:$AB$90,2,FALSE),"")</f>
        <v>0.86345381526104414</v>
      </c>
      <c r="D78" s="304">
        <f>IFERROR(VLOOKUP($B78,'LEGEND&amp;DATA'!$F$20:$AB$90,4,FALSE),"")</f>
        <v>0.26923076923076922</v>
      </c>
      <c r="E78" s="127">
        <f>IFERROR(VLOOKUP($B78,'LEGEND&amp;DATA'!$F$20:$AB$90,8,FALSE),"")</f>
        <v>0.52</v>
      </c>
      <c r="F78" s="308">
        <f>IFERROR(VLOOKUP($B78,'LEGEND&amp;DATA'!$F$20:$AB$90,10,FALSE),"")</f>
        <v>0.625</v>
      </c>
      <c r="G78" s="10">
        <f>IFERROR(VLOOKUP($B78,'LEGEND&amp;DATA'!$F$20:$AB$90,12,FALSE),"")</f>
        <v>0.19198664440734559</v>
      </c>
      <c r="H78" s="317">
        <f>IFERROR(VLOOKUP($B78,'LEGEND&amp;DATA'!$F$20:$AB$90,14,FALSE),"")</f>
        <v>0.26845637583892618</v>
      </c>
      <c r="I78" s="80">
        <f>IFERROR(VLOOKUP($B78,'LEGEND&amp;DATA'!$F$20:$AB$90,16,FALSE),"")</f>
        <v>0.62857142857142856</v>
      </c>
      <c r="J78" s="308" t="str">
        <f>IFERROR(VLOOKUP($B78,'LEGEND&amp;DATA'!$F$20:$AB$90,18,FALSE),"")</f>
        <v>-</v>
      </c>
      <c r="K78" s="317">
        <f>IFERROR(VLOOKUP($B78,'LEGEND&amp;DATA'!$F$20:$AB$90,20,FALSE),"")</f>
        <v>0.75636363636363635</v>
      </c>
      <c r="L78" s="80">
        <f>IFERROR(VLOOKUP($B78,'LEGEND&amp;DATA'!$F$20:$AB$90,22,FALSE),"")</f>
        <v>0.47575057736720555</v>
      </c>
      <c r="M78" s="128">
        <f>IFERROR(VLOOKUP($B78,'LEGEND&amp;DATA'!$F$20:$AE$90,26,FALSE),"")</f>
        <v>0.59</v>
      </c>
    </row>
    <row r="79" spans="1:14" x14ac:dyDescent="0.35">
      <c r="A79" s="423">
        <v>58</v>
      </c>
      <c r="B79" s="3" t="str">
        <f>IF($A79&gt;KEY!$B$2,"",IFERROR(VLOOKUP($A79,'LEGEND&amp;DATA'!$E$20:$F$90,2,FALSE),""))</f>
        <v>Penske Chevrolet</v>
      </c>
      <c r="C79" s="15">
        <f>IFERROR(VLOOKUP($B79,'LEGEND&amp;DATA'!$F$20:$AB$90,2,FALSE),"")</f>
        <v>0.79136690647482011</v>
      </c>
      <c r="D79" s="304">
        <f>IFERROR(VLOOKUP($B79,'LEGEND&amp;DATA'!$F$20:$AB$90,4,FALSE),"")</f>
        <v>1.6363636363636365</v>
      </c>
      <c r="E79" s="127">
        <f>IFERROR(VLOOKUP($B79,'LEGEND&amp;DATA'!$F$20:$AB$90,8,FALSE),"")</f>
        <v>0.8</v>
      </c>
      <c r="F79" s="308">
        <f>IFERROR(VLOOKUP($B79,'LEGEND&amp;DATA'!$F$20:$AB$90,10,FALSE),"")</f>
        <v>0.875</v>
      </c>
      <c r="G79" s="10">
        <f>IFERROR(VLOOKUP($B79,'LEGEND&amp;DATA'!$F$20:$AB$90,12,FALSE),"")</f>
        <v>0.18859649122807018</v>
      </c>
      <c r="H79" s="317">
        <f>IFERROR(VLOOKUP($B79,'LEGEND&amp;DATA'!$F$20:$AB$90,14,FALSE),"")</f>
        <v>0.16981132075471697</v>
      </c>
      <c r="I79" s="80">
        <f>IFERROR(VLOOKUP($B79,'LEGEND&amp;DATA'!$F$20:$AB$90,16,FALSE),"")</f>
        <v>0.54545454545454541</v>
      </c>
      <c r="J79" s="308" t="str">
        <f>IFERROR(VLOOKUP($B79,'LEGEND&amp;DATA'!$F$20:$AB$90,18,FALSE),"")</f>
        <v>-</v>
      </c>
      <c r="K79" s="317">
        <f>IFERROR(VLOOKUP($B79,'LEGEND&amp;DATA'!$F$20:$AB$90,20,FALSE),"")</f>
        <v>0.72727272727272729</v>
      </c>
      <c r="L79" s="80">
        <f>IFERROR(VLOOKUP($B79,'LEGEND&amp;DATA'!$F$20:$AB$90,22,FALSE),"")</f>
        <v>0.45535714285714285</v>
      </c>
      <c r="M79" s="128">
        <f>IFERROR(VLOOKUP($B79,'LEGEND&amp;DATA'!$F$20:$AE$90,26,FALSE),"")</f>
        <v>0.57999999999999996</v>
      </c>
    </row>
    <row r="80" spans="1:14" x14ac:dyDescent="0.35">
      <c r="A80" s="423">
        <v>59</v>
      </c>
      <c r="B80" s="3" t="str">
        <f>IF($A80&gt;KEY!$B$2,"",IFERROR(VLOOKUP($A80,'LEGEND&amp;DATA'!$E$20:$F$90,2,FALSE),""))</f>
        <v>BMW/MINI of Escondido</v>
      </c>
      <c r="C80" s="15">
        <f>IFERROR(VLOOKUP($B80,'LEGEND&amp;DATA'!$F$20:$AB$90,2,FALSE),"")</f>
        <v>0.73267326732673266</v>
      </c>
      <c r="D80" s="304">
        <f>IFERROR(VLOOKUP($B80,'LEGEND&amp;DATA'!$F$20:$AB$90,4,FALSE),"")</f>
        <v>0.77777777777777779</v>
      </c>
      <c r="E80" s="127">
        <f>IFERROR(VLOOKUP($B80,'LEGEND&amp;DATA'!$F$20:$AB$90,8,FALSE),"")</f>
        <v>2.7777777777777777</v>
      </c>
      <c r="F80" s="308">
        <f>IFERROR(VLOOKUP($B80,'LEGEND&amp;DATA'!$F$20:$AB$90,10,FALSE),"")</f>
        <v>0.625</v>
      </c>
      <c r="G80" s="10">
        <f>IFERROR(VLOOKUP($B80,'LEGEND&amp;DATA'!$F$20:$AB$90,12,FALSE),"")</f>
        <v>7.3275862068965511E-2</v>
      </c>
      <c r="H80" s="317">
        <f>IFERROR(VLOOKUP($B80,'LEGEND&amp;DATA'!$F$20:$AB$90,14,FALSE),"")</f>
        <v>0.12</v>
      </c>
      <c r="I80" s="80">
        <f>IFERROR(VLOOKUP($B80,'LEGEND&amp;DATA'!$F$20:$AB$90,16,FALSE),"")</f>
        <v>0.46666666666666667</v>
      </c>
      <c r="J80" s="308" t="str">
        <f>IFERROR(VLOOKUP($B80,'LEGEND&amp;DATA'!$F$20:$AB$90,18,FALSE),"")</f>
        <v>-</v>
      </c>
      <c r="K80" s="317">
        <f>IFERROR(VLOOKUP($B80,'LEGEND&amp;DATA'!$F$20:$AB$90,20,FALSE),"")</f>
        <v>0.80808080808080807</v>
      </c>
      <c r="L80" s="80">
        <f>IFERROR(VLOOKUP($B80,'LEGEND&amp;DATA'!$F$20:$AB$90,22,FALSE),"")</f>
        <v>0.6</v>
      </c>
      <c r="M80" s="128">
        <f>IFERROR(VLOOKUP($B80,'LEGEND&amp;DATA'!$F$20:$AE$90,26,FALSE),"")</f>
        <v>0.52</v>
      </c>
    </row>
    <row r="81" spans="1:13" x14ac:dyDescent="0.35">
      <c r="A81" s="423">
        <v>60</v>
      </c>
      <c r="B81" s="3" t="str">
        <f>IF($A81&gt;KEY!$B$2,"",IFERROR(VLOOKUP($A81,'LEGEND&amp;DATA'!$E$20:$F$90,2,FALSE),""))</f>
        <v>Hyundai of Leander</v>
      </c>
      <c r="C81" s="15" t="str">
        <f>IFERROR(VLOOKUP($B81,'LEGEND&amp;DATA'!$F$20:$AB$90,2,FALSE),"")</f>
        <v>N/A</v>
      </c>
      <c r="D81" s="304">
        <f>IFERROR(VLOOKUP($B81,'LEGEND&amp;DATA'!$F$20:$AB$90,4,FALSE),"")</f>
        <v>1.125</v>
      </c>
      <c r="E81" s="127">
        <f>IFERROR(VLOOKUP($B81,'LEGEND&amp;DATA'!$F$20:$AB$90,8,FALSE),"")</f>
        <v>0</v>
      </c>
      <c r="F81" s="308">
        <f>IFERROR(VLOOKUP($B81,'LEGEND&amp;DATA'!$F$20:$AB$90,10,FALSE),"")</f>
        <v>0.625</v>
      </c>
      <c r="G81" s="10">
        <f>IFERROR(VLOOKUP($B81,'LEGEND&amp;DATA'!$F$20:$AB$90,12,FALSE),"")</f>
        <v>0.10526315789473684</v>
      </c>
      <c r="H81" s="317">
        <f>IFERROR(VLOOKUP($B81,'LEGEND&amp;DATA'!$F$20:$AB$90,14,FALSE),"")</f>
        <v>7.4999999999999997E-2</v>
      </c>
      <c r="I81" s="80" t="str">
        <f>IFERROR(VLOOKUP($B81,'LEGEND&amp;DATA'!$F$20:$AB$90,16,FALSE),"")</f>
        <v>N/A</v>
      </c>
      <c r="J81" s="308" t="str">
        <f>IFERROR(VLOOKUP($B81,'LEGEND&amp;DATA'!$F$20:$AB$90,18,FALSE),"")</f>
        <v>-</v>
      </c>
      <c r="K81" s="317">
        <f>IFERROR(VLOOKUP($B81,'LEGEND&amp;DATA'!$F$20:$AB$90,20,FALSE),"")</f>
        <v>1.2077922077922079</v>
      </c>
      <c r="L81" s="80">
        <f>IFERROR(VLOOKUP($B81,'LEGEND&amp;DATA'!$F$20:$AB$90,22,FALSE),"")</f>
        <v>0.33774834437086093</v>
      </c>
      <c r="M81" s="128">
        <f>IFERROR(VLOOKUP($B81,'LEGEND&amp;DATA'!$F$20:$AE$90,26,FALSE),"")</f>
        <v>0.51315789473684215</v>
      </c>
    </row>
    <row r="82" spans="1:13" x14ac:dyDescent="0.35">
      <c r="A82" s="423">
        <v>61</v>
      </c>
      <c r="B82" s="3" t="str">
        <f>IF($A82&gt;KEY!$B$2,"",IFERROR(VLOOKUP($A82,'LEGEND&amp;DATA'!$E$20:$F$90,2,FALSE),""))</f>
        <v>Scottsdale Ferrari Maserati</v>
      </c>
      <c r="C82" s="15">
        <f>IFERROR(VLOOKUP($B82,'LEGEND&amp;DATA'!$F$20:$AB$90,2,FALSE),"")</f>
        <v>1.0769230769230769</v>
      </c>
      <c r="D82" s="304">
        <f>IFERROR(VLOOKUP($B82,'LEGEND&amp;DATA'!$F$20:$AB$90,4,FALSE),"")</f>
        <v>1</v>
      </c>
      <c r="E82" s="127">
        <f>IFERROR(VLOOKUP($B82,'LEGEND&amp;DATA'!$F$20:$AB$90,8,FALSE),"")</f>
        <v>0.33333333333333331</v>
      </c>
      <c r="F82" s="308">
        <f>IFERROR(VLOOKUP($B82,'LEGEND&amp;DATA'!$F$20:$AB$90,10,FALSE),"")</f>
        <v>0.125</v>
      </c>
      <c r="G82" s="10">
        <f>IFERROR(VLOOKUP($B82,'LEGEND&amp;DATA'!$F$20:$AB$90,12,FALSE),"")</f>
        <v>7.6923076923076927E-2</v>
      </c>
      <c r="H82" s="317">
        <f>IFERROR(VLOOKUP($B82,'LEGEND&amp;DATA'!$F$20:$AB$90,14,FALSE),"")</f>
        <v>0.14285714285714285</v>
      </c>
      <c r="I82" s="80" t="str">
        <f>IFERROR(VLOOKUP($B82,'LEGEND&amp;DATA'!$F$20:$AB$90,16,FALSE),"")</f>
        <v>N/A</v>
      </c>
      <c r="J82" s="308" t="str">
        <f>IFERROR(VLOOKUP($B82,'LEGEND&amp;DATA'!$F$20:$AB$90,18,FALSE),"")</f>
        <v>-</v>
      </c>
      <c r="K82" s="317">
        <f>IFERROR(VLOOKUP($B82,'LEGEND&amp;DATA'!$F$20:$AB$90,20,FALSE),"")</f>
        <v>0.70833333333333337</v>
      </c>
      <c r="L82" s="80">
        <f>IFERROR(VLOOKUP($B82,'LEGEND&amp;DATA'!$F$20:$AB$90,22,FALSE),"")</f>
        <v>0.32142857142857145</v>
      </c>
      <c r="M82" s="128">
        <f>IFERROR(VLOOKUP($B82,'LEGEND&amp;DATA'!$F$20:$AE$90,26,FALSE),"")</f>
        <v>0.47727272727272729</v>
      </c>
    </row>
    <row r="83" spans="1:13" x14ac:dyDescent="0.35">
      <c r="A83" s="423">
        <v>62</v>
      </c>
      <c r="B83" s="3" t="str">
        <f>IF($A83&gt;KEY!$B$2,"",IFERROR(VLOOKUP($A83,'LEGEND&amp;DATA'!$E$20:$F$90,2,FALSE),""))</f>
        <v/>
      </c>
      <c r="C83" s="15" t="str">
        <f>IFERROR(VLOOKUP($B83,'LEGEND&amp;DATA'!$F$20:$AB$90,2,FALSE),"")</f>
        <v/>
      </c>
      <c r="D83" s="304" t="str">
        <f>IFERROR(VLOOKUP($B83,'LEGEND&amp;DATA'!$F$20:$AB$90,4,FALSE),"")</f>
        <v/>
      </c>
      <c r="E83" s="127" t="str">
        <f>IFERROR(VLOOKUP($B83,'LEGEND&amp;DATA'!$F$20:$AB$90,8,FALSE),"")</f>
        <v/>
      </c>
      <c r="F83" s="308" t="str">
        <f>IFERROR(VLOOKUP($B83,'LEGEND&amp;DATA'!$F$20:$AB$90,10,FALSE),"")</f>
        <v/>
      </c>
      <c r="G83" s="10" t="str">
        <f>IFERROR(VLOOKUP($B83,'LEGEND&amp;DATA'!$F$20:$AB$90,12,FALSE),"")</f>
        <v/>
      </c>
      <c r="H83" s="317" t="str">
        <f>IFERROR(VLOOKUP($B83,'LEGEND&amp;DATA'!$F$20:$AB$90,14,FALSE),"")</f>
        <v/>
      </c>
      <c r="I83" s="80" t="str">
        <f>IFERROR(VLOOKUP($B83,'LEGEND&amp;DATA'!$F$20:$AB$90,16,FALSE),"")</f>
        <v/>
      </c>
      <c r="J83" s="308" t="str">
        <f>IFERROR(VLOOKUP($B83,'LEGEND&amp;DATA'!$F$20:$AB$90,18,FALSE),"")</f>
        <v>-</v>
      </c>
      <c r="K83" s="317" t="str">
        <f>IFERROR(VLOOKUP($B83,'LEGEND&amp;DATA'!$F$20:$AB$90,20,FALSE),"")</f>
        <v/>
      </c>
      <c r="L83" s="80" t="str">
        <f>IFERROR(VLOOKUP($B83,'LEGEND&amp;DATA'!$F$20:$AB$90,22,FALSE),"")</f>
        <v/>
      </c>
      <c r="M83" s="128" t="str">
        <f>IFERROR(VLOOKUP($B83,'LEGEND&amp;DATA'!$F$20:$AE$90,26,FALSE),"")</f>
        <v/>
      </c>
    </row>
    <row r="84" spans="1:13" x14ac:dyDescent="0.35">
      <c r="A84" s="423">
        <v>63</v>
      </c>
      <c r="B84" s="3" t="str">
        <f>IF($A84&gt;KEY!$B$2,"",IFERROR(VLOOKUP($A84,'LEGEND&amp;DATA'!$E$20:$F$90,2,FALSE),""))</f>
        <v/>
      </c>
      <c r="C84" s="15" t="str">
        <f>IFERROR(VLOOKUP($B84,'LEGEND&amp;DATA'!$F$20:$AB$90,2,FALSE),"")</f>
        <v/>
      </c>
      <c r="D84" s="304" t="str">
        <f>IFERROR(VLOOKUP($B84,'LEGEND&amp;DATA'!$F$20:$AB$90,4,FALSE),"")</f>
        <v/>
      </c>
      <c r="E84" s="127" t="str">
        <f>IFERROR(VLOOKUP($B84,'LEGEND&amp;DATA'!$F$20:$AB$90,8,FALSE),"")</f>
        <v/>
      </c>
      <c r="F84" s="308" t="str">
        <f>IFERROR(VLOOKUP($B84,'LEGEND&amp;DATA'!$F$20:$AB$90,10,FALSE),"")</f>
        <v/>
      </c>
      <c r="G84" s="10" t="str">
        <f>IFERROR(VLOOKUP($B84,'LEGEND&amp;DATA'!$F$20:$AB$90,12,FALSE),"")</f>
        <v/>
      </c>
      <c r="H84" s="317" t="str">
        <f>IFERROR(VLOOKUP($B84,'LEGEND&amp;DATA'!$F$20:$AB$90,14,FALSE),"")</f>
        <v/>
      </c>
      <c r="I84" s="80" t="str">
        <f>IFERROR(VLOOKUP($B84,'LEGEND&amp;DATA'!$F$20:$AB$90,16,FALSE),"")</f>
        <v/>
      </c>
      <c r="J84" s="308" t="str">
        <f>IFERROR(VLOOKUP($B84,'LEGEND&amp;DATA'!$F$20:$AB$90,18,FALSE),"")</f>
        <v>-</v>
      </c>
      <c r="K84" s="317" t="str">
        <f>IFERROR(VLOOKUP($B84,'LEGEND&amp;DATA'!$F$20:$AB$90,20,FALSE),"")</f>
        <v/>
      </c>
      <c r="L84" s="80" t="str">
        <f>IFERROR(VLOOKUP($B84,'LEGEND&amp;DATA'!$F$20:$AB$90,22,FALSE),"")</f>
        <v/>
      </c>
      <c r="M84" s="128" t="str">
        <f>IFERROR(VLOOKUP($B84,'LEGEND&amp;DATA'!$F$20:$AE$90,26,FALSE),"")</f>
        <v/>
      </c>
    </row>
    <row r="85" spans="1:13" x14ac:dyDescent="0.35">
      <c r="A85" s="423">
        <v>64</v>
      </c>
      <c r="B85" s="3" t="str">
        <f>IF($A85&gt;KEY!$B$2,"",IFERROR(VLOOKUP($A85,'LEGEND&amp;DATA'!$E$20:$F$90,2,FALSE),""))</f>
        <v/>
      </c>
      <c r="C85" s="15" t="str">
        <f>IFERROR(VLOOKUP($B85,'LEGEND&amp;DATA'!$F$20:$AB$90,2,FALSE),"")</f>
        <v/>
      </c>
      <c r="D85" s="304" t="str">
        <f>IFERROR(VLOOKUP($B85,'LEGEND&amp;DATA'!$F$20:$AB$90,4,FALSE),"")</f>
        <v/>
      </c>
      <c r="E85" s="127" t="str">
        <f>IFERROR(VLOOKUP($B85,'LEGEND&amp;DATA'!$F$20:$AB$90,8,FALSE),"")</f>
        <v/>
      </c>
      <c r="F85" s="308" t="str">
        <f>IFERROR(VLOOKUP($B85,'LEGEND&amp;DATA'!$F$20:$AB$90,10,FALSE),"")</f>
        <v/>
      </c>
      <c r="G85" s="10" t="str">
        <f>IFERROR(VLOOKUP($B85,'LEGEND&amp;DATA'!$F$20:$AB$90,12,FALSE),"")</f>
        <v/>
      </c>
      <c r="H85" s="317" t="str">
        <f>IFERROR(VLOOKUP($B85,'LEGEND&amp;DATA'!$F$20:$AB$90,14,FALSE),"")</f>
        <v/>
      </c>
      <c r="I85" s="80" t="str">
        <f>IFERROR(VLOOKUP($B85,'LEGEND&amp;DATA'!$F$20:$AB$90,16,FALSE),"")</f>
        <v/>
      </c>
      <c r="J85" s="308" t="str">
        <f>IFERROR(VLOOKUP($B85,'LEGEND&amp;DATA'!$F$20:$AB$90,18,FALSE),"")</f>
        <v>-</v>
      </c>
      <c r="K85" s="317" t="str">
        <f>IFERROR(VLOOKUP($B85,'LEGEND&amp;DATA'!$F$20:$AB$90,20,FALSE),"")</f>
        <v/>
      </c>
      <c r="L85" s="80" t="str">
        <f>IFERROR(VLOOKUP($B85,'LEGEND&amp;DATA'!$F$20:$AB$90,22,FALSE),"")</f>
        <v/>
      </c>
      <c r="M85" s="128" t="str">
        <f>IFERROR(VLOOKUP($B85,'LEGEND&amp;DATA'!$F$20:$AE$90,26,FALSE),"")</f>
        <v/>
      </c>
    </row>
    <row r="86" spans="1:13" x14ac:dyDescent="0.35">
      <c r="A86" s="423">
        <v>65</v>
      </c>
      <c r="B86" s="3" t="str">
        <f>IF($A86&gt;KEY!$B$2,"",IFERROR(VLOOKUP($A86,'LEGEND&amp;DATA'!$E$20:$F$90,2,FALSE),""))</f>
        <v/>
      </c>
      <c r="C86" s="15" t="str">
        <f>IFERROR(VLOOKUP($B86,'LEGEND&amp;DATA'!$F$20:$AB$90,2,FALSE),"")</f>
        <v/>
      </c>
      <c r="D86" s="304" t="str">
        <f>IFERROR(VLOOKUP($B86,'LEGEND&amp;DATA'!$F$20:$AB$90,4,FALSE),"")</f>
        <v/>
      </c>
      <c r="E86" s="127" t="str">
        <f>IFERROR(VLOOKUP($B86,'LEGEND&amp;DATA'!$F$20:$AB$90,8,FALSE),"")</f>
        <v/>
      </c>
      <c r="F86" s="308" t="str">
        <f>IFERROR(VLOOKUP($B86,'LEGEND&amp;DATA'!$F$20:$AB$90,10,FALSE),"")</f>
        <v/>
      </c>
      <c r="G86" s="10" t="str">
        <f>IFERROR(VLOOKUP($B86,'LEGEND&amp;DATA'!$F$20:$AB$90,12,FALSE),"")</f>
        <v/>
      </c>
      <c r="H86" s="317" t="str">
        <f>IFERROR(VLOOKUP($B86,'LEGEND&amp;DATA'!$F$20:$AB$90,14,FALSE),"")</f>
        <v/>
      </c>
      <c r="I86" s="80" t="str">
        <f>IFERROR(VLOOKUP($B86,'LEGEND&amp;DATA'!$F$20:$AB$90,16,FALSE),"")</f>
        <v/>
      </c>
      <c r="J86" s="308" t="str">
        <f>IFERROR(VLOOKUP($B86,'LEGEND&amp;DATA'!$F$20:$AB$90,18,FALSE),"")</f>
        <v>-</v>
      </c>
      <c r="K86" s="317" t="str">
        <f>IFERROR(VLOOKUP($B86,'LEGEND&amp;DATA'!$F$20:$AB$90,20,FALSE),"")</f>
        <v/>
      </c>
      <c r="L86" s="80" t="str">
        <f>IFERROR(VLOOKUP($B86,'LEGEND&amp;DATA'!$F$20:$AB$90,22,FALSE),"")</f>
        <v/>
      </c>
      <c r="M86" s="128" t="str">
        <f>IFERROR(VLOOKUP($B86,'LEGEND&amp;DATA'!$F$20:$AE$90,26,FALSE),"")</f>
        <v/>
      </c>
    </row>
    <row r="87" spans="1:13" x14ac:dyDescent="0.35">
      <c r="A87" s="423">
        <v>66</v>
      </c>
      <c r="B87" s="3" t="str">
        <f>IF($A87&gt;KEY!$B$2,"",IFERROR(VLOOKUP($A87,'LEGEND&amp;DATA'!$E$20:$F$90,2,FALSE),""))</f>
        <v/>
      </c>
      <c r="C87" s="15" t="str">
        <f>IFERROR(VLOOKUP($B87,'LEGEND&amp;DATA'!$F$20:$AB$90,2,FALSE),"")</f>
        <v/>
      </c>
      <c r="D87" s="304" t="str">
        <f>IFERROR(VLOOKUP($B87,'LEGEND&amp;DATA'!$F$20:$AB$90,4,FALSE),"")</f>
        <v/>
      </c>
      <c r="E87" s="127" t="str">
        <f>IFERROR(VLOOKUP($B87,'LEGEND&amp;DATA'!$F$20:$AB$90,8,FALSE),"")</f>
        <v/>
      </c>
      <c r="F87" s="308" t="str">
        <f>IFERROR(VLOOKUP($B87,'LEGEND&amp;DATA'!$F$20:$AB$90,10,FALSE),"")</f>
        <v/>
      </c>
      <c r="G87" s="10" t="str">
        <f>IFERROR(VLOOKUP($B87,'LEGEND&amp;DATA'!$F$20:$AB$90,12,FALSE),"")</f>
        <v/>
      </c>
      <c r="H87" s="317" t="str">
        <f>IFERROR(VLOOKUP($B87,'LEGEND&amp;DATA'!$F$20:$AB$90,14,FALSE),"")</f>
        <v/>
      </c>
      <c r="I87" s="80" t="str">
        <f>IFERROR(VLOOKUP($B87,'LEGEND&amp;DATA'!$F$20:$AB$90,16,FALSE),"")</f>
        <v/>
      </c>
      <c r="J87" s="308" t="str">
        <f>IFERROR(VLOOKUP($B87,'LEGEND&amp;DATA'!$F$20:$AB$90,18,FALSE),"")</f>
        <v>-</v>
      </c>
      <c r="K87" s="317" t="str">
        <f>IFERROR(VLOOKUP($B87,'LEGEND&amp;DATA'!$F$20:$AB$90,20,FALSE),"")</f>
        <v/>
      </c>
      <c r="L87" s="80" t="str">
        <f>IFERROR(VLOOKUP($B87,'LEGEND&amp;DATA'!$F$20:$AB$90,22,FALSE),"")</f>
        <v/>
      </c>
      <c r="M87" s="128" t="str">
        <f>IFERROR(VLOOKUP($B87,'LEGEND&amp;DATA'!$F$20:$AE$90,26,FALSE),"")</f>
        <v/>
      </c>
    </row>
    <row r="88" spans="1:13" x14ac:dyDescent="0.35">
      <c r="A88" s="423">
        <v>67</v>
      </c>
      <c r="B88" s="3" t="str">
        <f>IF($A88&gt;KEY!$B$2,"",IFERROR(VLOOKUP($A88,'LEGEND&amp;DATA'!$E$20:$F$90,2,FALSE),""))</f>
        <v/>
      </c>
      <c r="C88" s="15" t="str">
        <f>IFERROR(VLOOKUP($B88,'LEGEND&amp;DATA'!$F$20:$AB$90,2,FALSE),"")</f>
        <v/>
      </c>
      <c r="D88" s="304" t="str">
        <f>IFERROR(VLOOKUP($B88,'LEGEND&amp;DATA'!$F$20:$AB$90,4,FALSE),"")</f>
        <v/>
      </c>
      <c r="E88" s="127" t="str">
        <f>IFERROR(VLOOKUP($B88,'LEGEND&amp;DATA'!$F$20:$AB$90,8,FALSE),"")</f>
        <v/>
      </c>
      <c r="F88" s="308" t="str">
        <f>IFERROR(VLOOKUP($B88,'LEGEND&amp;DATA'!$F$20:$AB$90,10,FALSE),"")</f>
        <v/>
      </c>
      <c r="G88" s="10" t="str">
        <f>IFERROR(VLOOKUP($B88,'LEGEND&amp;DATA'!$F$20:$AB$90,12,FALSE),"")</f>
        <v/>
      </c>
      <c r="H88" s="317" t="str">
        <f>IFERROR(VLOOKUP($B88,'LEGEND&amp;DATA'!$F$20:$AB$90,14,FALSE),"")</f>
        <v/>
      </c>
      <c r="I88" s="80" t="str">
        <f>IFERROR(VLOOKUP($B88,'LEGEND&amp;DATA'!$F$20:$AB$90,16,FALSE),"")</f>
        <v/>
      </c>
      <c r="J88" s="308" t="str">
        <f>IFERROR(VLOOKUP($B88,'LEGEND&amp;DATA'!$F$20:$AB$90,18,FALSE),"")</f>
        <v>-</v>
      </c>
      <c r="K88" s="317" t="str">
        <f>IFERROR(VLOOKUP($B88,'LEGEND&amp;DATA'!$F$20:$AB$90,20,FALSE),"")</f>
        <v/>
      </c>
      <c r="L88" s="80" t="str">
        <f>IFERROR(VLOOKUP($B88,'LEGEND&amp;DATA'!$F$20:$AB$90,22,FALSE),"")</f>
        <v/>
      </c>
      <c r="M88" s="128" t="str">
        <f>IFERROR(VLOOKUP($B88,'LEGEND&amp;DATA'!$F$20:$AE$90,26,FALSE),"")</f>
        <v/>
      </c>
    </row>
    <row r="89" spans="1:13" x14ac:dyDescent="0.35">
      <c r="A89" s="423">
        <v>68</v>
      </c>
      <c r="B89" s="3" t="str">
        <f>IF($A89&gt;KEY!$B$2,"",IFERROR(VLOOKUP($A89,'LEGEND&amp;DATA'!$E$20:$F$90,2,FALSE),""))</f>
        <v/>
      </c>
      <c r="C89" s="15" t="str">
        <f>IFERROR(VLOOKUP($B89,'LEGEND&amp;DATA'!$F$20:$AB$90,2,FALSE),"")</f>
        <v/>
      </c>
      <c r="D89" s="304" t="str">
        <f>IFERROR(VLOOKUP($B89,'LEGEND&amp;DATA'!$F$20:$AB$90,4,FALSE),"")</f>
        <v/>
      </c>
      <c r="E89" s="127" t="str">
        <f>IFERROR(VLOOKUP($B89,'LEGEND&amp;DATA'!$F$20:$AB$90,8,FALSE),"")</f>
        <v/>
      </c>
      <c r="F89" s="308" t="str">
        <f>IFERROR(VLOOKUP($B89,'LEGEND&amp;DATA'!$F$20:$AB$90,10,FALSE),"")</f>
        <v/>
      </c>
      <c r="G89" s="10" t="str">
        <f>IFERROR(VLOOKUP($B89,'LEGEND&amp;DATA'!$F$20:$AB$90,12,FALSE),"")</f>
        <v/>
      </c>
      <c r="H89" s="317" t="str">
        <f>IFERROR(VLOOKUP($B89,'LEGEND&amp;DATA'!$F$20:$AB$90,14,FALSE),"")</f>
        <v/>
      </c>
      <c r="I89" s="80" t="str">
        <f>IFERROR(VLOOKUP($B89,'LEGEND&amp;DATA'!$F$20:$AB$90,16,FALSE),"")</f>
        <v/>
      </c>
      <c r="J89" s="308" t="str">
        <f>IFERROR(VLOOKUP($B89,'LEGEND&amp;DATA'!$F$20:$AB$90,18,FALSE),"")</f>
        <v>-</v>
      </c>
      <c r="K89" s="317" t="str">
        <f>IFERROR(VLOOKUP($B89,'LEGEND&amp;DATA'!$F$20:$AB$90,20,FALSE),"")</f>
        <v/>
      </c>
      <c r="L89" s="80" t="str">
        <f>IFERROR(VLOOKUP($B89,'LEGEND&amp;DATA'!$F$20:$AB$90,22,FALSE),"")</f>
        <v/>
      </c>
      <c r="M89" s="128" t="str">
        <f>IFERROR(VLOOKUP($B89,'LEGEND&amp;DATA'!$F$20:$AE$90,26,FALSE),"")</f>
        <v/>
      </c>
    </row>
    <row r="90" spans="1:13" x14ac:dyDescent="0.35">
      <c r="A90" s="423">
        <v>69</v>
      </c>
      <c r="B90" s="3" t="str">
        <f>IF($A90&gt;KEY!$B$2,"",IFERROR(VLOOKUP($A90,'LEGEND&amp;DATA'!$E$20:$F$90,2,FALSE),""))</f>
        <v/>
      </c>
      <c r="C90" s="15" t="str">
        <f>IFERROR(VLOOKUP($B90,'LEGEND&amp;DATA'!$F$20:$AB$90,2,FALSE),"")</f>
        <v/>
      </c>
      <c r="D90" s="304" t="str">
        <f>IFERROR(VLOOKUP($B90,'LEGEND&amp;DATA'!$F$20:$AB$90,4,FALSE),"")</f>
        <v/>
      </c>
      <c r="E90" s="127" t="str">
        <f>IFERROR(VLOOKUP($B90,'LEGEND&amp;DATA'!$F$20:$AB$90,8,FALSE),"")</f>
        <v/>
      </c>
      <c r="F90" s="308" t="str">
        <f>IFERROR(VLOOKUP($B90,'LEGEND&amp;DATA'!$F$20:$AB$90,10,FALSE),"")</f>
        <v/>
      </c>
      <c r="G90" s="10" t="str">
        <f>IFERROR(VLOOKUP($B90,'LEGEND&amp;DATA'!$F$20:$AB$90,12,FALSE),"")</f>
        <v/>
      </c>
      <c r="H90" s="317" t="str">
        <f>IFERROR(VLOOKUP($B90,'LEGEND&amp;DATA'!$F$20:$AB$90,14,FALSE),"")</f>
        <v/>
      </c>
      <c r="I90" s="80" t="str">
        <f>IFERROR(VLOOKUP($B90,'LEGEND&amp;DATA'!$F$20:$AB$90,16,FALSE),"")</f>
        <v/>
      </c>
      <c r="J90" s="308" t="str">
        <f>IFERROR(VLOOKUP($B90,'LEGEND&amp;DATA'!$F$20:$AB$90,18,FALSE),"")</f>
        <v>-</v>
      </c>
      <c r="K90" s="317" t="str">
        <f>IFERROR(VLOOKUP($B90,'LEGEND&amp;DATA'!$F$20:$AB$90,20,FALSE),"")</f>
        <v/>
      </c>
      <c r="L90" s="80" t="str">
        <f>IFERROR(VLOOKUP($B90,'LEGEND&amp;DATA'!$F$20:$AB$90,22,FALSE),"")</f>
        <v/>
      </c>
      <c r="M90" s="128" t="str">
        <f>IFERROR(VLOOKUP($B90,'LEGEND&amp;DATA'!$F$20:$AE$90,26,FALSE),"")</f>
        <v/>
      </c>
    </row>
    <row r="91" spans="1:13" x14ac:dyDescent="0.35">
      <c r="A91" s="423">
        <v>70</v>
      </c>
      <c r="B91" s="3" t="str">
        <f>IF($A91&gt;KEY!$B$2,"",IFERROR(VLOOKUP($A91,'LEGEND&amp;DATA'!$E$20:$F$90,2,FALSE),""))</f>
        <v/>
      </c>
      <c r="C91" s="15" t="str">
        <f>IFERROR(VLOOKUP($B91,'LEGEND&amp;DATA'!$F$20:$AB$90,2,FALSE),"")</f>
        <v/>
      </c>
      <c r="D91" s="304" t="str">
        <f>IFERROR(VLOOKUP($B91,'LEGEND&amp;DATA'!$F$20:$AB$90,4,FALSE),"")</f>
        <v/>
      </c>
      <c r="E91" s="127" t="str">
        <f>IFERROR(VLOOKUP($B91,'LEGEND&amp;DATA'!$F$20:$AB$90,8,FALSE),"")</f>
        <v/>
      </c>
      <c r="F91" s="308" t="str">
        <f>IFERROR(VLOOKUP($B91,'LEGEND&amp;DATA'!$F$20:$AB$90,10,FALSE),"")</f>
        <v/>
      </c>
      <c r="G91" s="10" t="str">
        <f>IFERROR(VLOOKUP($B91,'LEGEND&amp;DATA'!$F$20:$AB$90,12,FALSE),"")</f>
        <v/>
      </c>
      <c r="H91" s="317" t="str">
        <f>IFERROR(VLOOKUP($B91,'LEGEND&amp;DATA'!$F$20:$AB$90,14,FALSE),"")</f>
        <v/>
      </c>
      <c r="I91" s="80" t="str">
        <f>IFERROR(VLOOKUP($B91,'LEGEND&amp;DATA'!$F$20:$AB$90,16,FALSE),"")</f>
        <v/>
      </c>
      <c r="J91" s="308" t="str">
        <f>IFERROR(VLOOKUP($B91,'LEGEND&amp;DATA'!$F$20:$AB$90,18,FALSE),"")</f>
        <v>-</v>
      </c>
      <c r="K91" s="317" t="str">
        <f>IFERROR(VLOOKUP($B91,'LEGEND&amp;DATA'!$F$20:$AB$90,20,FALSE),"")</f>
        <v/>
      </c>
      <c r="L91" s="80" t="str">
        <f>IFERROR(VLOOKUP($B91,'LEGEND&amp;DATA'!$F$20:$AB$90,22,FALSE),"")</f>
        <v/>
      </c>
      <c r="M91" s="128" t="str">
        <f>IFERROR(VLOOKUP($B91,'LEGEND&amp;DATA'!$F$20:$AE$90,26,FALSE),"")</f>
        <v/>
      </c>
    </row>
  </sheetData>
  <sheetProtection sheet="1" objects="1" scenarios="1"/>
  <sortState xmlns:xlrd2="http://schemas.microsoft.com/office/spreadsheetml/2017/richdata2" ref="B22:M76">
    <sortCondition descending="1" ref="M22:M76"/>
    <sortCondition ref="B22:B76"/>
  </sortState>
  <conditionalFormatting sqref="B22:M91">
    <cfRule type="expression" dxfId="3" priority="1">
      <formula>$B22=""</formula>
    </cfRule>
  </conditionalFormatting>
  <conditionalFormatting sqref="M7:M91">
    <cfRule type="colorScale" priority="8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8931-E036-4FB5-8456-E1F5E0A6B381}">
  <dimension ref="A1:E64"/>
  <sheetViews>
    <sheetView topLeftCell="A16" workbookViewId="0">
      <selection activeCell="C1" sqref="A1:C1048576"/>
    </sheetView>
  </sheetViews>
  <sheetFormatPr defaultRowHeight="15.5" x14ac:dyDescent="0.35"/>
  <cols>
    <col min="1" max="1" width="30" bestFit="1" customWidth="1"/>
    <col min="4" max="4" width="30" bestFit="1" customWidth="1"/>
  </cols>
  <sheetData>
    <row r="1" spans="1:5" x14ac:dyDescent="0.35">
      <c r="A1" t="s">
        <v>111</v>
      </c>
      <c r="B1">
        <v>17</v>
      </c>
      <c r="D1" t="s">
        <v>111</v>
      </c>
      <c r="E1">
        <v>17</v>
      </c>
    </row>
    <row r="2" spans="1:5" x14ac:dyDescent="0.35">
      <c r="A2" t="s">
        <v>112</v>
      </c>
      <c r="B2">
        <v>7</v>
      </c>
      <c r="D2" t="s">
        <v>112</v>
      </c>
      <c r="E2">
        <v>7</v>
      </c>
    </row>
    <row r="3" spans="1:5" x14ac:dyDescent="0.35">
      <c r="A3" t="s">
        <v>113</v>
      </c>
      <c r="B3">
        <v>17</v>
      </c>
      <c r="D3" t="s">
        <v>113</v>
      </c>
      <c r="E3">
        <v>17</v>
      </c>
    </row>
    <row r="4" spans="1:5" x14ac:dyDescent="0.35">
      <c r="A4" t="s">
        <v>114</v>
      </c>
      <c r="B4">
        <v>13</v>
      </c>
      <c r="D4" t="s">
        <v>114</v>
      </c>
      <c r="E4">
        <v>13</v>
      </c>
    </row>
    <row r="5" spans="1:5" x14ac:dyDescent="0.35">
      <c r="A5" t="s">
        <v>115</v>
      </c>
      <c r="B5">
        <v>13</v>
      </c>
      <c r="D5" t="s">
        <v>115</v>
      </c>
      <c r="E5">
        <v>13</v>
      </c>
    </row>
    <row r="6" spans="1:5" x14ac:dyDescent="0.35">
      <c r="A6" t="s">
        <v>116</v>
      </c>
      <c r="B6">
        <v>10</v>
      </c>
      <c r="D6" t="s">
        <v>116</v>
      </c>
      <c r="E6">
        <v>10</v>
      </c>
    </row>
    <row r="7" spans="1:5" x14ac:dyDescent="0.35">
      <c r="A7" t="s">
        <v>118</v>
      </c>
      <c r="B7">
        <v>15</v>
      </c>
      <c r="D7" t="s">
        <v>118</v>
      </c>
      <c r="E7">
        <v>15</v>
      </c>
    </row>
    <row r="8" spans="1:5" x14ac:dyDescent="0.35">
      <c r="A8" t="s">
        <v>117</v>
      </c>
      <c r="B8">
        <v>20</v>
      </c>
      <c r="D8" t="s">
        <v>117</v>
      </c>
      <c r="E8">
        <v>20</v>
      </c>
    </row>
    <row r="9" spans="1:5" x14ac:dyDescent="0.35">
      <c r="A9" t="s">
        <v>119</v>
      </c>
      <c r="B9">
        <v>4</v>
      </c>
      <c r="D9" t="s">
        <v>119</v>
      </c>
      <c r="E9">
        <v>4</v>
      </c>
    </row>
    <row r="10" spans="1:5" x14ac:dyDescent="0.35">
      <c r="A10" t="s">
        <v>120</v>
      </c>
      <c r="B10">
        <v>12</v>
      </c>
      <c r="D10" t="s">
        <v>120</v>
      </c>
      <c r="E10">
        <v>12</v>
      </c>
    </row>
    <row r="11" spans="1:5" x14ac:dyDescent="0.35">
      <c r="A11" t="s">
        <v>121</v>
      </c>
      <c r="B11">
        <v>20</v>
      </c>
      <c r="D11" t="s">
        <v>121</v>
      </c>
      <c r="E11">
        <v>20</v>
      </c>
    </row>
    <row r="12" spans="1:5" x14ac:dyDescent="0.35">
      <c r="A12" t="s">
        <v>200</v>
      </c>
      <c r="B12">
        <v>56</v>
      </c>
      <c r="D12" t="s">
        <v>200</v>
      </c>
      <c r="E12">
        <v>56</v>
      </c>
    </row>
    <row r="13" spans="1:5" x14ac:dyDescent="0.35">
      <c r="A13" t="s">
        <v>123</v>
      </c>
      <c r="B13">
        <v>31</v>
      </c>
      <c r="D13" t="s">
        <v>122</v>
      </c>
      <c r="E13">
        <v>31</v>
      </c>
    </row>
    <row r="14" spans="1:5" x14ac:dyDescent="0.35">
      <c r="A14" t="s">
        <v>124</v>
      </c>
      <c r="B14">
        <v>39</v>
      </c>
      <c r="D14" t="s">
        <v>123</v>
      </c>
      <c r="E14">
        <v>39</v>
      </c>
    </row>
    <row r="15" spans="1:5" x14ac:dyDescent="0.35">
      <c r="A15" t="s">
        <v>122</v>
      </c>
      <c r="B15">
        <v>7</v>
      </c>
      <c r="D15" t="s">
        <v>124</v>
      </c>
      <c r="E15">
        <v>7</v>
      </c>
    </row>
    <row r="16" spans="1:5" x14ac:dyDescent="0.35">
      <c r="A16" t="s">
        <v>195</v>
      </c>
      <c r="B16">
        <v>11</v>
      </c>
      <c r="D16" t="s">
        <v>195</v>
      </c>
      <c r="E16">
        <v>11</v>
      </c>
    </row>
    <row r="17" spans="1:5" x14ac:dyDescent="0.35">
      <c r="A17" t="s">
        <v>125</v>
      </c>
      <c r="B17">
        <v>15</v>
      </c>
      <c r="D17" t="s">
        <v>125</v>
      </c>
      <c r="E17">
        <v>15</v>
      </c>
    </row>
    <row r="18" spans="1:5" x14ac:dyDescent="0.35">
      <c r="A18" t="s">
        <v>126</v>
      </c>
      <c r="B18">
        <v>45</v>
      </c>
      <c r="D18" t="s">
        <v>126</v>
      </c>
      <c r="E18">
        <v>45</v>
      </c>
    </row>
    <row r="19" spans="1:5" x14ac:dyDescent="0.35">
      <c r="A19" t="s">
        <v>127</v>
      </c>
      <c r="B19">
        <v>15</v>
      </c>
      <c r="D19" t="s">
        <v>127</v>
      </c>
      <c r="E19">
        <v>15</v>
      </c>
    </row>
    <row r="20" spans="1:5" x14ac:dyDescent="0.35">
      <c r="A20" t="s">
        <v>201</v>
      </c>
      <c r="B20">
        <v>33</v>
      </c>
      <c r="D20" t="s">
        <v>201</v>
      </c>
      <c r="E20">
        <v>33</v>
      </c>
    </row>
    <row r="21" spans="1:5" x14ac:dyDescent="0.35">
      <c r="A21" t="s">
        <v>202</v>
      </c>
      <c r="B21">
        <v>5</v>
      </c>
      <c r="D21" t="s">
        <v>202</v>
      </c>
      <c r="E21">
        <v>5</v>
      </c>
    </row>
    <row r="22" spans="1:5" x14ac:dyDescent="0.35">
      <c r="A22" t="s">
        <v>198</v>
      </c>
      <c r="B22">
        <v>0</v>
      </c>
      <c r="D22" t="s">
        <v>198</v>
      </c>
      <c r="E22">
        <v>0</v>
      </c>
    </row>
    <row r="23" spans="1:5" x14ac:dyDescent="0.35">
      <c r="A23" t="s">
        <v>128</v>
      </c>
      <c r="B23">
        <v>41</v>
      </c>
      <c r="D23" t="s">
        <v>128</v>
      </c>
      <c r="E23">
        <v>41</v>
      </c>
    </row>
    <row r="24" spans="1:5" x14ac:dyDescent="0.35">
      <c r="A24" t="s">
        <v>129</v>
      </c>
      <c r="B24">
        <v>0</v>
      </c>
      <c r="D24" t="s">
        <v>129</v>
      </c>
      <c r="E24">
        <v>0</v>
      </c>
    </row>
    <row r="25" spans="1:5" x14ac:dyDescent="0.35">
      <c r="A25" t="s">
        <v>130</v>
      </c>
      <c r="B25">
        <v>1</v>
      </c>
      <c r="D25" t="s">
        <v>130</v>
      </c>
      <c r="E25">
        <v>1</v>
      </c>
    </row>
    <row r="26" spans="1:5" x14ac:dyDescent="0.35">
      <c r="A26" t="s">
        <v>210</v>
      </c>
      <c r="B26">
        <v>9</v>
      </c>
      <c r="D26" t="s">
        <v>210</v>
      </c>
      <c r="E26">
        <v>9</v>
      </c>
    </row>
    <row r="27" spans="1:5" x14ac:dyDescent="0.35">
      <c r="A27" t="s">
        <v>203</v>
      </c>
      <c r="B27">
        <v>24</v>
      </c>
      <c r="D27" t="s">
        <v>203</v>
      </c>
      <c r="E27">
        <v>24</v>
      </c>
    </row>
    <row r="28" spans="1:5" x14ac:dyDescent="0.35">
      <c r="A28" t="s">
        <v>131</v>
      </c>
      <c r="B28">
        <v>16</v>
      </c>
      <c r="D28" t="s">
        <v>131</v>
      </c>
      <c r="E28">
        <v>16</v>
      </c>
    </row>
    <row r="29" spans="1:5" x14ac:dyDescent="0.35">
      <c r="A29" t="s">
        <v>135</v>
      </c>
      <c r="B29">
        <v>1</v>
      </c>
      <c r="D29" t="s">
        <v>135</v>
      </c>
      <c r="E29">
        <v>1</v>
      </c>
    </row>
    <row r="30" spans="1:5" x14ac:dyDescent="0.35">
      <c r="A30" t="s">
        <v>204</v>
      </c>
      <c r="B30">
        <v>6</v>
      </c>
      <c r="D30" t="s">
        <v>204</v>
      </c>
      <c r="E30">
        <v>6</v>
      </c>
    </row>
    <row r="31" spans="1:5" x14ac:dyDescent="0.35">
      <c r="A31" t="s">
        <v>196</v>
      </c>
      <c r="B31">
        <v>8</v>
      </c>
      <c r="D31" t="s">
        <v>196</v>
      </c>
      <c r="E31">
        <v>8</v>
      </c>
    </row>
    <row r="32" spans="1:5" x14ac:dyDescent="0.35">
      <c r="A32" t="s">
        <v>197</v>
      </c>
      <c r="B32">
        <v>18</v>
      </c>
      <c r="D32" t="s">
        <v>197</v>
      </c>
      <c r="E32">
        <v>18</v>
      </c>
    </row>
    <row r="33" spans="1:5" x14ac:dyDescent="0.35">
      <c r="A33" t="s">
        <v>136</v>
      </c>
      <c r="B33">
        <v>11</v>
      </c>
      <c r="D33" t="s">
        <v>136</v>
      </c>
      <c r="E33">
        <v>11</v>
      </c>
    </row>
    <row r="34" spans="1:5" x14ac:dyDescent="0.35">
      <c r="A34" t="s">
        <v>137</v>
      </c>
      <c r="B34">
        <v>26</v>
      </c>
      <c r="D34" t="s">
        <v>137</v>
      </c>
      <c r="E34">
        <v>26</v>
      </c>
    </row>
    <row r="35" spans="1:5" x14ac:dyDescent="0.35">
      <c r="A35" t="s">
        <v>138</v>
      </c>
      <c r="B35">
        <v>16</v>
      </c>
      <c r="D35" t="s">
        <v>138</v>
      </c>
      <c r="E35">
        <v>16</v>
      </c>
    </row>
    <row r="36" spans="1:5" x14ac:dyDescent="0.35">
      <c r="A36" t="s">
        <v>139</v>
      </c>
      <c r="B36">
        <v>39</v>
      </c>
      <c r="D36" t="s">
        <v>139</v>
      </c>
      <c r="E36">
        <v>39</v>
      </c>
    </row>
    <row r="37" spans="1:5" x14ac:dyDescent="0.35">
      <c r="A37" t="s">
        <v>140</v>
      </c>
      <c r="B37">
        <v>12</v>
      </c>
      <c r="D37" t="s">
        <v>140</v>
      </c>
      <c r="E37">
        <v>12</v>
      </c>
    </row>
    <row r="38" spans="1:5" x14ac:dyDescent="0.35">
      <c r="A38" t="s">
        <v>142</v>
      </c>
      <c r="B38">
        <v>8</v>
      </c>
      <c r="D38" t="s">
        <v>142</v>
      </c>
      <c r="E38">
        <v>8</v>
      </c>
    </row>
    <row r="39" spans="1:5" x14ac:dyDescent="0.35">
      <c r="A39" t="s">
        <v>143</v>
      </c>
      <c r="B39">
        <v>24</v>
      </c>
      <c r="D39" t="s">
        <v>143</v>
      </c>
      <c r="E39">
        <v>24</v>
      </c>
    </row>
    <row r="40" spans="1:5" x14ac:dyDescent="0.35">
      <c r="A40" t="s">
        <v>144</v>
      </c>
      <c r="B40">
        <v>64</v>
      </c>
      <c r="D40" t="s">
        <v>144</v>
      </c>
      <c r="E40">
        <v>64</v>
      </c>
    </row>
    <row r="41" spans="1:5" x14ac:dyDescent="0.35">
      <c r="A41" t="s">
        <v>145</v>
      </c>
      <c r="B41">
        <v>80</v>
      </c>
      <c r="D41" t="s">
        <v>145</v>
      </c>
      <c r="E41">
        <v>80</v>
      </c>
    </row>
    <row r="42" spans="1:5" x14ac:dyDescent="0.35">
      <c r="A42" t="s">
        <v>146</v>
      </c>
      <c r="B42">
        <v>45</v>
      </c>
      <c r="D42" t="s">
        <v>146</v>
      </c>
      <c r="E42">
        <v>45</v>
      </c>
    </row>
    <row r="43" spans="1:5" x14ac:dyDescent="0.35">
      <c r="A43" t="s">
        <v>147</v>
      </c>
      <c r="B43">
        <v>11</v>
      </c>
      <c r="D43" t="s">
        <v>147</v>
      </c>
      <c r="E43">
        <v>11</v>
      </c>
    </row>
    <row r="44" spans="1:5" x14ac:dyDescent="0.35">
      <c r="A44" t="s">
        <v>227</v>
      </c>
      <c r="B44">
        <v>19</v>
      </c>
      <c r="D44" t="s">
        <v>148</v>
      </c>
      <c r="E44">
        <v>19</v>
      </c>
    </row>
    <row r="45" spans="1:5" x14ac:dyDescent="0.35">
      <c r="A45" t="s">
        <v>149</v>
      </c>
      <c r="B45">
        <v>9</v>
      </c>
      <c r="D45" t="s">
        <v>149</v>
      </c>
      <c r="E45">
        <v>9</v>
      </c>
    </row>
    <row r="46" spans="1:5" x14ac:dyDescent="0.35">
      <c r="A46" t="s">
        <v>150</v>
      </c>
      <c r="B46">
        <v>24</v>
      </c>
      <c r="D46" t="s">
        <v>150</v>
      </c>
      <c r="E46">
        <v>24</v>
      </c>
    </row>
    <row r="47" spans="1:5" x14ac:dyDescent="0.35">
      <c r="A47" t="s">
        <v>151</v>
      </c>
      <c r="B47">
        <v>32</v>
      </c>
      <c r="D47" t="s">
        <v>151</v>
      </c>
      <c r="E47">
        <v>32</v>
      </c>
    </row>
    <row r="48" spans="1:5" x14ac:dyDescent="0.35">
      <c r="A48" t="s">
        <v>206</v>
      </c>
      <c r="B48">
        <v>50</v>
      </c>
      <c r="D48" t="s">
        <v>206</v>
      </c>
      <c r="E48">
        <v>50</v>
      </c>
    </row>
    <row r="49" spans="1:5" x14ac:dyDescent="0.35">
      <c r="A49" t="s">
        <v>207</v>
      </c>
      <c r="B49">
        <v>32</v>
      </c>
      <c r="D49" t="s">
        <v>207</v>
      </c>
      <c r="E49">
        <v>32</v>
      </c>
    </row>
    <row r="50" spans="1:5" x14ac:dyDescent="0.35">
      <c r="A50" t="s">
        <v>208</v>
      </c>
      <c r="B50">
        <v>18</v>
      </c>
      <c r="D50" t="s">
        <v>208</v>
      </c>
      <c r="E50">
        <v>18</v>
      </c>
    </row>
    <row r="51" spans="1:5" x14ac:dyDescent="0.35">
      <c r="A51" t="s">
        <v>209</v>
      </c>
      <c r="B51">
        <v>7</v>
      </c>
      <c r="D51" t="s">
        <v>209</v>
      </c>
      <c r="E51">
        <v>7</v>
      </c>
    </row>
    <row r="52" spans="1:5" x14ac:dyDescent="0.35">
      <c r="A52" t="s">
        <v>152</v>
      </c>
      <c r="B52">
        <v>24</v>
      </c>
      <c r="D52" t="s">
        <v>152</v>
      </c>
      <c r="E52">
        <v>24</v>
      </c>
    </row>
    <row r="53" spans="1:5" x14ac:dyDescent="0.35">
      <c r="A53" t="s">
        <v>153</v>
      </c>
      <c r="B53">
        <v>39</v>
      </c>
      <c r="D53" t="s">
        <v>153</v>
      </c>
      <c r="E53">
        <v>39</v>
      </c>
    </row>
    <row r="54" spans="1:5" x14ac:dyDescent="0.35">
      <c r="A54" t="s">
        <v>154</v>
      </c>
      <c r="B54">
        <v>18</v>
      </c>
      <c r="D54" t="s">
        <v>154</v>
      </c>
      <c r="E54">
        <v>18</v>
      </c>
    </row>
    <row r="55" spans="1:5" x14ac:dyDescent="0.35">
      <c r="A55" t="s">
        <v>155</v>
      </c>
      <c r="B55">
        <v>44</v>
      </c>
      <c r="D55" t="s">
        <v>155</v>
      </c>
      <c r="E55">
        <v>44</v>
      </c>
    </row>
    <row r="56" spans="1:5" x14ac:dyDescent="0.35">
      <c r="A56" t="s">
        <v>156</v>
      </c>
      <c r="B56">
        <v>13</v>
      </c>
      <c r="D56" t="s">
        <v>156</v>
      </c>
      <c r="E56">
        <v>13</v>
      </c>
    </row>
    <row r="57" spans="1:5" x14ac:dyDescent="0.35">
      <c r="A57" t="s">
        <v>157</v>
      </c>
      <c r="B57">
        <v>30</v>
      </c>
      <c r="D57" t="s">
        <v>157</v>
      </c>
      <c r="E57">
        <v>30</v>
      </c>
    </row>
    <row r="58" spans="1:5" x14ac:dyDescent="0.35">
      <c r="A58" t="s">
        <v>158</v>
      </c>
      <c r="B58">
        <v>6</v>
      </c>
      <c r="D58" t="s">
        <v>158</v>
      </c>
      <c r="E58">
        <v>6</v>
      </c>
    </row>
    <row r="59" spans="1:5" x14ac:dyDescent="0.35">
      <c r="A59" t="s">
        <v>159</v>
      </c>
      <c r="B59">
        <v>21</v>
      </c>
      <c r="D59" t="s">
        <v>159</v>
      </c>
      <c r="E59">
        <v>21</v>
      </c>
    </row>
    <row r="60" spans="1:5" x14ac:dyDescent="0.35">
      <c r="A60" t="s">
        <v>160</v>
      </c>
      <c r="B60">
        <v>19</v>
      </c>
      <c r="D60" t="s">
        <v>160</v>
      </c>
      <c r="E60">
        <v>19</v>
      </c>
    </row>
    <row r="61" spans="1:5" x14ac:dyDescent="0.35">
      <c r="A61" t="s">
        <v>161</v>
      </c>
      <c r="B61">
        <v>23</v>
      </c>
      <c r="D61" t="s">
        <v>161</v>
      </c>
      <c r="E61">
        <v>23</v>
      </c>
    </row>
    <row r="62" spans="1:5" x14ac:dyDescent="0.35">
      <c r="A62" t="s">
        <v>163</v>
      </c>
      <c r="B62">
        <v>56</v>
      </c>
      <c r="D62" t="s">
        <v>163</v>
      </c>
      <c r="E62">
        <v>56</v>
      </c>
    </row>
    <row r="63" spans="1:5" x14ac:dyDescent="0.35">
      <c r="A63" t="s">
        <v>164</v>
      </c>
      <c r="B63">
        <v>11</v>
      </c>
      <c r="D63" t="s">
        <v>164</v>
      </c>
      <c r="E63">
        <v>11</v>
      </c>
    </row>
    <row r="64" spans="1:5" x14ac:dyDescent="0.35">
      <c r="A64" t="s">
        <v>165</v>
      </c>
      <c r="B64">
        <v>14</v>
      </c>
      <c r="D64" t="s">
        <v>165</v>
      </c>
      <c r="E64">
        <v>14</v>
      </c>
    </row>
  </sheetData>
  <sortState xmlns:xlrd2="http://schemas.microsoft.com/office/spreadsheetml/2017/richdata2" ref="A1:B65">
    <sortCondition ref="A1:A6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22AD-ED6A-DD41-B9D0-CB1806468EFA}">
  <sheetPr codeName="Sheet10">
    <tabColor rgb="FF7030A0"/>
  </sheetPr>
  <dimension ref="A1:AJ92"/>
  <sheetViews>
    <sheetView workbookViewId="0">
      <selection activeCell="F4" sqref="F4"/>
    </sheetView>
  </sheetViews>
  <sheetFormatPr defaultColWidth="9.08203125" defaultRowHeight="15.5" x14ac:dyDescent="0.35"/>
  <cols>
    <col min="1" max="1" width="9.08203125" style="338" customWidth="1"/>
    <col min="2" max="2" width="28.08203125" style="342" bestFit="1" customWidth="1"/>
    <col min="3" max="3" width="12.33203125" style="342" bestFit="1" customWidth="1"/>
    <col min="4" max="4" width="21.33203125" style="342" customWidth="1"/>
    <col min="5" max="5" width="20" style="341" customWidth="1"/>
    <col min="6" max="7" width="15.83203125" style="342" customWidth="1"/>
    <col min="8" max="17" width="30.83203125" style="342" hidden="1" customWidth="1"/>
    <col min="18" max="18" width="13.33203125" style="342" customWidth="1"/>
    <col min="19" max="19" width="16.5" style="342" bestFit="1" customWidth="1"/>
    <col min="20" max="20" width="21.5" style="343" bestFit="1" customWidth="1"/>
    <col min="21" max="22" width="9.08203125" style="343"/>
    <col min="23" max="23" width="0" style="343" hidden="1" customWidth="1"/>
    <col min="24" max="24" width="17.33203125" style="343" hidden="1" customWidth="1"/>
    <col min="25" max="25" width="0" style="338" hidden="1" customWidth="1"/>
    <col min="26" max="26" width="13.33203125" style="338" hidden="1" customWidth="1"/>
    <col min="27" max="28" width="0" style="343" hidden="1" customWidth="1"/>
    <col min="29" max="29" width="27.33203125" style="344" hidden="1" customWidth="1"/>
    <col min="30" max="30" width="9.08203125" style="343"/>
    <col min="31" max="32" width="9.08203125" style="343" customWidth="1"/>
    <col min="33" max="35" width="9.08203125" style="385" customWidth="1"/>
    <col min="36" max="36" width="9.08203125" style="385"/>
  </cols>
  <sheetData>
    <row r="1" spans="1:36" x14ac:dyDescent="0.35">
      <c r="B1" s="339" t="s">
        <v>168</v>
      </c>
      <c r="D1" s="340"/>
      <c r="F1" s="340"/>
      <c r="G1" s="340"/>
    </row>
    <row r="2" spans="1:36" ht="15" customHeight="1" x14ac:dyDescent="0.35">
      <c r="B2" s="397">
        <f>MAX($A$5:$A$74)</f>
        <v>62</v>
      </c>
      <c r="D2" s="345"/>
      <c r="F2" s="345"/>
      <c r="G2" s="345"/>
    </row>
    <row r="3" spans="1:36" ht="15" customHeight="1" x14ac:dyDescent="0.35"/>
    <row r="4" spans="1:36" ht="30" customHeight="1" thickBot="1" x14ac:dyDescent="0.4">
      <c r="A4" s="346"/>
      <c r="B4" s="347" t="s">
        <v>228</v>
      </c>
      <c r="C4" s="347" t="s">
        <v>229</v>
      </c>
      <c r="D4" s="347" t="s">
        <v>172</v>
      </c>
      <c r="E4" s="348"/>
      <c r="F4" s="348"/>
      <c r="G4" s="348" t="s">
        <v>230</v>
      </c>
      <c r="H4" s="348" t="s">
        <v>231</v>
      </c>
      <c r="I4" s="348" t="s">
        <v>232</v>
      </c>
      <c r="J4" s="348" t="s">
        <v>233</v>
      </c>
      <c r="K4" s="348" t="s">
        <v>234</v>
      </c>
      <c r="L4" s="348" t="s">
        <v>235</v>
      </c>
      <c r="M4" s="348"/>
      <c r="N4" s="348" t="s">
        <v>236</v>
      </c>
      <c r="O4" s="348" t="s">
        <v>237</v>
      </c>
      <c r="P4" s="348" t="s">
        <v>238</v>
      </c>
      <c r="Q4" s="348" t="s">
        <v>239</v>
      </c>
      <c r="R4" s="349"/>
      <c r="S4" s="350" t="s">
        <v>240</v>
      </c>
      <c r="T4" s="350" t="s">
        <v>241</v>
      </c>
      <c r="U4" s="350" t="s">
        <v>242</v>
      </c>
      <c r="V4" s="350" t="s">
        <v>243</v>
      </c>
      <c r="W4" s="351"/>
      <c r="X4" s="350" t="s">
        <v>244</v>
      </c>
      <c r="Y4" s="348" t="s">
        <v>245</v>
      </c>
      <c r="Z4" s="348" t="s">
        <v>246</v>
      </c>
      <c r="AA4" s="352"/>
      <c r="AB4" s="353" t="s">
        <v>247</v>
      </c>
      <c r="AC4" s="351" t="s">
        <v>191</v>
      </c>
      <c r="AD4" s="352"/>
      <c r="AE4" s="390" t="s">
        <v>248</v>
      </c>
      <c r="AF4" s="390" t="s">
        <v>249</v>
      </c>
      <c r="AG4" s="391"/>
      <c r="AH4" s="392"/>
    </row>
    <row r="5" spans="1:36" s="364" customFormat="1" ht="15" customHeight="1" x14ac:dyDescent="0.35">
      <c r="A5" s="354">
        <v>1</v>
      </c>
      <c r="B5" s="355" t="s">
        <v>111</v>
      </c>
      <c r="C5" s="355" t="s">
        <v>250</v>
      </c>
      <c r="D5" s="355" t="s">
        <v>16</v>
      </c>
      <c r="E5" s="355" t="s">
        <v>251</v>
      </c>
      <c r="F5" s="356"/>
      <c r="G5" s="476">
        <f>A5</f>
        <v>1</v>
      </c>
      <c r="H5" s="358" t="s">
        <v>111</v>
      </c>
      <c r="I5" s="358" t="s">
        <v>111</v>
      </c>
      <c r="J5" s="358" t="s">
        <v>252</v>
      </c>
      <c r="K5" s="358" t="s">
        <v>111</v>
      </c>
      <c r="L5" s="358" t="s">
        <v>111</v>
      </c>
      <c r="M5" s="358"/>
      <c r="N5" s="358" t="s">
        <v>253</v>
      </c>
      <c r="O5" s="358" t="s">
        <v>254</v>
      </c>
      <c r="P5" s="356" t="s">
        <v>111</v>
      </c>
      <c r="Q5" s="356" t="s">
        <v>111</v>
      </c>
      <c r="R5" s="342"/>
      <c r="S5" s="359" t="s">
        <v>255</v>
      </c>
      <c r="T5" s="360" t="s">
        <v>251</v>
      </c>
      <c r="U5" s="360">
        <v>0</v>
      </c>
      <c r="V5" s="474">
        <f>B2</f>
        <v>62</v>
      </c>
      <c r="W5" s="344"/>
      <c r="X5" s="361">
        <v>44927</v>
      </c>
      <c r="Y5" s="362">
        <v>23</v>
      </c>
      <c r="Z5" s="362" t="s">
        <v>256</v>
      </c>
      <c r="AA5" s="343"/>
      <c r="AB5" s="341">
        <v>1</v>
      </c>
      <c r="AC5" s="363" t="str">
        <f>IF(AB5="","",IFERROR(VLOOKUP(AB5,$A$5:$B$74,2,FALSE),""))</f>
        <v>Acura North Scottsdale</v>
      </c>
      <c r="AD5" s="343"/>
      <c r="AE5" s="391">
        <v>1</v>
      </c>
      <c r="AF5" s="391" t="s">
        <v>257</v>
      </c>
      <c r="AG5" s="391"/>
      <c r="AH5" s="392"/>
      <c r="AI5" s="385"/>
      <c r="AJ5" s="343"/>
    </row>
    <row r="6" spans="1:36" ht="15" customHeight="1" x14ac:dyDescent="0.35">
      <c r="A6" s="354">
        <f>IF(E6="","",IF(E6="-","-",MAX($A$4:$A5)+1))</f>
        <v>2</v>
      </c>
      <c r="B6" s="365" t="s">
        <v>112</v>
      </c>
      <c r="C6" s="365" t="s">
        <v>250</v>
      </c>
      <c r="D6" s="365" t="s">
        <v>108</v>
      </c>
      <c r="E6" s="355" t="s">
        <v>251</v>
      </c>
      <c r="F6" s="357"/>
      <c r="G6" s="476">
        <f t="shared" ref="G6:G68" si="0">A6</f>
        <v>2</v>
      </c>
      <c r="H6" s="366" t="s">
        <v>112</v>
      </c>
      <c r="I6" s="366" t="s">
        <v>112</v>
      </c>
      <c r="J6" s="366" t="s">
        <v>112</v>
      </c>
      <c r="K6" s="366" t="s">
        <v>112</v>
      </c>
      <c r="L6" s="366" t="s">
        <v>112</v>
      </c>
      <c r="M6" s="366"/>
      <c r="N6" s="366" t="s">
        <v>253</v>
      </c>
      <c r="O6" s="366" t="s">
        <v>254</v>
      </c>
      <c r="P6" s="357" t="s">
        <v>112</v>
      </c>
      <c r="Q6" s="357" t="s">
        <v>112</v>
      </c>
      <c r="S6" s="359" t="s">
        <v>258</v>
      </c>
      <c r="T6" s="360" t="s">
        <v>259</v>
      </c>
      <c r="U6" s="367">
        <v>0</v>
      </c>
      <c r="V6" s="475">
        <f>B2</f>
        <v>62</v>
      </c>
      <c r="W6" s="344"/>
      <c r="X6" s="368">
        <v>44958</v>
      </c>
      <c r="Y6" s="369">
        <v>20</v>
      </c>
      <c r="Z6" s="369" t="s">
        <v>260</v>
      </c>
      <c r="AB6" s="341">
        <f>IF(MAX($AB$4:$AB5)=MAX($A$5:$A$74),"",MAX($AB$4:$AB5)+1)</f>
        <v>2</v>
      </c>
      <c r="AC6" s="363" t="str">
        <f t="shared" ref="AC6:AC69" si="1">IF(AB6="","",IFERROR(VLOOKUP(AB6,$A$5:$B$74,2,FALSE),""))</f>
        <v>Acura of Escondido</v>
      </c>
      <c r="AE6" s="391">
        <v>2</v>
      </c>
      <c r="AF6" s="391" t="s">
        <v>257</v>
      </c>
      <c r="AG6" s="391"/>
      <c r="AH6" s="392"/>
    </row>
    <row r="7" spans="1:36" ht="15" customHeight="1" x14ac:dyDescent="0.35">
      <c r="A7" s="354">
        <f>IF(E7="","",IF(E7="-","-",MAX($A$4:$A6)+1))</f>
        <v>3</v>
      </c>
      <c r="B7" s="365" t="s">
        <v>113</v>
      </c>
      <c r="C7" s="365" t="s">
        <v>261</v>
      </c>
      <c r="D7" s="365" t="s">
        <v>16</v>
      </c>
      <c r="E7" s="355" t="s">
        <v>251</v>
      </c>
      <c r="F7" s="357"/>
      <c r="G7" s="476">
        <f t="shared" si="0"/>
        <v>3</v>
      </c>
      <c r="H7" s="366" t="s">
        <v>113</v>
      </c>
      <c r="I7" s="366" t="s">
        <v>113</v>
      </c>
      <c r="J7" s="366" t="s">
        <v>113</v>
      </c>
      <c r="K7" s="366" t="s">
        <v>113</v>
      </c>
      <c r="L7" s="366" t="s">
        <v>113</v>
      </c>
      <c r="M7" s="366"/>
      <c r="N7" s="366" t="s">
        <v>253</v>
      </c>
      <c r="O7" s="366" t="s">
        <v>254</v>
      </c>
      <c r="P7" s="357" t="s">
        <v>113</v>
      </c>
      <c r="Q7" s="357" t="s">
        <v>113</v>
      </c>
      <c r="S7" s="370" t="s">
        <v>262</v>
      </c>
      <c r="T7" s="371" t="s">
        <v>16</v>
      </c>
      <c r="U7" s="367">
        <v>1</v>
      </c>
      <c r="V7" s="367">
        <f>COUNTIF($D$5:$D$74,T7)</f>
        <v>18</v>
      </c>
      <c r="W7" s="344"/>
      <c r="X7" s="368">
        <v>44986</v>
      </c>
      <c r="Y7" s="369">
        <v>23</v>
      </c>
      <c r="Z7" s="369" t="s">
        <v>263</v>
      </c>
      <c r="AB7" s="341">
        <f>IF(MAX($AB$4:$AB6)=MAX($A$5:$A$74),"",MAX($AB$4:$AB6)+1)</f>
        <v>3</v>
      </c>
      <c r="AC7" s="363" t="str">
        <f t="shared" si="1"/>
        <v>Audi Chandler</v>
      </c>
      <c r="AE7" s="391">
        <v>3</v>
      </c>
      <c r="AF7" s="391" t="s">
        <v>257</v>
      </c>
      <c r="AG7" s="391"/>
      <c r="AH7" s="392"/>
    </row>
    <row r="8" spans="1:36" ht="15" customHeight="1" x14ac:dyDescent="0.35">
      <c r="A8" s="354">
        <f>IF(E8="","",IF(E8="-","-",MAX($A$4:$A7)+1))</f>
        <v>4</v>
      </c>
      <c r="B8" s="365" t="s">
        <v>114</v>
      </c>
      <c r="C8" s="365" t="s">
        <v>261</v>
      </c>
      <c r="D8" s="365" t="s">
        <v>108</v>
      </c>
      <c r="E8" s="355" t="s">
        <v>251</v>
      </c>
      <c r="F8" s="357"/>
      <c r="G8" s="476">
        <f t="shared" si="0"/>
        <v>4</v>
      </c>
      <c r="H8" s="366" t="s">
        <v>114</v>
      </c>
      <c r="I8" s="366" t="s">
        <v>114</v>
      </c>
      <c r="J8" s="366" t="s">
        <v>114</v>
      </c>
      <c r="K8" s="366" t="s">
        <v>114</v>
      </c>
      <c r="L8" s="366" t="s">
        <v>114</v>
      </c>
      <c r="M8" s="366"/>
      <c r="N8" s="366" t="s">
        <v>264</v>
      </c>
      <c r="O8" s="366" t="s">
        <v>254</v>
      </c>
      <c r="P8" s="357" t="s">
        <v>114</v>
      </c>
      <c r="Q8" s="357" t="s">
        <v>114</v>
      </c>
      <c r="S8" s="370" t="s">
        <v>265</v>
      </c>
      <c r="T8" s="371" t="s">
        <v>104</v>
      </c>
      <c r="U8" s="367">
        <v>1</v>
      </c>
      <c r="V8" s="367">
        <f t="shared" ref="V8:V14" si="2">COUNTIF($D$5:$D$74,T8)</f>
        <v>2</v>
      </c>
      <c r="W8" s="344"/>
      <c r="X8" s="368">
        <v>45017</v>
      </c>
      <c r="Y8" s="369">
        <v>22</v>
      </c>
      <c r="Z8" s="369" t="s">
        <v>266</v>
      </c>
      <c r="AB8" s="341">
        <f>IF(MAX($AB$4:$AB7)=MAX($A$5:$A$74),"",MAX($AB$4:$AB7)+1)</f>
        <v>4</v>
      </c>
      <c r="AC8" s="363" t="str">
        <f t="shared" si="1"/>
        <v>Audi Escondido</v>
      </c>
      <c r="AE8" s="391">
        <v>4</v>
      </c>
      <c r="AF8" s="391" t="s">
        <v>267</v>
      </c>
      <c r="AG8" s="391"/>
      <c r="AH8" s="392"/>
    </row>
    <row r="9" spans="1:36" ht="15" customHeight="1" x14ac:dyDescent="0.35">
      <c r="A9" s="354">
        <f>IF(E9="","",IF(E9="-","-",MAX($A$4:$A8)+1))</f>
        <v>5</v>
      </c>
      <c r="B9" s="365" t="s">
        <v>115</v>
      </c>
      <c r="C9" s="365" t="s">
        <v>261</v>
      </c>
      <c r="D9" s="372" t="s">
        <v>107</v>
      </c>
      <c r="E9" s="355" t="s">
        <v>251</v>
      </c>
      <c r="F9" s="357"/>
      <c r="G9" s="476">
        <f t="shared" si="0"/>
        <v>5</v>
      </c>
      <c r="H9" s="373" t="s">
        <v>268</v>
      </c>
      <c r="I9" s="373" t="s">
        <v>115</v>
      </c>
      <c r="J9" s="366" t="s">
        <v>115</v>
      </c>
      <c r="K9" s="366" t="s">
        <v>268</v>
      </c>
      <c r="L9" s="366" t="s">
        <v>115</v>
      </c>
      <c r="M9" s="366"/>
      <c r="N9" s="366" t="s">
        <v>253</v>
      </c>
      <c r="O9" s="366" t="s">
        <v>269</v>
      </c>
      <c r="P9" s="357" t="s">
        <v>115</v>
      </c>
      <c r="Q9" s="357" t="s">
        <v>115</v>
      </c>
      <c r="S9" s="370" t="s">
        <v>270</v>
      </c>
      <c r="T9" s="371" t="s">
        <v>105</v>
      </c>
      <c r="U9" s="367">
        <v>1</v>
      </c>
      <c r="V9" s="367">
        <f t="shared" si="2"/>
        <v>4</v>
      </c>
      <c r="W9" s="344"/>
      <c r="X9" s="368">
        <v>45047</v>
      </c>
      <c r="Y9" s="369">
        <v>23</v>
      </c>
      <c r="Z9" s="369" t="s">
        <v>271</v>
      </c>
      <c r="AB9" s="341">
        <f>IF(MAX($AB$4:$AB8)=MAX($A$5:$A$74),"",MAX($AB$4:$AB8)+1)</f>
        <v>5</v>
      </c>
      <c r="AC9" s="363" t="str">
        <f t="shared" si="1"/>
        <v>Audi North OC</v>
      </c>
      <c r="AE9" s="391">
        <v>5</v>
      </c>
      <c r="AF9" s="391" t="s">
        <v>267</v>
      </c>
      <c r="AG9" s="391"/>
      <c r="AH9" s="392"/>
    </row>
    <row r="10" spans="1:36" s="376" customFormat="1" ht="15" customHeight="1" x14ac:dyDescent="0.35">
      <c r="A10" s="354">
        <f>IF(E10="","",IF(E10="-","-",MAX($A$4:$A9)+1))</f>
        <v>6</v>
      </c>
      <c r="B10" s="365" t="s">
        <v>116</v>
      </c>
      <c r="C10" s="365" t="s">
        <v>261</v>
      </c>
      <c r="D10" s="365" t="s">
        <v>16</v>
      </c>
      <c r="E10" s="355" t="s">
        <v>251</v>
      </c>
      <c r="F10" s="357"/>
      <c r="G10" s="476">
        <f t="shared" si="0"/>
        <v>6</v>
      </c>
      <c r="H10" s="366" t="s">
        <v>116</v>
      </c>
      <c r="I10" s="366" t="s">
        <v>116</v>
      </c>
      <c r="J10" s="366" t="s">
        <v>116</v>
      </c>
      <c r="K10" s="366" t="s">
        <v>116</v>
      </c>
      <c r="L10" s="366" t="s">
        <v>116</v>
      </c>
      <c r="M10" s="366"/>
      <c r="N10" s="366" t="s">
        <v>253</v>
      </c>
      <c r="O10" s="366" t="s">
        <v>254</v>
      </c>
      <c r="P10" s="357" t="s">
        <v>116</v>
      </c>
      <c r="Q10" s="357" t="s">
        <v>116</v>
      </c>
      <c r="R10" s="342"/>
      <c r="S10" s="370" t="s">
        <v>272</v>
      </c>
      <c r="T10" s="371" t="s">
        <v>106</v>
      </c>
      <c r="U10" s="367">
        <v>2</v>
      </c>
      <c r="V10" s="367">
        <f t="shared" si="2"/>
        <v>8</v>
      </c>
      <c r="W10" s="374"/>
      <c r="X10" s="368">
        <v>45078</v>
      </c>
      <c r="Y10" s="369">
        <v>22</v>
      </c>
      <c r="Z10" s="369" t="s">
        <v>273</v>
      </c>
      <c r="AA10" s="375"/>
      <c r="AB10" s="341">
        <f>IF(MAX($AB$4:$AB9)=MAX($A$5:$A$74),"",MAX($AB$4:$AB9)+1)</f>
        <v>6</v>
      </c>
      <c r="AC10" s="363" t="str">
        <f t="shared" si="1"/>
        <v>Audi North Scottsdale</v>
      </c>
      <c r="AD10" s="375"/>
      <c r="AE10" s="391">
        <v>6</v>
      </c>
      <c r="AF10" s="391" t="s">
        <v>267</v>
      </c>
      <c r="AG10" s="391"/>
      <c r="AH10" s="392"/>
      <c r="AI10" s="385"/>
      <c r="AJ10" s="375"/>
    </row>
    <row r="11" spans="1:36" ht="15" customHeight="1" x14ac:dyDescent="0.35">
      <c r="A11" s="354">
        <f>IF(E11="","",IF(E11="-","-",MAX($A$4:$A10)+1))</f>
        <v>7</v>
      </c>
      <c r="B11" s="365" t="s">
        <v>118</v>
      </c>
      <c r="C11" s="365" t="s">
        <v>261</v>
      </c>
      <c r="D11" s="365" t="s">
        <v>106</v>
      </c>
      <c r="E11" s="355" t="s">
        <v>251</v>
      </c>
      <c r="F11" s="357"/>
      <c r="G11" s="476">
        <f t="shared" si="0"/>
        <v>7</v>
      </c>
      <c r="H11" s="366" t="s">
        <v>118</v>
      </c>
      <c r="I11" s="366" t="s">
        <v>118</v>
      </c>
      <c r="J11" s="366" t="s">
        <v>274</v>
      </c>
      <c r="K11" s="366" t="s">
        <v>118</v>
      </c>
      <c r="L11" s="366" t="s">
        <v>118</v>
      </c>
      <c r="M11" s="366"/>
      <c r="N11" s="366" t="s">
        <v>253</v>
      </c>
      <c r="O11" s="366" t="s">
        <v>254</v>
      </c>
      <c r="P11" s="357" t="s">
        <v>118</v>
      </c>
      <c r="Q11" s="357" t="s">
        <v>118</v>
      </c>
      <c r="S11" s="370" t="s">
        <v>275</v>
      </c>
      <c r="T11" s="371" t="s">
        <v>107</v>
      </c>
      <c r="U11" s="367">
        <v>2</v>
      </c>
      <c r="V11" s="367">
        <f t="shared" si="2"/>
        <v>9</v>
      </c>
      <c r="W11" s="344"/>
      <c r="X11" s="368">
        <v>45108</v>
      </c>
      <c r="Y11" s="369">
        <v>23</v>
      </c>
      <c r="Z11" s="369" t="s">
        <v>276</v>
      </c>
      <c r="AB11" s="341">
        <f>IF(MAX($AB$4:$AB10)=MAX($A$5:$A$74),"",MAX($AB$4:$AB10)+1)</f>
        <v>7</v>
      </c>
      <c r="AC11" s="363" t="str">
        <f t="shared" si="1"/>
        <v>Audi San Jose</v>
      </c>
      <c r="AE11" s="391">
        <v>7</v>
      </c>
      <c r="AF11" s="391" t="s">
        <v>277</v>
      </c>
      <c r="AG11" s="391"/>
      <c r="AH11" s="392"/>
    </row>
    <row r="12" spans="1:36" s="364" customFormat="1" ht="15" customHeight="1" x14ac:dyDescent="0.35">
      <c r="A12" s="354">
        <f>IF(E12="","",IF(E12="-","-",MAX($A$4:$A11)+1))</f>
        <v>8</v>
      </c>
      <c r="B12" s="372" t="s">
        <v>117</v>
      </c>
      <c r="C12" s="365" t="s">
        <v>261</v>
      </c>
      <c r="D12" s="372" t="s">
        <v>107</v>
      </c>
      <c r="E12" s="355" t="s">
        <v>251</v>
      </c>
      <c r="F12" s="357"/>
      <c r="G12" s="476">
        <f t="shared" si="0"/>
        <v>8</v>
      </c>
      <c r="H12" s="373" t="s">
        <v>117</v>
      </c>
      <c r="I12" s="373" t="s">
        <v>117</v>
      </c>
      <c r="J12" s="366" t="s">
        <v>117</v>
      </c>
      <c r="K12" s="366" t="s">
        <v>117</v>
      </c>
      <c r="L12" s="366" t="s">
        <v>117</v>
      </c>
      <c r="M12" s="366"/>
      <c r="N12" s="366" t="s">
        <v>253</v>
      </c>
      <c r="O12" s="366" t="s">
        <v>254</v>
      </c>
      <c r="P12" s="357" t="s">
        <v>117</v>
      </c>
      <c r="Q12" s="357" t="s">
        <v>117</v>
      </c>
      <c r="R12" s="342"/>
      <c r="S12" s="370" t="s">
        <v>278</v>
      </c>
      <c r="T12" s="371" t="s">
        <v>108</v>
      </c>
      <c r="U12" s="367">
        <v>2</v>
      </c>
      <c r="V12" s="367">
        <f t="shared" si="2"/>
        <v>10</v>
      </c>
      <c r="W12" s="344"/>
      <c r="X12" s="368">
        <v>45139</v>
      </c>
      <c r="Y12" s="369">
        <v>23</v>
      </c>
      <c r="Z12" s="369" t="s">
        <v>279</v>
      </c>
      <c r="AA12" s="343"/>
      <c r="AB12" s="341">
        <f>IF(MAX($AB$4:$AB11)=MAX($A$5:$A$74),"",MAX($AB$4:$AB11)+1)</f>
        <v>8</v>
      </c>
      <c r="AC12" s="363" t="str">
        <f t="shared" si="1"/>
        <v>Audi South Coast</v>
      </c>
      <c r="AD12" s="343"/>
      <c r="AE12" s="391">
        <v>8</v>
      </c>
      <c r="AF12" s="391" t="s">
        <v>277</v>
      </c>
      <c r="AG12" s="391"/>
      <c r="AH12" s="392"/>
      <c r="AI12" s="385"/>
      <c r="AJ12" s="343"/>
    </row>
    <row r="13" spans="1:36" ht="15" customHeight="1" x14ac:dyDescent="0.35">
      <c r="A13" s="354">
        <f>IF(E13="","",IF(E13="-","-",MAX($A$4:$A12)+1))</f>
        <v>9</v>
      </c>
      <c r="B13" s="365" t="s">
        <v>119</v>
      </c>
      <c r="C13" s="370" t="s">
        <v>280</v>
      </c>
      <c r="D13" s="365" t="s">
        <v>16</v>
      </c>
      <c r="E13" s="355" t="s">
        <v>251</v>
      </c>
      <c r="F13" s="357"/>
      <c r="G13" s="476">
        <f t="shared" si="0"/>
        <v>9</v>
      </c>
      <c r="H13" s="366" t="s">
        <v>119</v>
      </c>
      <c r="I13" s="366" t="s">
        <v>119</v>
      </c>
      <c r="J13" s="366" t="s">
        <v>119</v>
      </c>
      <c r="K13" s="366" t="s">
        <v>119</v>
      </c>
      <c r="L13" s="366" t="s">
        <v>119</v>
      </c>
      <c r="M13" s="366"/>
      <c r="N13" s="366" t="s">
        <v>253</v>
      </c>
      <c r="O13" s="366" t="s">
        <v>254</v>
      </c>
      <c r="P13" s="357" t="s">
        <v>119</v>
      </c>
      <c r="Q13" s="357" t="s">
        <v>119</v>
      </c>
      <c r="S13" s="370" t="s">
        <v>281</v>
      </c>
      <c r="T13" s="371" t="s">
        <v>109</v>
      </c>
      <c r="U13" s="367">
        <v>2</v>
      </c>
      <c r="V13" s="367">
        <f t="shared" si="2"/>
        <v>10</v>
      </c>
      <c r="W13" s="344"/>
      <c r="X13" s="368">
        <v>45170</v>
      </c>
      <c r="Y13" s="369">
        <v>22</v>
      </c>
      <c r="Z13" s="369" t="s">
        <v>282</v>
      </c>
      <c r="AB13" s="341">
        <f>IF(MAX($AB$4:$AB12)=MAX($A$5:$A$74),"",MAX($AB$4:$AB12)+1)</f>
        <v>9</v>
      </c>
      <c r="AC13" s="363" t="str">
        <f t="shared" si="1"/>
        <v>Bentley Scottsdale</v>
      </c>
      <c r="AE13" s="391">
        <v>9</v>
      </c>
      <c r="AF13" s="391" t="s">
        <v>277</v>
      </c>
      <c r="AG13" s="391"/>
      <c r="AH13" s="392"/>
    </row>
    <row r="14" spans="1:36" ht="15" customHeight="1" x14ac:dyDescent="0.35">
      <c r="A14" s="354">
        <f>IF(E14="","",IF(E14="-","-",MAX($A$4:$A13)+1))</f>
        <v>10</v>
      </c>
      <c r="B14" s="365" t="s">
        <v>199</v>
      </c>
      <c r="C14" s="365" t="s">
        <v>283</v>
      </c>
      <c r="D14" s="365" t="s">
        <v>105</v>
      </c>
      <c r="E14" s="355" t="s">
        <v>259</v>
      </c>
      <c r="F14" s="357"/>
      <c r="G14" s="476">
        <f t="shared" si="0"/>
        <v>10</v>
      </c>
      <c r="H14" s="366" t="s">
        <v>199</v>
      </c>
      <c r="I14" s="366" t="s">
        <v>199</v>
      </c>
      <c r="J14" s="366" t="s">
        <v>199</v>
      </c>
      <c r="K14" s="366" t="s">
        <v>284</v>
      </c>
      <c r="L14" s="366" t="s">
        <v>199</v>
      </c>
      <c r="M14" s="366"/>
      <c r="N14" s="366" t="s">
        <v>284</v>
      </c>
      <c r="O14" s="366" t="s">
        <v>284</v>
      </c>
      <c r="P14" s="357" t="s">
        <v>199</v>
      </c>
      <c r="Q14" s="357" t="s">
        <v>199</v>
      </c>
      <c r="S14" s="370" t="s">
        <v>285</v>
      </c>
      <c r="T14" s="371" t="s">
        <v>110</v>
      </c>
      <c r="U14" s="367">
        <v>2</v>
      </c>
      <c r="V14" s="367">
        <f t="shared" si="2"/>
        <v>1</v>
      </c>
      <c r="W14" s="344"/>
      <c r="X14" s="368">
        <v>45200</v>
      </c>
      <c r="Y14" s="369">
        <v>23</v>
      </c>
      <c r="Z14" s="369" t="s">
        <v>286</v>
      </c>
      <c r="AB14" s="341">
        <f>IF(MAX($AB$4:$AB13)=MAX($A$5:$A$74),"",MAX($AB$4:$AB13)+1)</f>
        <v>10</v>
      </c>
      <c r="AC14" s="363" t="str">
        <f t="shared" si="1"/>
        <v>Bill Brown Ford</v>
      </c>
      <c r="AE14" s="391">
        <v>10</v>
      </c>
      <c r="AF14" s="391" t="s">
        <v>287</v>
      </c>
      <c r="AG14" s="391"/>
      <c r="AH14" s="392"/>
    </row>
    <row r="15" spans="1:36" ht="15" customHeight="1" x14ac:dyDescent="0.35">
      <c r="A15" s="354">
        <f>IF(E15="","",IF(E15="-","-",MAX($A$4:$A14)+1))</f>
        <v>11</v>
      </c>
      <c r="B15" s="365" t="s">
        <v>120</v>
      </c>
      <c r="C15" s="365" t="s">
        <v>288</v>
      </c>
      <c r="D15" s="365" t="s">
        <v>16</v>
      </c>
      <c r="E15" s="355" t="s">
        <v>251</v>
      </c>
      <c r="F15" s="357"/>
      <c r="G15" s="476">
        <f t="shared" si="0"/>
        <v>11</v>
      </c>
      <c r="H15" s="366" t="s">
        <v>120</v>
      </c>
      <c r="I15" s="366" t="s">
        <v>120</v>
      </c>
      <c r="J15" s="366" t="s">
        <v>120</v>
      </c>
      <c r="K15" s="366" t="s">
        <v>120</v>
      </c>
      <c r="L15" s="366" t="s">
        <v>120</v>
      </c>
      <c r="M15" s="366"/>
      <c r="N15" s="366" t="s">
        <v>253</v>
      </c>
      <c r="O15" s="366" t="s">
        <v>254</v>
      </c>
      <c r="P15" s="357" t="s">
        <v>120</v>
      </c>
      <c r="Q15" s="357" t="s">
        <v>120</v>
      </c>
      <c r="S15" s="370" t="s">
        <v>250</v>
      </c>
      <c r="T15" s="371" t="s">
        <v>250</v>
      </c>
      <c r="U15" s="367">
        <v>2</v>
      </c>
      <c r="V15" s="367">
        <f>COUNTIF($C$5:$C$74,T15)</f>
        <v>3</v>
      </c>
      <c r="W15" s="344"/>
      <c r="X15" s="368">
        <v>45231</v>
      </c>
      <c r="Y15" s="369">
        <v>22</v>
      </c>
      <c r="Z15" s="369" t="s">
        <v>289</v>
      </c>
      <c r="AB15" s="341">
        <f>IF(MAX($AB$4:$AB14)=MAX($A$5:$A$74),"",MAX($AB$4:$AB14)+1)</f>
        <v>11</v>
      </c>
      <c r="AC15" s="363" t="str">
        <f t="shared" si="1"/>
        <v>BMW North Scottsdale</v>
      </c>
      <c r="AE15" s="391">
        <v>11</v>
      </c>
      <c r="AF15" s="391" t="s">
        <v>287</v>
      </c>
      <c r="AG15" s="391"/>
      <c r="AH15" s="392"/>
    </row>
    <row r="16" spans="1:36" ht="15" customHeight="1" x14ac:dyDescent="0.35">
      <c r="A16" s="354">
        <f>IF(E16="","",IF(E16="-","-",MAX($A$4:$A15)+1))</f>
        <v>12</v>
      </c>
      <c r="B16" s="365" t="s">
        <v>121</v>
      </c>
      <c r="C16" s="365" t="s">
        <v>288</v>
      </c>
      <c r="D16" s="365" t="s">
        <v>109</v>
      </c>
      <c r="E16" s="355" t="s">
        <v>251</v>
      </c>
      <c r="F16" s="357"/>
      <c r="G16" s="476">
        <f t="shared" si="0"/>
        <v>12</v>
      </c>
      <c r="H16" s="366" t="s">
        <v>121</v>
      </c>
      <c r="I16" s="366" t="s">
        <v>121</v>
      </c>
      <c r="J16" s="366" t="s">
        <v>121</v>
      </c>
      <c r="K16" s="366" t="s">
        <v>121</v>
      </c>
      <c r="L16" s="366" t="s">
        <v>121</v>
      </c>
      <c r="M16" s="366"/>
      <c r="N16" s="366" t="s">
        <v>253</v>
      </c>
      <c r="O16" s="366" t="s">
        <v>254</v>
      </c>
      <c r="P16" s="357" t="s">
        <v>121</v>
      </c>
      <c r="Q16" s="357" t="s">
        <v>121</v>
      </c>
      <c r="S16" s="370" t="s">
        <v>261</v>
      </c>
      <c r="T16" s="371" t="s">
        <v>261</v>
      </c>
      <c r="U16" s="367">
        <v>2</v>
      </c>
      <c r="V16" s="367">
        <f t="shared" ref="V16:V33" si="3">COUNTIF($C$5:$C$74,T16)</f>
        <v>6</v>
      </c>
      <c r="W16" s="344"/>
      <c r="X16" s="368">
        <v>45261</v>
      </c>
      <c r="Y16" s="369">
        <v>23</v>
      </c>
      <c r="Z16" s="369" t="s">
        <v>290</v>
      </c>
      <c r="AB16" s="341">
        <f>IF(MAX($AB$4:$AB15)=MAX($A$5:$A$74),"",MAX($AB$4:$AB15)+1)</f>
        <v>12</v>
      </c>
      <c r="AC16" s="363" t="str">
        <f t="shared" si="1"/>
        <v>BMW of Austin</v>
      </c>
      <c r="AE16" s="391">
        <v>12</v>
      </c>
      <c r="AF16" s="391" t="s">
        <v>287</v>
      </c>
      <c r="AG16" s="391"/>
      <c r="AH16" s="392"/>
    </row>
    <row r="17" spans="1:35" ht="15" customHeight="1" x14ac:dyDescent="0.35">
      <c r="A17" s="354">
        <f>IF(E17="","",IF(E17="-","-",MAX($A$4:$A16)+1))</f>
        <v>13</v>
      </c>
      <c r="B17" s="365" t="s">
        <v>200</v>
      </c>
      <c r="C17" s="365" t="s">
        <v>288</v>
      </c>
      <c r="D17" s="365" t="s">
        <v>105</v>
      </c>
      <c r="E17" s="355" t="s">
        <v>259</v>
      </c>
      <c r="F17" s="357"/>
      <c r="G17" s="476">
        <f t="shared" si="0"/>
        <v>13</v>
      </c>
      <c r="H17" s="366" t="s">
        <v>200</v>
      </c>
      <c r="I17" s="366" t="s">
        <v>200</v>
      </c>
      <c r="J17" s="366" t="s">
        <v>200</v>
      </c>
      <c r="K17" s="366" t="s">
        <v>284</v>
      </c>
      <c r="L17" s="366" t="s">
        <v>200</v>
      </c>
      <c r="M17" s="366"/>
      <c r="N17" s="366" t="s">
        <v>284</v>
      </c>
      <c r="O17" s="366" t="s">
        <v>284</v>
      </c>
      <c r="P17" s="357" t="s">
        <v>200</v>
      </c>
      <c r="Q17" s="357" t="s">
        <v>200</v>
      </c>
      <c r="S17" s="370" t="s">
        <v>288</v>
      </c>
      <c r="T17" s="371" t="s">
        <v>288</v>
      </c>
      <c r="U17" s="367">
        <v>2</v>
      </c>
      <c r="V17" s="367">
        <f t="shared" si="3"/>
        <v>9</v>
      </c>
      <c r="W17" s="344"/>
      <c r="X17" s="368">
        <v>45292</v>
      </c>
      <c r="Y17" s="369">
        <v>23</v>
      </c>
      <c r="Z17" s="369" t="s">
        <v>291</v>
      </c>
      <c r="AB17" s="341">
        <f>IF(MAX($AB$4:$AB16)=MAX($A$5:$A$74),"",MAX($AB$4:$AB16)+1)</f>
        <v>13</v>
      </c>
      <c r="AC17" s="363" t="str">
        <f t="shared" si="1"/>
        <v>BMW of Bloomfield Hills</v>
      </c>
      <c r="AE17" s="391"/>
      <c r="AF17" s="391"/>
      <c r="AG17" s="391"/>
      <c r="AH17" s="392"/>
    </row>
    <row r="18" spans="1:35" ht="15" customHeight="1" x14ac:dyDescent="0.35">
      <c r="A18" s="354">
        <f>IF(E18="","",IF(E18="-","-",MAX($A$4:$A17)+1))</f>
        <v>14</v>
      </c>
      <c r="B18" s="365" t="s">
        <v>122</v>
      </c>
      <c r="C18" s="365" t="s">
        <v>288</v>
      </c>
      <c r="D18" s="365" t="s">
        <v>108</v>
      </c>
      <c r="E18" s="355" t="s">
        <v>251</v>
      </c>
      <c r="F18" s="357"/>
      <c r="G18" s="476">
        <f t="shared" si="0"/>
        <v>14</v>
      </c>
      <c r="H18" s="366" t="s">
        <v>292</v>
      </c>
      <c r="I18" s="377" t="s">
        <v>292</v>
      </c>
      <c r="J18" s="366" t="s">
        <v>122</v>
      </c>
      <c r="K18" s="366" t="s">
        <v>293</v>
      </c>
      <c r="L18" s="366" t="s">
        <v>122</v>
      </c>
      <c r="M18" s="366"/>
      <c r="N18" s="366" t="s">
        <v>253</v>
      </c>
      <c r="O18" s="366" t="s">
        <v>269</v>
      </c>
      <c r="P18" s="357" t="s">
        <v>122</v>
      </c>
      <c r="Q18" s="357" t="s">
        <v>122</v>
      </c>
      <c r="S18" s="370" t="s">
        <v>294</v>
      </c>
      <c r="T18" s="370" t="s">
        <v>294</v>
      </c>
      <c r="U18" s="367">
        <v>2</v>
      </c>
      <c r="V18" s="367">
        <f t="shared" si="3"/>
        <v>1</v>
      </c>
      <c r="W18" s="344"/>
      <c r="X18" s="368">
        <v>45323</v>
      </c>
      <c r="Y18" s="369">
        <v>21</v>
      </c>
      <c r="Z18" s="369" t="s">
        <v>295</v>
      </c>
      <c r="AB18" s="341">
        <f>IF(MAX($AB$4:$AB17)=MAX($A$5:$A$74),"",MAX($AB$4:$AB17)+1)</f>
        <v>14</v>
      </c>
      <c r="AC18" s="363" t="str">
        <f t="shared" si="1"/>
        <v>BMW/MINI of Escondido</v>
      </c>
      <c r="AE18" s="390" t="s">
        <v>296</v>
      </c>
      <c r="AF18" s="390" t="s">
        <v>193</v>
      </c>
      <c r="AG18" s="390" t="s">
        <v>297</v>
      </c>
      <c r="AH18" s="392"/>
    </row>
    <row r="19" spans="1:35" ht="15" customHeight="1" x14ac:dyDescent="0.35">
      <c r="A19" s="354">
        <f>IF(E19="","",IF(E19="-","-",MAX($A$4:$A18)+1))</f>
        <v>15</v>
      </c>
      <c r="B19" s="365" t="s">
        <v>123</v>
      </c>
      <c r="C19" s="365" t="s">
        <v>288</v>
      </c>
      <c r="D19" s="365" t="s">
        <v>107</v>
      </c>
      <c r="E19" s="355" t="s">
        <v>251</v>
      </c>
      <c r="F19" s="357"/>
      <c r="G19" s="476">
        <f t="shared" si="0"/>
        <v>15</v>
      </c>
      <c r="H19" s="366" t="s">
        <v>123</v>
      </c>
      <c r="I19" s="366" t="s">
        <v>123</v>
      </c>
      <c r="J19" s="366" t="s">
        <v>123</v>
      </c>
      <c r="K19" s="366" t="s">
        <v>123</v>
      </c>
      <c r="L19" s="366" t="s">
        <v>123</v>
      </c>
      <c r="M19" s="366"/>
      <c r="N19" s="366" t="s">
        <v>253</v>
      </c>
      <c r="O19" s="366" t="s">
        <v>254</v>
      </c>
      <c r="P19" s="357" t="s">
        <v>123</v>
      </c>
      <c r="Q19" s="357" t="s">
        <v>123</v>
      </c>
      <c r="S19" s="370" t="s">
        <v>283</v>
      </c>
      <c r="T19" s="370" t="s">
        <v>283</v>
      </c>
      <c r="U19" s="367">
        <v>2</v>
      </c>
      <c r="V19" s="367">
        <f t="shared" si="3"/>
        <v>1</v>
      </c>
      <c r="W19" s="344"/>
      <c r="X19" s="368">
        <v>45352</v>
      </c>
      <c r="Y19" s="369">
        <v>22</v>
      </c>
      <c r="Z19" s="369" t="s">
        <v>298</v>
      </c>
      <c r="AB19" s="341">
        <f>IF(MAX($AB$4:$AB18)=MAX($A$5:$A$74),"",MAX($AB$4:$AB18)+1)</f>
        <v>15</v>
      </c>
      <c r="AC19" s="363" t="str">
        <f t="shared" si="1"/>
        <v>BMW of Ontario</v>
      </c>
      <c r="AE19" s="393">
        <v>44835</v>
      </c>
      <c r="AF19" s="391" t="str">
        <f t="shared" ref="AF19:AF58" si="4">IF($AE19="","",YEAR($AE19)&amp;"-"&amp;IFERROR(VLOOKUP(MONTH(AE19),$AE$5:$AF$16,2,FALSE),""))</f>
        <v>2022-Q4</v>
      </c>
      <c r="AG19" s="394" t="s">
        <v>64</v>
      </c>
      <c r="AH19" s="393">
        <v>44835</v>
      </c>
      <c r="AI19" s="393">
        <v>44805</v>
      </c>
    </row>
    <row r="20" spans="1:35" ht="15" customHeight="1" x14ac:dyDescent="0.35">
      <c r="A20" s="354">
        <f>IF(E20="","",IF(E20="-","-",MAX($A$4:$A19)+1))</f>
        <v>16</v>
      </c>
      <c r="B20" s="365" t="s">
        <v>124</v>
      </c>
      <c r="C20" s="365" t="s">
        <v>288</v>
      </c>
      <c r="D20" s="365" t="s">
        <v>108</v>
      </c>
      <c r="E20" s="355" t="s">
        <v>251</v>
      </c>
      <c r="F20" s="357"/>
      <c r="G20" s="476">
        <f t="shared" si="0"/>
        <v>16</v>
      </c>
      <c r="H20" s="366" t="s">
        <v>124</v>
      </c>
      <c r="I20" s="366" t="s">
        <v>124</v>
      </c>
      <c r="J20" s="366" t="s">
        <v>124</v>
      </c>
      <c r="K20" s="366" t="s">
        <v>124</v>
      </c>
      <c r="L20" s="366" t="s">
        <v>124</v>
      </c>
      <c r="M20" s="366"/>
      <c r="N20" s="366" t="s">
        <v>253</v>
      </c>
      <c r="O20" s="366" t="s">
        <v>254</v>
      </c>
      <c r="P20" s="357" t="s">
        <v>124</v>
      </c>
      <c r="Q20" s="357" t="s">
        <v>124</v>
      </c>
      <c r="S20" s="370" t="s">
        <v>299</v>
      </c>
      <c r="T20" s="371" t="s">
        <v>299</v>
      </c>
      <c r="U20" s="367">
        <v>2</v>
      </c>
      <c r="V20" s="367">
        <f t="shared" si="3"/>
        <v>1</v>
      </c>
      <c r="W20" s="344"/>
      <c r="X20" s="368">
        <v>45383</v>
      </c>
      <c r="Y20" s="369">
        <v>22</v>
      </c>
      <c r="Z20" s="369" t="s">
        <v>300</v>
      </c>
      <c r="AB20" s="341">
        <f>IF(MAX($AB$4:$AB19)=MAX($A$5:$A$74),"",MAX($AB$4:$AB19)+1)</f>
        <v>16</v>
      </c>
      <c r="AC20" s="363" t="str">
        <f t="shared" si="1"/>
        <v>BMW of San Diego</v>
      </c>
      <c r="AE20" s="393">
        <v>44866</v>
      </c>
      <c r="AF20" s="391" t="str">
        <f t="shared" si="4"/>
        <v>2022-Q4</v>
      </c>
      <c r="AG20" s="394" t="s">
        <v>64</v>
      </c>
      <c r="AH20" s="393">
        <v>44866</v>
      </c>
      <c r="AI20" s="393">
        <v>44835</v>
      </c>
    </row>
    <row r="21" spans="1:35" ht="15" customHeight="1" x14ac:dyDescent="0.35">
      <c r="A21" s="354">
        <f>IF(E21="","",IF(E21="-","-",MAX($A$4:$A20)+1))</f>
        <v>17</v>
      </c>
      <c r="B21" s="365" t="s">
        <v>195</v>
      </c>
      <c r="C21" s="365" t="s">
        <v>250</v>
      </c>
      <c r="D21" s="365" t="s">
        <v>106</v>
      </c>
      <c r="E21" s="355" t="s">
        <v>251</v>
      </c>
      <c r="F21" s="357"/>
      <c r="G21" s="476">
        <f t="shared" si="0"/>
        <v>17</v>
      </c>
      <c r="H21" s="366" t="s">
        <v>195</v>
      </c>
      <c r="I21" s="366" t="s">
        <v>195</v>
      </c>
      <c r="J21" s="366" t="s">
        <v>195</v>
      </c>
      <c r="K21" s="366" t="s">
        <v>195</v>
      </c>
      <c r="L21" s="366" t="s">
        <v>195</v>
      </c>
      <c r="M21" s="366"/>
      <c r="N21" s="366" t="s">
        <v>253</v>
      </c>
      <c r="O21" s="366" t="s">
        <v>254</v>
      </c>
      <c r="P21" s="357" t="s">
        <v>195</v>
      </c>
      <c r="Q21" s="357" t="s">
        <v>195</v>
      </c>
      <c r="S21" s="370" t="s">
        <v>301</v>
      </c>
      <c r="T21" s="371" t="s">
        <v>301</v>
      </c>
      <c r="U21" s="367">
        <v>2</v>
      </c>
      <c r="V21" s="367">
        <f t="shared" si="3"/>
        <v>7</v>
      </c>
      <c r="W21" s="344"/>
      <c r="X21" s="368">
        <v>45413</v>
      </c>
      <c r="Y21" s="369">
        <v>22</v>
      </c>
      <c r="Z21" s="369" t="s">
        <v>302</v>
      </c>
      <c r="AB21" s="341">
        <f>IF(MAX($AB$4:$AB20)=MAX($A$5:$A$74),"",MAX($AB$4:$AB20)+1)</f>
        <v>17</v>
      </c>
      <c r="AC21" s="363" t="str">
        <f t="shared" si="1"/>
        <v>Capitol Acura</v>
      </c>
      <c r="AE21" s="393">
        <v>44896</v>
      </c>
      <c r="AF21" s="391" t="str">
        <f t="shared" si="4"/>
        <v>2022-Q4</v>
      </c>
      <c r="AG21" s="394" t="s">
        <v>64</v>
      </c>
      <c r="AH21" s="393">
        <v>44896</v>
      </c>
      <c r="AI21" s="393">
        <v>44866</v>
      </c>
    </row>
    <row r="22" spans="1:35" ht="15" customHeight="1" x14ac:dyDescent="0.35">
      <c r="A22" s="354">
        <f>IF(E22="","",IF(E22="-","-",MAX($A$4:$A21)+1))</f>
        <v>18</v>
      </c>
      <c r="B22" s="365" t="s">
        <v>125</v>
      </c>
      <c r="C22" s="365" t="s">
        <v>301</v>
      </c>
      <c r="D22" s="365" t="s">
        <v>106</v>
      </c>
      <c r="E22" s="355" t="s">
        <v>251</v>
      </c>
      <c r="F22" s="357"/>
      <c r="G22" s="476">
        <f t="shared" si="0"/>
        <v>18</v>
      </c>
      <c r="H22" s="366" t="s">
        <v>125</v>
      </c>
      <c r="I22" s="366" t="s">
        <v>125</v>
      </c>
      <c r="J22" s="366" t="s">
        <v>125</v>
      </c>
      <c r="K22" s="366" t="s">
        <v>125</v>
      </c>
      <c r="L22" s="366" t="s">
        <v>125</v>
      </c>
      <c r="M22" s="366"/>
      <c r="N22" s="366" t="s">
        <v>253</v>
      </c>
      <c r="O22" s="366" t="s">
        <v>254</v>
      </c>
      <c r="P22" s="357" t="s">
        <v>125</v>
      </c>
      <c r="Q22" s="357" t="s">
        <v>125</v>
      </c>
      <c r="S22" s="370" t="s">
        <v>303</v>
      </c>
      <c r="T22" s="371" t="s">
        <v>303</v>
      </c>
      <c r="U22" s="367">
        <v>2</v>
      </c>
      <c r="V22" s="367">
        <f t="shared" si="3"/>
        <v>2</v>
      </c>
      <c r="W22" s="344"/>
      <c r="X22" s="368">
        <v>45444</v>
      </c>
      <c r="Y22" s="369">
        <v>22</v>
      </c>
      <c r="Z22" s="369" t="s">
        <v>304</v>
      </c>
      <c r="AB22" s="341">
        <f>IF(MAX($AB$4:$AB21)=MAX($A$5:$A$74),"",MAX($AB$4:$AB21)+1)</f>
        <v>18</v>
      </c>
      <c r="AC22" s="363" t="str">
        <f t="shared" si="1"/>
        <v>Capitol Honda</v>
      </c>
      <c r="AE22" s="393">
        <v>44927</v>
      </c>
      <c r="AF22" s="391" t="str">
        <f t="shared" si="4"/>
        <v>2023-Q1</v>
      </c>
      <c r="AG22" s="391" t="s">
        <v>213</v>
      </c>
      <c r="AH22" s="393">
        <v>44835</v>
      </c>
      <c r="AI22" s="393">
        <v>44896</v>
      </c>
    </row>
    <row r="23" spans="1:35" ht="15" customHeight="1" x14ac:dyDescent="0.35">
      <c r="A23" s="354">
        <f>IF(E23="","",IF(E23="-","-",MAX($A$4:$A22)+1))</f>
        <v>19</v>
      </c>
      <c r="B23" s="365" t="s">
        <v>126</v>
      </c>
      <c r="C23" s="365" t="s">
        <v>288</v>
      </c>
      <c r="D23" s="365" t="s">
        <v>107</v>
      </c>
      <c r="E23" s="355" t="s">
        <v>251</v>
      </c>
      <c r="F23" s="357"/>
      <c r="G23" s="476">
        <f t="shared" si="0"/>
        <v>19</v>
      </c>
      <c r="H23" s="366" t="s">
        <v>126</v>
      </c>
      <c r="I23" s="366" t="s">
        <v>126</v>
      </c>
      <c r="J23" s="366" t="s">
        <v>126</v>
      </c>
      <c r="K23" s="366" t="s">
        <v>126</v>
      </c>
      <c r="L23" s="366" t="s">
        <v>126</v>
      </c>
      <c r="M23" s="366"/>
      <c r="N23" s="366" t="s">
        <v>253</v>
      </c>
      <c r="O23" s="366" t="s">
        <v>254</v>
      </c>
      <c r="P23" s="357" t="s">
        <v>126</v>
      </c>
      <c r="Q23" s="357" t="s">
        <v>126</v>
      </c>
      <c r="S23" s="370" t="s">
        <v>305</v>
      </c>
      <c r="T23" s="371" t="s">
        <v>305</v>
      </c>
      <c r="U23" s="367">
        <v>2</v>
      </c>
      <c r="V23" s="367">
        <f t="shared" si="3"/>
        <v>2</v>
      </c>
      <c r="W23" s="344"/>
      <c r="X23" s="368">
        <v>45474</v>
      </c>
      <c r="Y23" s="369">
        <v>22</v>
      </c>
      <c r="Z23" s="369" t="s">
        <v>306</v>
      </c>
      <c r="AB23" s="341">
        <f>IF(MAX($AB$4:$AB22)=MAX($A$5:$A$74),"",MAX($AB$4:$AB22)+1)</f>
        <v>19</v>
      </c>
      <c r="AC23" s="363" t="str">
        <f t="shared" si="1"/>
        <v>Crevier BMW</v>
      </c>
      <c r="AE23" s="393">
        <v>44958</v>
      </c>
      <c r="AF23" s="391" t="str">
        <f t="shared" si="4"/>
        <v>2023-Q1</v>
      </c>
      <c r="AG23" s="391" t="s">
        <v>213</v>
      </c>
      <c r="AH23" s="393">
        <v>44866</v>
      </c>
      <c r="AI23" s="393">
        <v>44927</v>
      </c>
    </row>
    <row r="24" spans="1:35" ht="15" customHeight="1" x14ac:dyDescent="0.35">
      <c r="A24" s="354">
        <f>IF(E24="","",IF(E24="-","-",MAX($A$4:$A23)+1))</f>
        <v>20</v>
      </c>
      <c r="B24" s="365" t="s">
        <v>127</v>
      </c>
      <c r="C24" s="378" t="s">
        <v>307</v>
      </c>
      <c r="D24" s="365" t="s">
        <v>107</v>
      </c>
      <c r="E24" s="355" t="s">
        <v>251</v>
      </c>
      <c r="F24" s="357"/>
      <c r="G24" s="476">
        <f t="shared" si="0"/>
        <v>20</v>
      </c>
      <c r="H24" s="366" t="s">
        <v>127</v>
      </c>
      <c r="I24" s="366" t="s">
        <v>127</v>
      </c>
      <c r="J24" s="366" t="s">
        <v>127</v>
      </c>
      <c r="K24" s="366" t="s">
        <v>127</v>
      </c>
      <c r="L24" s="366" t="s">
        <v>127</v>
      </c>
      <c r="M24" s="366"/>
      <c r="N24" s="366" t="s">
        <v>253</v>
      </c>
      <c r="O24" s="366" t="s">
        <v>254</v>
      </c>
      <c r="P24" s="357" t="s">
        <v>127</v>
      </c>
      <c r="Q24" s="357" t="s">
        <v>127</v>
      </c>
      <c r="S24" s="370" t="s">
        <v>308</v>
      </c>
      <c r="T24" s="371" t="s">
        <v>308</v>
      </c>
      <c r="U24" s="367">
        <v>2</v>
      </c>
      <c r="V24" s="367">
        <f t="shared" si="3"/>
        <v>4</v>
      </c>
      <c r="W24" s="344"/>
      <c r="X24" s="368">
        <v>45505</v>
      </c>
      <c r="Y24" s="369">
        <v>22</v>
      </c>
      <c r="Z24" s="369" t="s">
        <v>309</v>
      </c>
      <c r="AB24" s="341">
        <f>IF(MAX($AB$4:$AB23)=MAX($A$5:$A$74),"",MAX($AB$4:$AB23)+1)</f>
        <v>20</v>
      </c>
      <c r="AC24" s="363" t="str">
        <f t="shared" si="1"/>
        <v>Crevier MINI</v>
      </c>
      <c r="AE24" s="393">
        <v>44958</v>
      </c>
      <c r="AF24" s="391" t="str">
        <f t="shared" si="4"/>
        <v>2023-Q1</v>
      </c>
      <c r="AG24" s="391" t="s">
        <v>213</v>
      </c>
      <c r="AH24" s="393">
        <v>44866</v>
      </c>
      <c r="AI24" s="393">
        <v>44927</v>
      </c>
    </row>
    <row r="25" spans="1:35" ht="15" customHeight="1" x14ac:dyDescent="0.35">
      <c r="A25" s="354">
        <f>IF(E25="","",IF(E25="-","-",MAX($A$4:$A24)+1))</f>
        <v>21</v>
      </c>
      <c r="B25" s="365" t="s">
        <v>201</v>
      </c>
      <c r="C25" s="365" t="s">
        <v>310</v>
      </c>
      <c r="D25" s="365" t="s">
        <v>110</v>
      </c>
      <c r="E25" s="355" t="s">
        <v>259</v>
      </c>
      <c r="F25" s="357"/>
      <c r="G25" s="476">
        <f t="shared" si="0"/>
        <v>21</v>
      </c>
      <c r="H25" s="366" t="s">
        <v>201</v>
      </c>
      <c r="I25" s="366" t="s">
        <v>201</v>
      </c>
      <c r="J25" s="366" t="s">
        <v>201</v>
      </c>
      <c r="K25" s="366" t="s">
        <v>284</v>
      </c>
      <c r="L25" s="366" t="s">
        <v>201</v>
      </c>
      <c r="M25" s="366"/>
      <c r="N25" s="366" t="s">
        <v>284</v>
      </c>
      <c r="O25" s="366" t="s">
        <v>284</v>
      </c>
      <c r="P25" s="357" t="s">
        <v>201</v>
      </c>
      <c r="Q25" s="357" t="s">
        <v>201</v>
      </c>
      <c r="S25" s="370" t="s">
        <v>311</v>
      </c>
      <c r="T25" s="371" t="s">
        <v>311</v>
      </c>
      <c r="U25" s="367">
        <v>2</v>
      </c>
      <c r="V25" s="367">
        <f t="shared" si="3"/>
        <v>1</v>
      </c>
      <c r="W25" s="344"/>
      <c r="X25" s="368">
        <v>45536</v>
      </c>
      <c r="Y25" s="369">
        <v>22</v>
      </c>
      <c r="Z25" s="369" t="s">
        <v>312</v>
      </c>
      <c r="AB25" s="341">
        <f>IF(MAX($AB$4:$AB24)=MAX($A$5:$A$74),"",MAX($AB$4:$AB24)+1)</f>
        <v>21</v>
      </c>
      <c r="AC25" s="363" t="str">
        <f t="shared" si="1"/>
        <v>East Madison Toyota</v>
      </c>
      <c r="AE25" s="393">
        <v>44986</v>
      </c>
      <c r="AF25" s="391" t="str">
        <f t="shared" si="4"/>
        <v>2023-Q1</v>
      </c>
      <c r="AG25" s="391" t="s">
        <v>213</v>
      </c>
      <c r="AH25" s="393">
        <v>44896</v>
      </c>
      <c r="AI25" s="393">
        <v>44958</v>
      </c>
    </row>
    <row r="26" spans="1:35" ht="15" customHeight="1" x14ac:dyDescent="0.35">
      <c r="A26" s="354">
        <f>IF(E26="","",IF(E26="-","-",MAX($A$4:$A25)+1))</f>
        <v>22</v>
      </c>
      <c r="B26" s="365" t="s">
        <v>198</v>
      </c>
      <c r="C26" s="378" t="s">
        <v>299</v>
      </c>
      <c r="D26" s="365" t="s">
        <v>109</v>
      </c>
      <c r="E26" s="355" t="s">
        <v>251</v>
      </c>
      <c r="F26" s="357"/>
      <c r="G26" s="476">
        <f t="shared" si="0"/>
        <v>22</v>
      </c>
      <c r="H26" s="366" t="s">
        <v>202</v>
      </c>
      <c r="I26" s="366" t="s">
        <v>202</v>
      </c>
      <c r="J26" s="366" t="s">
        <v>202</v>
      </c>
      <c r="K26" s="366" t="s">
        <v>284</v>
      </c>
      <c r="L26" s="366" t="s">
        <v>202</v>
      </c>
      <c r="M26" s="366"/>
      <c r="N26" s="366" t="s">
        <v>284</v>
      </c>
      <c r="O26" s="366" t="s">
        <v>284</v>
      </c>
      <c r="P26" s="357" t="s">
        <v>202</v>
      </c>
      <c r="Q26" s="357" t="s">
        <v>202</v>
      </c>
      <c r="S26" s="370" t="s">
        <v>313</v>
      </c>
      <c r="T26" s="371" t="s">
        <v>313</v>
      </c>
      <c r="U26" s="367">
        <v>2</v>
      </c>
      <c r="V26" s="367">
        <f t="shared" si="3"/>
        <v>1</v>
      </c>
      <c r="W26" s="344"/>
      <c r="X26" s="368">
        <v>45566</v>
      </c>
      <c r="Y26" s="369">
        <v>22</v>
      </c>
      <c r="Z26" s="369" t="s">
        <v>314</v>
      </c>
      <c r="AB26" s="341">
        <f>IF(MAX($AB$4:$AB25)=MAX($A$5:$A$74),"",MAX($AB$4:$AB25)+1)</f>
        <v>22</v>
      </c>
      <c r="AC26" s="363" t="str">
        <f t="shared" si="1"/>
        <v>Genesis of Round Rock</v>
      </c>
      <c r="AE26" s="393">
        <v>45017</v>
      </c>
      <c r="AF26" s="391" t="str">
        <f t="shared" si="4"/>
        <v>2023-Q2</v>
      </c>
      <c r="AG26" s="391" t="s">
        <v>214</v>
      </c>
      <c r="AH26" s="393">
        <v>44927</v>
      </c>
      <c r="AI26" s="393">
        <v>44986</v>
      </c>
    </row>
    <row r="27" spans="1:35" ht="15" customHeight="1" x14ac:dyDescent="0.35">
      <c r="A27" s="354">
        <f>IF(E27="","",IF(E27="-","-",MAX($A$4:$A26)+1))</f>
        <v>23</v>
      </c>
      <c r="B27" s="365" t="s">
        <v>128</v>
      </c>
      <c r="C27" s="365" t="s">
        <v>301</v>
      </c>
      <c r="D27" s="365" t="s">
        <v>109</v>
      </c>
      <c r="E27" s="355" t="s">
        <v>251</v>
      </c>
      <c r="F27" s="357"/>
      <c r="G27" s="476">
        <f t="shared" si="0"/>
        <v>23</v>
      </c>
      <c r="H27" s="377" t="s">
        <v>198</v>
      </c>
      <c r="I27" s="377" t="s">
        <v>198</v>
      </c>
      <c r="J27" s="377" t="s">
        <v>315</v>
      </c>
      <c r="K27" s="377" t="s">
        <v>198</v>
      </c>
      <c r="L27" s="377" t="s">
        <v>198</v>
      </c>
      <c r="M27" s="366"/>
      <c r="N27" s="366" t="s">
        <v>253</v>
      </c>
      <c r="O27" s="366" t="s">
        <v>254</v>
      </c>
      <c r="P27" s="357" t="s">
        <v>198</v>
      </c>
      <c r="Q27" s="357" t="s">
        <v>198</v>
      </c>
      <c r="S27" s="370" t="s">
        <v>316</v>
      </c>
      <c r="T27" s="371" t="s">
        <v>316</v>
      </c>
      <c r="U27" s="367">
        <v>2</v>
      </c>
      <c r="V27" s="367">
        <f t="shared" si="3"/>
        <v>3</v>
      </c>
      <c r="W27" s="344"/>
      <c r="X27" s="368">
        <v>45597</v>
      </c>
      <c r="Y27" s="369">
        <v>22</v>
      </c>
      <c r="Z27" s="369" t="s">
        <v>317</v>
      </c>
      <c r="AB27" s="341">
        <f>IF(MAX($AB$4:$AB26)=MAX($A$5:$A$74),"",MAX($AB$4:$AB26)+1)</f>
        <v>23</v>
      </c>
      <c r="AC27" s="363" t="str">
        <f t="shared" si="1"/>
        <v>Honda Leander</v>
      </c>
      <c r="AE27" s="393">
        <v>45047</v>
      </c>
      <c r="AF27" s="391" t="str">
        <f t="shared" si="4"/>
        <v>2023-Q2</v>
      </c>
      <c r="AG27" s="391" t="s">
        <v>214</v>
      </c>
      <c r="AH27" s="393">
        <v>44958</v>
      </c>
      <c r="AI27" s="393">
        <v>45017</v>
      </c>
    </row>
    <row r="28" spans="1:35" ht="15" customHeight="1" x14ac:dyDescent="0.35">
      <c r="A28" s="354">
        <f>IF(E28="","",IF(E28="-","-",MAX($A$4:$A27)+1))</f>
        <v>24</v>
      </c>
      <c r="B28" s="365" t="s">
        <v>129</v>
      </c>
      <c r="C28" s="365" t="s">
        <v>301</v>
      </c>
      <c r="D28" s="365" t="s">
        <v>106</v>
      </c>
      <c r="E28" s="355" t="s">
        <v>251</v>
      </c>
      <c r="F28" s="357"/>
      <c r="G28" s="476">
        <f t="shared" si="0"/>
        <v>24</v>
      </c>
      <c r="H28" s="366" t="s">
        <v>128</v>
      </c>
      <c r="I28" s="366" t="s">
        <v>128</v>
      </c>
      <c r="J28" s="366" t="s">
        <v>128</v>
      </c>
      <c r="K28" s="366" t="s">
        <v>128</v>
      </c>
      <c r="L28" s="366" t="s">
        <v>128</v>
      </c>
      <c r="M28" s="366"/>
      <c r="N28" s="366" t="s">
        <v>253</v>
      </c>
      <c r="O28" s="366" t="s">
        <v>254</v>
      </c>
      <c r="P28" s="357" t="s">
        <v>128</v>
      </c>
      <c r="Q28" s="357" t="s">
        <v>128</v>
      </c>
      <c r="S28" s="370" t="s">
        <v>307</v>
      </c>
      <c r="T28" s="379" t="s">
        <v>307</v>
      </c>
      <c r="U28" s="367">
        <v>2</v>
      </c>
      <c r="V28" s="367">
        <f t="shared" si="3"/>
        <v>8</v>
      </c>
      <c r="X28" s="368">
        <v>45627</v>
      </c>
      <c r="Y28" s="369">
        <v>22</v>
      </c>
      <c r="Z28" s="369" t="s">
        <v>318</v>
      </c>
      <c r="AB28" s="341">
        <f>IF(MAX($AB$4:$AB27)=MAX($A$5:$A$74),"",MAX($AB$4:$AB27)+1)</f>
        <v>24</v>
      </c>
      <c r="AC28" s="363" t="str">
        <f t="shared" si="1"/>
        <v>Honda North</v>
      </c>
      <c r="AE28" s="393">
        <v>45078</v>
      </c>
      <c r="AF28" s="391" t="str">
        <f t="shared" si="4"/>
        <v>2023-Q2</v>
      </c>
      <c r="AG28" s="391" t="s">
        <v>214</v>
      </c>
      <c r="AH28" s="393">
        <v>44986</v>
      </c>
      <c r="AI28" s="393">
        <v>45047</v>
      </c>
    </row>
    <row r="29" spans="1:35" ht="15" customHeight="1" x14ac:dyDescent="0.35">
      <c r="A29" s="354">
        <f>IF(E29="","",IF(E29="-","-",MAX($A$4:$A28)+1))</f>
        <v>25</v>
      </c>
      <c r="B29" s="365" t="s">
        <v>130</v>
      </c>
      <c r="C29" s="365" t="s">
        <v>301</v>
      </c>
      <c r="D29" s="365" t="s">
        <v>108</v>
      </c>
      <c r="E29" s="355" t="s">
        <v>251</v>
      </c>
      <c r="F29" s="357"/>
      <c r="G29" s="476">
        <f t="shared" si="0"/>
        <v>25</v>
      </c>
      <c r="H29" s="366" t="s">
        <v>129</v>
      </c>
      <c r="I29" s="366" t="s">
        <v>129</v>
      </c>
      <c r="J29" s="366" t="s">
        <v>319</v>
      </c>
      <c r="K29" s="366" t="s">
        <v>320</v>
      </c>
      <c r="L29" s="366" t="s">
        <v>129</v>
      </c>
      <c r="M29" s="366"/>
      <c r="N29" s="366" t="s">
        <v>253</v>
      </c>
      <c r="O29" s="366" t="s">
        <v>254</v>
      </c>
      <c r="P29" s="357" t="s">
        <v>129</v>
      </c>
      <c r="Q29" s="357" t="s">
        <v>129</v>
      </c>
      <c r="S29" s="370" t="s">
        <v>321</v>
      </c>
      <c r="T29" s="371" t="s">
        <v>321</v>
      </c>
      <c r="U29" s="367">
        <v>2</v>
      </c>
      <c r="V29" s="367">
        <f t="shared" si="3"/>
        <v>2</v>
      </c>
      <c r="X29" s="368">
        <v>45658</v>
      </c>
      <c r="Y29" s="369">
        <v>22</v>
      </c>
      <c r="Z29" s="369" t="s">
        <v>322</v>
      </c>
      <c r="AB29" s="341">
        <f>IF(MAX($AB$4:$AB28)=MAX($A$5:$A$74),"",MAX($AB$4:$AB28)+1)</f>
        <v>25</v>
      </c>
      <c r="AC29" s="363" t="str">
        <f t="shared" si="1"/>
        <v>Honda of Escondido</v>
      </c>
      <c r="AE29" s="393">
        <v>45108</v>
      </c>
      <c r="AF29" s="391" t="str">
        <f t="shared" si="4"/>
        <v>2023-Q3</v>
      </c>
      <c r="AG29" s="391" t="s">
        <v>215</v>
      </c>
      <c r="AH29" s="393">
        <v>45017</v>
      </c>
      <c r="AI29" s="393">
        <v>45078</v>
      </c>
    </row>
    <row r="30" spans="1:35" ht="15" customHeight="1" x14ac:dyDescent="0.35">
      <c r="A30" s="354">
        <f>IF(E30="","",IF(E30="-","-",MAX($A$4:$A29)+1))</f>
        <v>26</v>
      </c>
      <c r="B30" s="365" t="s">
        <v>210</v>
      </c>
      <c r="C30" s="365" t="s">
        <v>303</v>
      </c>
      <c r="D30" s="365" t="s">
        <v>109</v>
      </c>
      <c r="E30" s="355" t="s">
        <v>259</v>
      </c>
      <c r="F30" s="357"/>
      <c r="G30" s="476">
        <f t="shared" si="0"/>
        <v>26</v>
      </c>
      <c r="H30" s="366" t="s">
        <v>130</v>
      </c>
      <c r="I30" s="366" t="s">
        <v>130</v>
      </c>
      <c r="J30" s="366" t="s">
        <v>130</v>
      </c>
      <c r="K30" s="366" t="s">
        <v>130</v>
      </c>
      <c r="L30" s="366" t="s">
        <v>130</v>
      </c>
      <c r="M30" s="366"/>
      <c r="N30" s="366" t="s">
        <v>253</v>
      </c>
      <c r="O30" s="366" t="s">
        <v>254</v>
      </c>
      <c r="P30" s="357" t="s">
        <v>130</v>
      </c>
      <c r="Q30" s="357" t="s">
        <v>130</v>
      </c>
      <c r="S30" s="370" t="s">
        <v>323</v>
      </c>
      <c r="T30" s="371" t="s">
        <v>323</v>
      </c>
      <c r="U30" s="367">
        <v>2</v>
      </c>
      <c r="V30" s="367">
        <f t="shared" si="3"/>
        <v>1</v>
      </c>
      <c r="X30" s="368">
        <v>45689</v>
      </c>
      <c r="Y30" s="369">
        <v>20</v>
      </c>
      <c r="Z30" s="369" t="s">
        <v>324</v>
      </c>
      <c r="AB30" s="341">
        <f>IF(MAX($AB$4:$AB29)=MAX($A$5:$A$74),"",MAX($AB$4:$AB29)+1)</f>
        <v>26</v>
      </c>
      <c r="AC30" s="363" t="str">
        <f t="shared" si="1"/>
        <v>Hyundai of Leander</v>
      </c>
      <c r="AE30" s="393">
        <v>45139</v>
      </c>
      <c r="AF30" s="391" t="str">
        <f t="shared" si="4"/>
        <v>2023-Q3</v>
      </c>
      <c r="AG30" s="391" t="s">
        <v>215</v>
      </c>
      <c r="AH30" s="393">
        <v>45047</v>
      </c>
      <c r="AI30" s="393">
        <v>45108</v>
      </c>
    </row>
    <row r="31" spans="1:35" ht="15" customHeight="1" x14ac:dyDescent="0.35">
      <c r="A31" s="354" t="str">
        <f>IF(E31="","",IF(E31="-","-",MAX($A$4:$A30)+1))</f>
        <v/>
      </c>
      <c r="B31" s="365" t="s">
        <v>131</v>
      </c>
      <c r="C31" s="365"/>
      <c r="D31" s="365"/>
      <c r="E31" s="355"/>
      <c r="F31" s="357"/>
      <c r="G31" s="476" t="str">
        <f t="shared" si="0"/>
        <v/>
      </c>
      <c r="H31" s="366" t="s">
        <v>210</v>
      </c>
      <c r="I31" s="366" t="s">
        <v>210</v>
      </c>
      <c r="J31" s="366" t="s">
        <v>210</v>
      </c>
      <c r="K31" s="366" t="s">
        <v>284</v>
      </c>
      <c r="L31" s="366" t="s">
        <v>210</v>
      </c>
      <c r="M31" s="366"/>
      <c r="N31" s="366" t="s">
        <v>284</v>
      </c>
      <c r="O31" s="366" t="s">
        <v>284</v>
      </c>
      <c r="P31" s="357" t="s">
        <v>210</v>
      </c>
      <c r="Q31" s="357" t="s">
        <v>210</v>
      </c>
      <c r="S31" s="370" t="s">
        <v>310</v>
      </c>
      <c r="T31" s="371" t="s">
        <v>310</v>
      </c>
      <c r="U31" s="367">
        <v>2</v>
      </c>
      <c r="V31" s="367">
        <f t="shared" si="3"/>
        <v>5</v>
      </c>
      <c r="X31" s="368">
        <v>45717</v>
      </c>
      <c r="Y31" s="369">
        <v>22</v>
      </c>
      <c r="Z31" s="369" t="s">
        <v>325</v>
      </c>
      <c r="AB31" s="341">
        <f>IF(MAX($AB$4:$AB30)=MAX($A$5:$A$74),"",MAX($AB$4:$AB30)+1)</f>
        <v>27</v>
      </c>
      <c r="AC31" s="363" t="str">
        <f t="shared" si="1"/>
        <v>Kearny Mesa Toyota</v>
      </c>
      <c r="AE31" s="393">
        <v>45170</v>
      </c>
      <c r="AF31" s="391" t="str">
        <f t="shared" si="4"/>
        <v>2023-Q3</v>
      </c>
      <c r="AG31" s="391" t="s">
        <v>215</v>
      </c>
      <c r="AH31" s="393">
        <v>45078</v>
      </c>
      <c r="AI31" s="393">
        <v>45139</v>
      </c>
    </row>
    <row r="32" spans="1:35" ht="15" customHeight="1" x14ac:dyDescent="0.35">
      <c r="A32" s="354">
        <f>IF(E32="","",IF(E32="-","-",MAX($A$4:$A31)+1))</f>
        <v>27</v>
      </c>
      <c r="B32" s="365" t="s">
        <v>135</v>
      </c>
      <c r="C32" s="365" t="s">
        <v>310</v>
      </c>
      <c r="D32" s="365" t="s">
        <v>108</v>
      </c>
      <c r="E32" s="355" t="s">
        <v>251</v>
      </c>
      <c r="F32" s="357"/>
      <c r="G32" s="476">
        <f t="shared" si="0"/>
        <v>27</v>
      </c>
      <c r="H32" s="366" t="s">
        <v>203</v>
      </c>
      <c r="I32" s="366" t="s">
        <v>203</v>
      </c>
      <c r="J32" s="366" t="s">
        <v>203</v>
      </c>
      <c r="K32" s="366" t="s">
        <v>284</v>
      </c>
      <c r="L32" s="366" t="s">
        <v>203</v>
      </c>
      <c r="M32" s="366"/>
      <c r="N32" s="366" t="s">
        <v>284</v>
      </c>
      <c r="O32" s="366" t="s">
        <v>284</v>
      </c>
      <c r="P32" s="357" t="s">
        <v>203</v>
      </c>
      <c r="Q32" s="357" t="s">
        <v>203</v>
      </c>
      <c r="S32" s="370" t="s">
        <v>280</v>
      </c>
      <c r="T32" s="370" t="s">
        <v>280</v>
      </c>
      <c r="U32" s="367">
        <v>2</v>
      </c>
      <c r="V32" s="367">
        <f t="shared" si="3"/>
        <v>3</v>
      </c>
      <c r="X32" s="368">
        <v>45748</v>
      </c>
      <c r="Y32" s="369">
        <v>22</v>
      </c>
      <c r="Z32" s="369" t="s">
        <v>326</v>
      </c>
      <c r="AB32" s="341">
        <f>IF(MAX($AB$4:$AB31)=MAX($A$5:$A$74),"",MAX($AB$4:$AB31)+1)</f>
        <v>28</v>
      </c>
      <c r="AC32" s="363" t="str">
        <f t="shared" si="1"/>
        <v>Lamborghini North Scottsdale</v>
      </c>
      <c r="AE32" s="393">
        <v>45200</v>
      </c>
      <c r="AF32" s="391" t="str">
        <f t="shared" si="4"/>
        <v>2023-Q4</v>
      </c>
      <c r="AG32" s="391" t="s">
        <v>216</v>
      </c>
      <c r="AH32" s="393">
        <v>45108</v>
      </c>
      <c r="AI32" s="393">
        <v>45170</v>
      </c>
    </row>
    <row r="33" spans="1:36" ht="15" customHeight="1" x14ac:dyDescent="0.35">
      <c r="A33" s="354">
        <f>IF(E33="","",IF(E33="-","-",MAX($A$4:$A32)+1))</f>
        <v>28</v>
      </c>
      <c r="B33" s="365" t="s">
        <v>204</v>
      </c>
      <c r="C33" s="370" t="s">
        <v>280</v>
      </c>
      <c r="D33" s="365" t="s">
        <v>16</v>
      </c>
      <c r="E33" s="355" t="s">
        <v>251</v>
      </c>
      <c r="F33" s="357"/>
      <c r="G33" s="476">
        <f t="shared" si="0"/>
        <v>28</v>
      </c>
      <c r="H33" s="366" t="s">
        <v>131</v>
      </c>
      <c r="I33" s="366" t="s">
        <v>131</v>
      </c>
      <c r="J33" s="366" t="s">
        <v>131</v>
      </c>
      <c r="K33" s="366" t="s">
        <v>131</v>
      </c>
      <c r="L33" s="366" t="s">
        <v>131</v>
      </c>
      <c r="M33" s="366"/>
      <c r="N33" s="366" t="s">
        <v>253</v>
      </c>
      <c r="O33" s="366" t="s">
        <v>254</v>
      </c>
      <c r="P33" s="357" t="s">
        <v>131</v>
      </c>
      <c r="Q33" s="357" t="s">
        <v>131</v>
      </c>
      <c r="S33" s="370" t="s">
        <v>327</v>
      </c>
      <c r="T33" s="371" t="s">
        <v>327</v>
      </c>
      <c r="U33" s="367">
        <v>2</v>
      </c>
      <c r="V33" s="367">
        <f t="shared" si="3"/>
        <v>2</v>
      </c>
      <c r="X33" s="368">
        <v>45778</v>
      </c>
      <c r="Y33" s="369">
        <v>22</v>
      </c>
      <c r="Z33" s="369" t="s">
        <v>328</v>
      </c>
      <c r="AB33" s="341">
        <f>IF(MAX($AB$4:$AB32)=MAX($A$5:$A$74),"",MAX($AB$4:$AB32)+1)</f>
        <v>29</v>
      </c>
      <c r="AC33" s="363" t="str">
        <f t="shared" si="1"/>
        <v>Land Rover Chandler</v>
      </c>
      <c r="AE33" s="393">
        <v>45231</v>
      </c>
      <c r="AF33" s="391" t="str">
        <f t="shared" si="4"/>
        <v>2023-Q4</v>
      </c>
      <c r="AG33" s="391" t="s">
        <v>216</v>
      </c>
      <c r="AH33" s="393">
        <v>45139</v>
      </c>
      <c r="AI33" s="393">
        <v>45200</v>
      </c>
    </row>
    <row r="34" spans="1:36" ht="15" customHeight="1" x14ac:dyDescent="0.35">
      <c r="A34" s="354">
        <f>IF(E34="","",IF(E34="-","-",MAX($A$4:$A33)+1))</f>
        <v>29</v>
      </c>
      <c r="B34" s="365" t="s">
        <v>196</v>
      </c>
      <c r="C34" s="365" t="s">
        <v>305</v>
      </c>
      <c r="D34" s="365" t="s">
        <v>16</v>
      </c>
      <c r="E34" s="355" t="s">
        <v>251</v>
      </c>
      <c r="F34" s="357"/>
      <c r="G34" s="476">
        <f t="shared" si="0"/>
        <v>29</v>
      </c>
      <c r="H34" s="366" t="s">
        <v>134</v>
      </c>
      <c r="I34" s="366" t="s">
        <v>134</v>
      </c>
      <c r="J34" s="366" t="s">
        <v>134</v>
      </c>
      <c r="K34" s="366" t="s">
        <v>134</v>
      </c>
      <c r="L34" s="366" t="s">
        <v>134</v>
      </c>
      <c r="M34" s="366"/>
      <c r="N34" s="366" t="s">
        <v>253</v>
      </c>
      <c r="O34" s="366" t="s">
        <v>254</v>
      </c>
      <c r="P34" s="357" t="s">
        <v>134</v>
      </c>
      <c r="Q34" s="357" t="s">
        <v>134</v>
      </c>
      <c r="S34" s="370"/>
      <c r="T34" s="371"/>
      <c r="U34" s="367"/>
      <c r="V34" s="367"/>
      <c r="X34" s="368">
        <v>45809</v>
      </c>
      <c r="Y34" s="369">
        <v>22</v>
      </c>
      <c r="Z34" s="369" t="s">
        <v>329</v>
      </c>
      <c r="AB34" s="341">
        <f>IF(MAX($AB$4:$AB33)=MAX($A$5:$A$74),"",MAX($AB$4:$AB33)+1)</f>
        <v>30</v>
      </c>
      <c r="AC34" s="363" t="str">
        <f t="shared" si="1"/>
        <v>Land Rover North Scottsdale</v>
      </c>
      <c r="AE34" s="393">
        <v>45261</v>
      </c>
      <c r="AF34" s="391" t="str">
        <f t="shared" si="4"/>
        <v>2023-Q4</v>
      </c>
      <c r="AG34" s="391" t="s">
        <v>216</v>
      </c>
      <c r="AH34" s="393">
        <v>45170</v>
      </c>
      <c r="AI34" s="393">
        <v>45231</v>
      </c>
    </row>
    <row r="35" spans="1:36" ht="15" customHeight="1" x14ac:dyDescent="0.35">
      <c r="A35" s="354">
        <f>IF(E35="","",IF(E35="-","-",MAX($A$4:$A34)+1))</f>
        <v>30</v>
      </c>
      <c r="B35" s="365" t="s">
        <v>197</v>
      </c>
      <c r="C35" s="365" t="s">
        <v>305</v>
      </c>
      <c r="D35" s="365" t="s">
        <v>16</v>
      </c>
      <c r="E35" s="355" t="s">
        <v>251</v>
      </c>
      <c r="F35" s="357"/>
      <c r="G35" s="476">
        <f t="shared" si="0"/>
        <v>30</v>
      </c>
      <c r="H35" s="366" t="s">
        <v>135</v>
      </c>
      <c r="I35" s="366" t="s">
        <v>135</v>
      </c>
      <c r="J35" s="366" t="s">
        <v>135</v>
      </c>
      <c r="K35" s="366" t="s">
        <v>135</v>
      </c>
      <c r="L35" s="366" t="s">
        <v>135</v>
      </c>
      <c r="M35" s="366"/>
      <c r="N35" s="366" t="s">
        <v>253</v>
      </c>
      <c r="O35" s="366" t="s">
        <v>330</v>
      </c>
      <c r="P35" s="357" t="s">
        <v>135</v>
      </c>
      <c r="Q35" s="357" t="s">
        <v>135</v>
      </c>
      <c r="S35" s="370"/>
      <c r="T35" s="371"/>
      <c r="U35" s="367"/>
      <c r="V35" s="367"/>
      <c r="X35" s="368">
        <v>45839</v>
      </c>
      <c r="Y35" s="369">
        <v>22</v>
      </c>
      <c r="Z35" s="369" t="s">
        <v>331</v>
      </c>
      <c r="AB35" s="341">
        <f>IF(MAX($AB$4:$AB34)=MAX($A$5:$A$74),"",MAX($AB$4:$AB34)+1)</f>
        <v>31</v>
      </c>
      <c r="AC35" s="363" t="str">
        <f t="shared" si="1"/>
        <v>Lexus of Austin</v>
      </c>
      <c r="AE35" s="393">
        <v>45292</v>
      </c>
      <c r="AF35" s="391" t="str">
        <f t="shared" si="4"/>
        <v>2024-Q1</v>
      </c>
      <c r="AG35" s="391" t="s">
        <v>217</v>
      </c>
      <c r="AH35" s="393">
        <v>45200</v>
      </c>
      <c r="AI35" s="393">
        <v>45261</v>
      </c>
    </row>
    <row r="36" spans="1:36" s="381" customFormat="1" ht="15" customHeight="1" x14ac:dyDescent="0.35">
      <c r="A36" s="354">
        <f>IF(E36="","",IF(E36="-","-",MAX($A$4:$A35)+1))</f>
        <v>31</v>
      </c>
      <c r="B36" s="365" t="s">
        <v>136</v>
      </c>
      <c r="C36" s="365" t="s">
        <v>308</v>
      </c>
      <c r="D36" s="365" t="s">
        <v>109</v>
      </c>
      <c r="E36" s="355" t="s">
        <v>251</v>
      </c>
      <c r="F36" s="357"/>
      <c r="G36" s="476">
        <f t="shared" si="0"/>
        <v>31</v>
      </c>
      <c r="H36" s="366" t="s">
        <v>204</v>
      </c>
      <c r="I36" s="366" t="s">
        <v>204</v>
      </c>
      <c r="J36" s="366" t="s">
        <v>204</v>
      </c>
      <c r="K36" s="366" t="s">
        <v>204</v>
      </c>
      <c r="L36" s="366" t="s">
        <v>204</v>
      </c>
      <c r="M36" s="366"/>
      <c r="N36" s="366" t="s">
        <v>253</v>
      </c>
      <c r="O36" s="366" t="s">
        <v>254</v>
      </c>
      <c r="P36" s="357" t="s">
        <v>204</v>
      </c>
      <c r="Q36" s="357" t="s">
        <v>204</v>
      </c>
      <c r="R36" s="342"/>
      <c r="S36" s="370"/>
      <c r="T36" s="371"/>
      <c r="U36" s="367"/>
      <c r="V36" s="367"/>
      <c r="W36" s="380"/>
      <c r="X36" s="368">
        <v>45870</v>
      </c>
      <c r="Y36" s="369">
        <v>22</v>
      </c>
      <c r="Z36" s="369" t="s">
        <v>332</v>
      </c>
      <c r="AA36" s="380"/>
      <c r="AB36" s="341">
        <f>IF(MAX($AB$4:$AB35)=MAX($A$5:$A$74),"",MAX($AB$4:$AB35)+1)</f>
        <v>32</v>
      </c>
      <c r="AC36" s="363" t="str">
        <f t="shared" si="1"/>
        <v>Lexus of Chandler</v>
      </c>
      <c r="AD36" s="380"/>
      <c r="AE36" s="393">
        <v>45323</v>
      </c>
      <c r="AF36" s="391" t="str">
        <f t="shared" si="4"/>
        <v>2024-Q1</v>
      </c>
      <c r="AG36" s="391" t="s">
        <v>217</v>
      </c>
      <c r="AH36" s="393">
        <v>45231</v>
      </c>
      <c r="AI36" s="393">
        <v>45292</v>
      </c>
      <c r="AJ36" s="380"/>
    </row>
    <row r="37" spans="1:36" ht="15" customHeight="1" x14ac:dyDescent="0.35">
      <c r="A37" s="354">
        <f>IF(E37="","",IF(E37="-","-",MAX($A$4:$A36)+1))</f>
        <v>32</v>
      </c>
      <c r="B37" s="365" t="s">
        <v>137</v>
      </c>
      <c r="C37" s="365" t="s">
        <v>308</v>
      </c>
      <c r="D37" s="365" t="s">
        <v>16</v>
      </c>
      <c r="E37" s="355" t="s">
        <v>251</v>
      </c>
      <c r="F37" s="357"/>
      <c r="G37" s="476">
        <f t="shared" si="0"/>
        <v>32</v>
      </c>
      <c r="H37" s="366" t="s">
        <v>132</v>
      </c>
      <c r="I37" s="366" t="s">
        <v>196</v>
      </c>
      <c r="J37" s="366" t="s">
        <v>196</v>
      </c>
      <c r="K37" s="366" t="s">
        <v>196</v>
      </c>
      <c r="L37" s="366" t="s">
        <v>196</v>
      </c>
      <c r="M37" s="366"/>
      <c r="N37" s="366" t="s">
        <v>253</v>
      </c>
      <c r="O37" s="366" t="s">
        <v>254</v>
      </c>
      <c r="P37" s="357" t="s">
        <v>196</v>
      </c>
      <c r="Q37" s="357" t="s">
        <v>196</v>
      </c>
      <c r="X37" s="368">
        <v>45901</v>
      </c>
      <c r="Y37" s="369">
        <v>22</v>
      </c>
      <c r="Z37" s="369" t="s">
        <v>333</v>
      </c>
      <c r="AB37" s="341">
        <f>IF(MAX($AB$4:$AB36)=MAX($A$5:$A$74),"",MAX($AB$4:$AB36)+1)</f>
        <v>33</v>
      </c>
      <c r="AC37" s="363" t="str">
        <f t="shared" si="1"/>
        <v>Lexus of Lakeway</v>
      </c>
      <c r="AE37" s="393">
        <v>45352</v>
      </c>
      <c r="AF37" s="391" t="str">
        <f t="shared" si="4"/>
        <v>2024-Q1</v>
      </c>
      <c r="AG37" s="391" t="s">
        <v>217</v>
      </c>
      <c r="AH37" s="393">
        <v>45261</v>
      </c>
      <c r="AI37" s="393">
        <v>45323</v>
      </c>
    </row>
    <row r="38" spans="1:36" s="381" customFormat="1" ht="15" customHeight="1" x14ac:dyDescent="0.35">
      <c r="A38" s="354">
        <f>IF(E38="","",IF(E38="-","-",MAX($A$4:$A37)+1))</f>
        <v>33</v>
      </c>
      <c r="B38" s="365" t="s">
        <v>138</v>
      </c>
      <c r="C38" s="365" t="s">
        <v>308</v>
      </c>
      <c r="D38" s="365" t="s">
        <v>109</v>
      </c>
      <c r="E38" s="355" t="s">
        <v>251</v>
      </c>
      <c r="F38" s="357"/>
      <c r="G38" s="476">
        <f t="shared" si="0"/>
        <v>33</v>
      </c>
      <c r="H38" s="366" t="s">
        <v>133</v>
      </c>
      <c r="I38" s="366" t="s">
        <v>197</v>
      </c>
      <c r="J38" s="366" t="s">
        <v>197</v>
      </c>
      <c r="K38" s="366" t="s">
        <v>133</v>
      </c>
      <c r="L38" s="366" t="s">
        <v>197</v>
      </c>
      <c r="M38" s="366"/>
      <c r="N38" s="366" t="s">
        <v>253</v>
      </c>
      <c r="O38" s="366" t="s">
        <v>254</v>
      </c>
      <c r="P38" s="357" t="s">
        <v>197</v>
      </c>
      <c r="Q38" s="357" t="s">
        <v>197</v>
      </c>
      <c r="R38" s="342"/>
      <c r="S38" s="342"/>
      <c r="T38" s="343"/>
      <c r="U38" s="343"/>
      <c r="V38" s="343"/>
      <c r="W38" s="380"/>
      <c r="X38" s="368">
        <v>45931</v>
      </c>
      <c r="Y38" s="369">
        <v>22</v>
      </c>
      <c r="Z38" s="369" t="s">
        <v>334</v>
      </c>
      <c r="AA38" s="380"/>
      <c r="AB38" s="341">
        <f>IF(MAX($AB$4:$AB37)=MAX($A$5:$A$74),"",MAX($AB$4:$AB37)+1)</f>
        <v>34</v>
      </c>
      <c r="AC38" s="363" t="str">
        <f t="shared" si="1"/>
        <v>Lexus San Diego</v>
      </c>
      <c r="AD38" s="380"/>
      <c r="AE38" s="393">
        <v>45383</v>
      </c>
      <c r="AF38" s="391" t="str">
        <f t="shared" si="4"/>
        <v>2024-Q2</v>
      </c>
      <c r="AG38" s="391" t="s">
        <v>218</v>
      </c>
      <c r="AH38" s="393">
        <v>45292</v>
      </c>
      <c r="AI38" s="393">
        <v>45352</v>
      </c>
      <c r="AJ38" s="380"/>
    </row>
    <row r="39" spans="1:36" ht="15" customHeight="1" x14ac:dyDescent="0.35">
      <c r="A39" s="354">
        <f>IF(E39="","",IF(E39="-","-",MAX($A$4:$A38)+1))</f>
        <v>34</v>
      </c>
      <c r="B39" s="365" t="s">
        <v>139</v>
      </c>
      <c r="C39" s="365" t="s">
        <v>308</v>
      </c>
      <c r="D39" s="365" t="s">
        <v>108</v>
      </c>
      <c r="E39" s="355" t="s">
        <v>251</v>
      </c>
      <c r="F39" s="357"/>
      <c r="G39" s="476">
        <f t="shared" si="0"/>
        <v>34</v>
      </c>
      <c r="H39" s="366" t="s">
        <v>136</v>
      </c>
      <c r="I39" s="366" t="s">
        <v>136</v>
      </c>
      <c r="J39" s="366" t="s">
        <v>136</v>
      </c>
      <c r="K39" s="366" t="s">
        <v>136</v>
      </c>
      <c r="L39" s="366" t="s">
        <v>136</v>
      </c>
      <c r="M39" s="366"/>
      <c r="N39" s="366" t="s">
        <v>253</v>
      </c>
      <c r="O39" s="366" t="s">
        <v>254</v>
      </c>
      <c r="P39" s="357" t="s">
        <v>136</v>
      </c>
      <c r="Q39" s="357" t="s">
        <v>136</v>
      </c>
      <c r="X39" s="368">
        <v>45962</v>
      </c>
      <c r="Y39" s="369">
        <v>22</v>
      </c>
      <c r="Z39" s="369" t="s">
        <v>335</v>
      </c>
      <c r="AB39" s="341">
        <f>IF(MAX($AB$4:$AB38)=MAX($A$5:$A$74),"",MAX($AB$4:$AB38)+1)</f>
        <v>35</v>
      </c>
      <c r="AC39" s="363" t="str">
        <f t="shared" si="1"/>
        <v>Lincoln South Coast</v>
      </c>
      <c r="AE39" s="393">
        <v>45413</v>
      </c>
      <c r="AF39" s="391" t="str">
        <f t="shared" si="4"/>
        <v>2024-Q2</v>
      </c>
      <c r="AG39" s="391" t="s">
        <v>218</v>
      </c>
      <c r="AH39" s="393">
        <v>45323</v>
      </c>
      <c r="AI39" s="393">
        <v>45383</v>
      </c>
    </row>
    <row r="40" spans="1:36" ht="15" customHeight="1" x14ac:dyDescent="0.35">
      <c r="A40" s="354">
        <f>IF(E40="","",IF(E40="-","-",MAX($A$4:$A39)+1))</f>
        <v>35</v>
      </c>
      <c r="B40" s="365" t="s">
        <v>140</v>
      </c>
      <c r="C40" s="365" t="s">
        <v>311</v>
      </c>
      <c r="D40" s="365" t="s">
        <v>107</v>
      </c>
      <c r="E40" s="355" t="s">
        <v>251</v>
      </c>
      <c r="F40" s="357"/>
      <c r="G40" s="476">
        <f t="shared" si="0"/>
        <v>35</v>
      </c>
      <c r="H40" s="366" t="s">
        <v>137</v>
      </c>
      <c r="I40" s="366" t="s">
        <v>137</v>
      </c>
      <c r="J40" s="366" t="s">
        <v>137</v>
      </c>
      <c r="K40" s="366" t="s">
        <v>137</v>
      </c>
      <c r="L40" s="366" t="s">
        <v>137</v>
      </c>
      <c r="M40" s="366"/>
      <c r="N40" s="366" t="s">
        <v>253</v>
      </c>
      <c r="O40" s="366" t="s">
        <v>254</v>
      </c>
      <c r="P40" s="357" t="s">
        <v>137</v>
      </c>
      <c r="Q40" s="357" t="s">
        <v>137</v>
      </c>
      <c r="X40" s="368">
        <v>45992</v>
      </c>
      <c r="Y40" s="369">
        <v>22</v>
      </c>
      <c r="Z40" s="369" t="s">
        <v>336</v>
      </c>
      <c r="AB40" s="341">
        <f>IF(MAX($AB$4:$AB39)=MAX($A$5:$A$74),"",MAX($AB$4:$AB39)+1)</f>
        <v>36</v>
      </c>
      <c r="AC40" s="363" t="str">
        <f t="shared" si="1"/>
        <v>Mazda of Escondido</v>
      </c>
      <c r="AE40" s="393">
        <v>45444</v>
      </c>
      <c r="AF40" s="391" t="str">
        <f t="shared" si="4"/>
        <v>2024-Q2</v>
      </c>
      <c r="AG40" s="391" t="s">
        <v>218</v>
      </c>
      <c r="AH40" s="393">
        <v>45352</v>
      </c>
      <c r="AI40" s="393">
        <v>45413</v>
      </c>
    </row>
    <row r="41" spans="1:36" ht="15" customHeight="1" x14ac:dyDescent="0.35">
      <c r="A41" s="354">
        <f>IF(E41="","",IF(E41="-","-",MAX($A$4:$A40)+1))</f>
        <v>36</v>
      </c>
      <c r="B41" s="365" t="s">
        <v>142</v>
      </c>
      <c r="C41" s="365" t="s">
        <v>313</v>
      </c>
      <c r="D41" s="365" t="s">
        <v>108</v>
      </c>
      <c r="E41" s="355" t="s">
        <v>251</v>
      </c>
      <c r="F41" s="357"/>
      <c r="G41" s="476">
        <f t="shared" si="0"/>
        <v>36</v>
      </c>
      <c r="H41" s="366" t="s">
        <v>138</v>
      </c>
      <c r="I41" s="366" t="s">
        <v>138</v>
      </c>
      <c r="J41" s="366" t="s">
        <v>138</v>
      </c>
      <c r="K41" s="366" t="s">
        <v>138</v>
      </c>
      <c r="L41" s="366" t="s">
        <v>138</v>
      </c>
      <c r="M41" s="366"/>
      <c r="N41" s="366" t="s">
        <v>253</v>
      </c>
      <c r="O41" s="366" t="s">
        <v>254</v>
      </c>
      <c r="P41" s="357" t="s">
        <v>138</v>
      </c>
      <c r="Q41" s="357" t="s">
        <v>138</v>
      </c>
      <c r="AB41" s="341">
        <f>IF(MAX($AB$4:$AB40)=MAX($A$5:$A$74),"",MAX($AB$4:$AB40)+1)</f>
        <v>37</v>
      </c>
      <c r="AC41" s="363" t="str">
        <f t="shared" si="1"/>
        <v>Mercedes-Benz of Chandler</v>
      </c>
      <c r="AE41" s="393">
        <v>45474</v>
      </c>
      <c r="AF41" s="391" t="str">
        <f t="shared" si="4"/>
        <v>2024-Q3</v>
      </c>
      <c r="AG41" s="391" t="s">
        <v>219</v>
      </c>
      <c r="AH41" s="393">
        <v>45383</v>
      </c>
      <c r="AI41" s="393">
        <v>45444</v>
      </c>
    </row>
    <row r="42" spans="1:36" ht="15" customHeight="1" x14ac:dyDescent="0.35">
      <c r="A42" s="354">
        <f>IF(E42="","",IF(E42="-","-",MAX($A$4:$A41)+1))</f>
        <v>37</v>
      </c>
      <c r="B42" s="365" t="s">
        <v>143</v>
      </c>
      <c r="C42" s="365" t="s">
        <v>316</v>
      </c>
      <c r="D42" s="365" t="s">
        <v>16</v>
      </c>
      <c r="E42" s="355" t="s">
        <v>251</v>
      </c>
      <c r="F42" s="357"/>
      <c r="G42" s="476">
        <f t="shared" si="0"/>
        <v>37</v>
      </c>
      <c r="H42" s="366" t="s">
        <v>139</v>
      </c>
      <c r="I42" s="366" t="s">
        <v>139</v>
      </c>
      <c r="J42" s="366" t="s">
        <v>139</v>
      </c>
      <c r="K42" s="366" t="s">
        <v>139</v>
      </c>
      <c r="L42" s="366" t="s">
        <v>139</v>
      </c>
      <c r="M42" s="366"/>
      <c r="N42" s="366" t="s">
        <v>253</v>
      </c>
      <c r="O42" s="366" t="s">
        <v>254</v>
      </c>
      <c r="P42" s="357" t="s">
        <v>139</v>
      </c>
      <c r="Q42" s="357" t="s">
        <v>139</v>
      </c>
      <c r="AB42" s="341">
        <f>IF(MAX($AB$4:$AB41)=MAX($A$5:$A$74),"",MAX($AB$4:$AB41)+1)</f>
        <v>38</v>
      </c>
      <c r="AC42" s="363" t="str">
        <f t="shared" si="1"/>
        <v>Mercedes-Benz of North Scottsdale</v>
      </c>
      <c r="AE42" s="393">
        <v>45505</v>
      </c>
      <c r="AF42" s="391" t="str">
        <f t="shared" si="4"/>
        <v>2024-Q3</v>
      </c>
      <c r="AG42" s="391" t="s">
        <v>219</v>
      </c>
      <c r="AH42" s="393">
        <v>45413</v>
      </c>
      <c r="AI42" s="393">
        <v>45474</v>
      </c>
    </row>
    <row r="43" spans="1:36" ht="15" customHeight="1" x14ac:dyDescent="0.35">
      <c r="A43" s="354">
        <f>IF(E43="","",IF(E43="-","-",MAX($A$4:$A42)+1))</f>
        <v>38</v>
      </c>
      <c r="B43" s="378" t="s">
        <v>144</v>
      </c>
      <c r="C43" s="378" t="s">
        <v>316</v>
      </c>
      <c r="D43" s="378" t="s">
        <v>16</v>
      </c>
      <c r="E43" s="355" t="s">
        <v>251</v>
      </c>
      <c r="F43" s="357"/>
      <c r="G43" s="476">
        <f t="shared" si="0"/>
        <v>38</v>
      </c>
      <c r="H43" s="366" t="s">
        <v>140</v>
      </c>
      <c r="I43" s="366" t="s">
        <v>140</v>
      </c>
      <c r="J43" s="366" t="s">
        <v>140</v>
      </c>
      <c r="K43" s="366" t="s">
        <v>140</v>
      </c>
      <c r="L43" s="366" t="s">
        <v>140</v>
      </c>
      <c r="M43" s="366"/>
      <c r="N43" s="366" t="s">
        <v>253</v>
      </c>
      <c r="O43" s="366" t="s">
        <v>254</v>
      </c>
      <c r="P43" s="357" t="s">
        <v>140</v>
      </c>
      <c r="Q43" s="357" t="s">
        <v>140</v>
      </c>
      <c r="AB43" s="341">
        <f>IF(MAX($AB$4:$AB42)=MAX($A$5:$A$74),"",MAX($AB$4:$AB42)+1)</f>
        <v>39</v>
      </c>
      <c r="AC43" s="363" t="str">
        <f t="shared" si="1"/>
        <v>Mercedes-Benz of San Diego</v>
      </c>
      <c r="AE43" s="393">
        <v>45536</v>
      </c>
      <c r="AF43" s="391" t="str">
        <f t="shared" si="4"/>
        <v>2024-Q3</v>
      </c>
      <c r="AG43" s="391" t="s">
        <v>219</v>
      </c>
      <c r="AH43" s="393">
        <v>45444</v>
      </c>
      <c r="AI43" s="393">
        <v>45505</v>
      </c>
    </row>
    <row r="44" spans="1:36" ht="15" customHeight="1" x14ac:dyDescent="0.35">
      <c r="A44" s="354">
        <f>IF(E44="","",IF(E44="-","-",MAX($A$4:$A43)+1))</f>
        <v>39</v>
      </c>
      <c r="B44" s="365" t="s">
        <v>145</v>
      </c>
      <c r="C44" s="365" t="s">
        <v>316</v>
      </c>
      <c r="D44" s="365" t="s">
        <v>108</v>
      </c>
      <c r="E44" s="355" t="s">
        <v>251</v>
      </c>
      <c r="F44" s="357"/>
      <c r="G44" s="476">
        <f t="shared" si="0"/>
        <v>39</v>
      </c>
      <c r="H44" s="366" t="s">
        <v>142</v>
      </c>
      <c r="I44" s="366" t="s">
        <v>142</v>
      </c>
      <c r="J44" s="366" t="s">
        <v>142</v>
      </c>
      <c r="K44" s="366" t="s">
        <v>142</v>
      </c>
      <c r="L44" s="366" t="s">
        <v>142</v>
      </c>
      <c r="M44" s="366"/>
      <c r="N44" s="366" t="s">
        <v>253</v>
      </c>
      <c r="O44" s="366" t="s">
        <v>254</v>
      </c>
      <c r="P44" s="357" t="s">
        <v>142</v>
      </c>
      <c r="Q44" s="357" t="s">
        <v>142</v>
      </c>
      <c r="S44" s="382"/>
      <c r="U44" s="380"/>
      <c r="V44" s="380"/>
      <c r="AB44" s="341">
        <f>IF(MAX($AB$4:$AB43)=MAX($A$5:$A$74),"",MAX($AB$4:$AB43)+1)</f>
        <v>40</v>
      </c>
      <c r="AC44" s="363" t="str">
        <f t="shared" si="1"/>
        <v>MINI North Scottsdale</v>
      </c>
      <c r="AE44" s="393">
        <v>45566</v>
      </c>
      <c r="AF44" s="391" t="str">
        <f t="shared" si="4"/>
        <v>2024-Q4</v>
      </c>
      <c r="AG44" s="391" t="s">
        <v>220</v>
      </c>
      <c r="AH44" s="393">
        <v>45474</v>
      </c>
      <c r="AI44" s="393">
        <v>45536</v>
      </c>
    </row>
    <row r="45" spans="1:36" ht="15" customHeight="1" x14ac:dyDescent="0.35">
      <c r="A45" s="354">
        <f>IF(E45="","",IF(E45="-","-",MAX($A$4:$A44)+1))</f>
        <v>40</v>
      </c>
      <c r="B45" s="378" t="s">
        <v>146</v>
      </c>
      <c r="C45" s="378" t="s">
        <v>307</v>
      </c>
      <c r="D45" s="378" t="s">
        <v>16</v>
      </c>
      <c r="E45" s="355" t="s">
        <v>251</v>
      </c>
      <c r="F45" s="357"/>
      <c r="G45" s="476">
        <f t="shared" si="0"/>
        <v>40</v>
      </c>
      <c r="H45" s="366" t="s">
        <v>143</v>
      </c>
      <c r="I45" s="366" t="s">
        <v>143</v>
      </c>
      <c r="J45" s="366" t="s">
        <v>143</v>
      </c>
      <c r="K45" s="366" t="s">
        <v>143</v>
      </c>
      <c r="L45" s="366" t="s">
        <v>143</v>
      </c>
      <c r="M45" s="366"/>
      <c r="N45" s="366" t="s">
        <v>253</v>
      </c>
      <c r="O45" s="366" t="s">
        <v>254</v>
      </c>
      <c r="P45" s="357" t="s">
        <v>143</v>
      </c>
      <c r="Q45" s="357" t="s">
        <v>143</v>
      </c>
      <c r="AB45" s="341">
        <f>IF(MAX($AB$4:$AB44)=MAX($A$5:$A$74),"",MAX($AB$4:$AB44)+1)</f>
        <v>41</v>
      </c>
      <c r="AC45" s="363" t="str">
        <f t="shared" si="1"/>
        <v>MINI of Austin</v>
      </c>
      <c r="AE45" s="393">
        <v>45597</v>
      </c>
      <c r="AF45" s="391" t="str">
        <f t="shared" si="4"/>
        <v>2024-Q4</v>
      </c>
      <c r="AG45" s="391" t="s">
        <v>220</v>
      </c>
      <c r="AH45" s="393">
        <v>45505</v>
      </c>
      <c r="AI45" s="393">
        <v>45566</v>
      </c>
    </row>
    <row r="46" spans="1:36" ht="15" customHeight="1" x14ac:dyDescent="0.35">
      <c r="A46" s="354">
        <f>IF(E46="","",IF(E46="-","-",MAX($A$4:$A45)+1))</f>
        <v>41</v>
      </c>
      <c r="B46" s="365" t="s">
        <v>147</v>
      </c>
      <c r="C46" s="378" t="s">
        <v>307</v>
      </c>
      <c r="D46" s="365" t="s">
        <v>109</v>
      </c>
      <c r="E46" s="355" t="s">
        <v>251</v>
      </c>
      <c r="F46" s="357"/>
      <c r="G46" s="476">
        <f t="shared" si="0"/>
        <v>41</v>
      </c>
      <c r="H46" s="383" t="s">
        <v>144</v>
      </c>
      <c r="I46" s="383" t="s">
        <v>337</v>
      </c>
      <c r="J46" s="366" t="s">
        <v>144</v>
      </c>
      <c r="K46" s="366" t="s">
        <v>338</v>
      </c>
      <c r="L46" s="366" t="s">
        <v>144</v>
      </c>
      <c r="M46" s="366"/>
      <c r="N46" s="366" t="s">
        <v>253</v>
      </c>
      <c r="O46" s="366" t="s">
        <v>254</v>
      </c>
      <c r="P46" s="357" t="s">
        <v>144</v>
      </c>
      <c r="Q46" s="357" t="s">
        <v>144</v>
      </c>
      <c r="S46" s="382"/>
      <c r="U46" s="380"/>
      <c r="V46" s="380"/>
      <c r="AB46" s="341">
        <f>IF(MAX($AB$4:$AB45)=MAX($A$5:$A$74),"",MAX($AB$4:$AB45)+1)</f>
        <v>42</v>
      </c>
      <c r="AC46" s="363" t="str">
        <f t="shared" si="1"/>
        <v>MINI of Marin</v>
      </c>
      <c r="AE46" s="393">
        <v>45627</v>
      </c>
      <c r="AF46" s="391" t="str">
        <f t="shared" si="4"/>
        <v>2024-Q4</v>
      </c>
      <c r="AG46" s="391" t="s">
        <v>220</v>
      </c>
      <c r="AH46" s="393">
        <v>45536</v>
      </c>
      <c r="AI46" s="393">
        <v>45597</v>
      </c>
    </row>
    <row r="47" spans="1:36" ht="15" customHeight="1" x14ac:dyDescent="0.35">
      <c r="A47" s="354" t="s">
        <v>339</v>
      </c>
      <c r="B47" s="365" t="s">
        <v>340</v>
      </c>
      <c r="C47" s="384" t="s">
        <v>64</v>
      </c>
      <c r="D47" s="384" t="s">
        <v>64</v>
      </c>
      <c r="E47" s="355"/>
      <c r="F47" s="357"/>
      <c r="G47" s="476" t="str">
        <f t="shared" si="0"/>
        <v>14A</v>
      </c>
      <c r="H47" s="366" t="s">
        <v>145</v>
      </c>
      <c r="I47" s="366" t="s">
        <v>145</v>
      </c>
      <c r="J47" s="366" t="s">
        <v>145</v>
      </c>
      <c r="K47" s="366" t="s">
        <v>341</v>
      </c>
      <c r="L47" s="366" t="s">
        <v>145</v>
      </c>
      <c r="M47" s="366"/>
      <c r="N47" s="366" t="s">
        <v>253</v>
      </c>
      <c r="O47" s="366" t="s">
        <v>254</v>
      </c>
      <c r="P47" s="357" t="s">
        <v>145</v>
      </c>
      <c r="Q47" s="357" t="s">
        <v>145</v>
      </c>
      <c r="AB47" s="341">
        <f>IF(MAX($AB$4:$AB46)=MAX($A$5:$A$74),"",MAX($AB$4:$AB46)+1)</f>
        <v>43</v>
      </c>
      <c r="AC47" s="363" t="str">
        <f t="shared" si="1"/>
        <v>MINI of Ontario</v>
      </c>
      <c r="AE47" s="393">
        <v>45658</v>
      </c>
      <c r="AF47" s="391" t="str">
        <f t="shared" si="4"/>
        <v>2025-Q1</v>
      </c>
      <c r="AG47" s="391" t="s">
        <v>221</v>
      </c>
      <c r="AH47" s="393">
        <v>45566</v>
      </c>
      <c r="AI47" s="393">
        <v>45627</v>
      </c>
    </row>
    <row r="48" spans="1:36" ht="15" customHeight="1" x14ac:dyDescent="0.35">
      <c r="A48" s="354">
        <f>IF(E48="","",IF(E48="-","-",MAX($A$4:$A47)+1))</f>
        <v>42</v>
      </c>
      <c r="B48" s="365" t="s">
        <v>148</v>
      </c>
      <c r="C48" s="378" t="s">
        <v>307</v>
      </c>
      <c r="D48" s="365" t="s">
        <v>106</v>
      </c>
      <c r="E48" s="355" t="s">
        <v>251</v>
      </c>
      <c r="F48" s="357"/>
      <c r="G48" s="476">
        <f t="shared" si="0"/>
        <v>42</v>
      </c>
      <c r="H48" s="383" t="s">
        <v>146</v>
      </c>
      <c r="I48" s="383" t="s">
        <v>146</v>
      </c>
      <c r="J48" s="366" t="s">
        <v>146</v>
      </c>
      <c r="K48" s="366" t="s">
        <v>146</v>
      </c>
      <c r="L48" s="366" t="s">
        <v>146</v>
      </c>
      <c r="M48" s="366"/>
      <c r="N48" s="366" t="s">
        <v>253</v>
      </c>
      <c r="O48" s="366" t="s">
        <v>254</v>
      </c>
      <c r="P48" s="357" t="s">
        <v>146</v>
      </c>
      <c r="Q48" s="357" t="s">
        <v>146</v>
      </c>
      <c r="AB48" s="341">
        <f>IF(MAX($AB$4:$AB47)=MAX($A$5:$A$74),"",MAX($AB$4:$AB47)+1)</f>
        <v>44</v>
      </c>
      <c r="AC48" s="363" t="str">
        <f t="shared" si="1"/>
        <v>MINI of San Diego</v>
      </c>
      <c r="AE48" s="393">
        <v>45689</v>
      </c>
      <c r="AF48" s="391" t="str">
        <f t="shared" si="4"/>
        <v>2025-Q1</v>
      </c>
      <c r="AG48" s="391" t="s">
        <v>221</v>
      </c>
      <c r="AH48" s="393">
        <v>45597</v>
      </c>
      <c r="AI48" s="393">
        <v>45658</v>
      </c>
    </row>
    <row r="49" spans="1:35" ht="15" customHeight="1" x14ac:dyDescent="0.35">
      <c r="A49" s="354">
        <f>IF(E49="","",IF(E49="-","-",MAX($A$4:$A48)+1))</f>
        <v>43</v>
      </c>
      <c r="B49" s="365" t="s">
        <v>149</v>
      </c>
      <c r="C49" s="378" t="s">
        <v>307</v>
      </c>
      <c r="D49" s="365" t="s">
        <v>107</v>
      </c>
      <c r="E49" s="355" t="s">
        <v>251</v>
      </c>
      <c r="F49" s="357"/>
      <c r="G49" s="476">
        <f t="shared" si="0"/>
        <v>43</v>
      </c>
      <c r="H49" s="366" t="s">
        <v>147</v>
      </c>
      <c r="I49" s="366" t="s">
        <v>147</v>
      </c>
      <c r="J49" s="366" t="s">
        <v>147</v>
      </c>
      <c r="K49" s="366" t="s">
        <v>147</v>
      </c>
      <c r="L49" s="366" t="s">
        <v>147</v>
      </c>
      <c r="M49" s="366"/>
      <c r="N49" s="366" t="s">
        <v>253</v>
      </c>
      <c r="O49" s="366" t="s">
        <v>254</v>
      </c>
      <c r="P49" s="357" t="s">
        <v>147</v>
      </c>
      <c r="Q49" s="357" t="s">
        <v>147</v>
      </c>
      <c r="AB49" s="341">
        <f>IF(MAX($AB$4:$AB48)=MAX($A$5:$A$74),"",MAX($AB$4:$AB48)+1)</f>
        <v>45</v>
      </c>
      <c r="AC49" s="363" t="str">
        <f t="shared" si="1"/>
        <v>MINI of Tempe</v>
      </c>
      <c r="AE49" s="393">
        <v>45717</v>
      </c>
      <c r="AF49" s="391" t="str">
        <f t="shared" si="4"/>
        <v>2025-Q1</v>
      </c>
      <c r="AG49" s="391" t="s">
        <v>221</v>
      </c>
      <c r="AH49" s="393">
        <v>45627</v>
      </c>
      <c r="AI49" s="393">
        <v>45689</v>
      </c>
    </row>
    <row r="50" spans="1:35" ht="15" customHeight="1" x14ac:dyDescent="0.35">
      <c r="A50" s="354">
        <f>IF(E50="","",IF(E50="-","-",MAX($A$4:$A49)+1))</f>
        <v>44</v>
      </c>
      <c r="B50" s="365" t="s">
        <v>150</v>
      </c>
      <c r="C50" s="365" t="s">
        <v>307</v>
      </c>
      <c r="D50" s="365" t="s">
        <v>108</v>
      </c>
      <c r="E50" s="355" t="s">
        <v>251</v>
      </c>
      <c r="F50" s="357"/>
      <c r="G50" s="476">
        <f t="shared" si="0"/>
        <v>44</v>
      </c>
      <c r="H50" s="377" t="s">
        <v>340</v>
      </c>
      <c r="I50" s="377" t="s">
        <v>340</v>
      </c>
      <c r="J50" s="366" t="s">
        <v>340</v>
      </c>
      <c r="K50" s="377" t="s">
        <v>64</v>
      </c>
      <c r="L50" s="366" t="s">
        <v>122</v>
      </c>
      <c r="M50" s="366"/>
      <c r="N50" s="366" t="s">
        <v>253</v>
      </c>
      <c r="O50" s="366" t="s">
        <v>254</v>
      </c>
      <c r="P50" s="357" t="s">
        <v>122</v>
      </c>
      <c r="Q50" s="357" t="s">
        <v>122</v>
      </c>
      <c r="AB50" s="341">
        <f>IF(MAX($AB$4:$AB49)=MAX($A$5:$A$74),"",MAX($AB$4:$AB49)+1)</f>
        <v>46</v>
      </c>
      <c r="AC50" s="363" t="str">
        <f t="shared" si="1"/>
        <v>Motorwerks BMW</v>
      </c>
      <c r="AE50" s="393">
        <v>45748</v>
      </c>
      <c r="AF50" s="391" t="str">
        <f t="shared" si="4"/>
        <v>2025-Q2</v>
      </c>
      <c r="AG50" s="391" t="s">
        <v>222</v>
      </c>
      <c r="AH50" s="393">
        <v>45658</v>
      </c>
      <c r="AI50" s="393">
        <v>45717</v>
      </c>
    </row>
    <row r="51" spans="1:35" ht="15" customHeight="1" x14ac:dyDescent="0.35">
      <c r="A51" s="354">
        <f>IF(E51="","",IF(E51="-","-",MAX($A$4:$A50)+1))</f>
        <v>45</v>
      </c>
      <c r="B51" s="365" t="s">
        <v>151</v>
      </c>
      <c r="C51" s="378" t="s">
        <v>307</v>
      </c>
      <c r="D51" s="365" t="s">
        <v>16</v>
      </c>
      <c r="E51" s="355" t="s">
        <v>251</v>
      </c>
      <c r="F51" s="357"/>
      <c r="G51" s="476">
        <f t="shared" si="0"/>
        <v>45</v>
      </c>
      <c r="H51" s="366" t="s">
        <v>148</v>
      </c>
      <c r="I51" s="366" t="s">
        <v>148</v>
      </c>
      <c r="J51" s="366" t="s">
        <v>148</v>
      </c>
      <c r="K51" s="366" t="s">
        <v>148</v>
      </c>
      <c r="L51" s="366" t="s">
        <v>148</v>
      </c>
      <c r="M51" s="366"/>
      <c r="N51" s="366" t="s">
        <v>264</v>
      </c>
      <c r="O51" s="366" t="s">
        <v>254</v>
      </c>
      <c r="P51" s="357" t="s">
        <v>148</v>
      </c>
      <c r="Q51" s="357" t="s">
        <v>148</v>
      </c>
      <c r="AB51" s="341">
        <f>IF(MAX($AB$4:$AB50)=MAX($A$5:$A$74),"",MAX($AB$4:$AB50)+1)</f>
        <v>47</v>
      </c>
      <c r="AC51" s="363" t="str">
        <f t="shared" si="1"/>
        <v>Motorwerks MINI</v>
      </c>
      <c r="AE51" s="393">
        <v>45778</v>
      </c>
      <c r="AF51" s="391" t="str">
        <f t="shared" si="4"/>
        <v>2025-Q2</v>
      </c>
      <c r="AG51" s="391" t="s">
        <v>222</v>
      </c>
      <c r="AH51" s="393">
        <v>45689</v>
      </c>
      <c r="AI51" s="393">
        <v>45748</v>
      </c>
    </row>
    <row r="52" spans="1:35" ht="15" customHeight="1" x14ac:dyDescent="0.35">
      <c r="A52" s="354">
        <f>IF(E52="","",IF(E52="-","-",MAX($A$4:$A51)+1))</f>
        <v>46</v>
      </c>
      <c r="B52" s="365" t="s">
        <v>206</v>
      </c>
      <c r="C52" s="365" t="s">
        <v>288</v>
      </c>
      <c r="D52" s="365" t="s">
        <v>105</v>
      </c>
      <c r="E52" s="355" t="s">
        <v>251</v>
      </c>
      <c r="F52" s="357"/>
      <c r="G52" s="476">
        <f t="shared" si="0"/>
        <v>46</v>
      </c>
      <c r="H52" s="366" t="s">
        <v>149</v>
      </c>
      <c r="I52" s="366" t="s">
        <v>149</v>
      </c>
      <c r="J52" s="366" t="s">
        <v>149</v>
      </c>
      <c r="K52" s="366" t="s">
        <v>149</v>
      </c>
      <c r="L52" s="366" t="s">
        <v>149</v>
      </c>
      <c r="M52" s="366"/>
      <c r="N52" s="366" t="s">
        <v>253</v>
      </c>
      <c r="O52" s="366" t="s">
        <v>254</v>
      </c>
      <c r="P52" s="357" t="s">
        <v>149</v>
      </c>
      <c r="Q52" s="357" t="s">
        <v>149</v>
      </c>
      <c r="AB52" s="341">
        <f>IF(MAX($AB$4:$AB51)=MAX($A$5:$A$74),"",MAX($AB$4:$AB51)+1)</f>
        <v>48</v>
      </c>
      <c r="AC52" s="363" t="str">
        <f t="shared" si="1"/>
        <v>Penske Chevrolet</v>
      </c>
      <c r="AE52" s="393">
        <v>45809</v>
      </c>
      <c r="AF52" s="391" t="str">
        <f t="shared" si="4"/>
        <v>2025-Q2</v>
      </c>
      <c r="AG52" s="391" t="s">
        <v>222</v>
      </c>
      <c r="AH52" s="393">
        <v>45717</v>
      </c>
      <c r="AI52" s="393">
        <v>45778</v>
      </c>
    </row>
    <row r="53" spans="1:35" ht="15" customHeight="1" x14ac:dyDescent="0.35">
      <c r="A53" s="354">
        <f>IF(E53="","",IF(E53="-","-",MAX($A$4:$A52)+1))</f>
        <v>47</v>
      </c>
      <c r="B53" s="365" t="s">
        <v>207</v>
      </c>
      <c r="C53" s="365" t="s">
        <v>307</v>
      </c>
      <c r="D53" s="365" t="s">
        <v>105</v>
      </c>
      <c r="E53" s="355" t="s">
        <v>259</v>
      </c>
      <c r="F53" s="357"/>
      <c r="G53" s="476">
        <f t="shared" si="0"/>
        <v>47</v>
      </c>
      <c r="H53" s="366" t="s">
        <v>150</v>
      </c>
      <c r="I53" s="366" t="s">
        <v>150</v>
      </c>
      <c r="J53" s="366" t="s">
        <v>150</v>
      </c>
      <c r="K53" s="366" t="s">
        <v>150</v>
      </c>
      <c r="L53" s="366" t="s">
        <v>150</v>
      </c>
      <c r="M53" s="366"/>
      <c r="N53" s="366" t="s">
        <v>253</v>
      </c>
      <c r="O53" s="366" t="s">
        <v>254</v>
      </c>
      <c r="P53" s="357" t="s">
        <v>150</v>
      </c>
      <c r="Q53" s="357" t="s">
        <v>150</v>
      </c>
      <c r="AB53" s="341">
        <f>IF(MAX($AB$4:$AB52)=MAX($A$5:$A$74),"",MAX($AB$4:$AB52)+1)</f>
        <v>49</v>
      </c>
      <c r="AC53" s="363" t="str">
        <f t="shared" si="1"/>
        <v>Penske Honda</v>
      </c>
      <c r="AE53" s="393">
        <v>45839</v>
      </c>
      <c r="AF53" s="391" t="str">
        <f t="shared" si="4"/>
        <v>2025-Q3</v>
      </c>
      <c r="AG53" s="391" t="s">
        <v>223</v>
      </c>
      <c r="AH53" s="393">
        <v>45748</v>
      </c>
      <c r="AI53" s="393">
        <v>45809</v>
      </c>
    </row>
    <row r="54" spans="1:35" ht="15" customHeight="1" x14ac:dyDescent="0.35">
      <c r="A54" s="354">
        <f>IF(E54="","",IF(E54="-","-",MAX($A$4:$A53)+1))</f>
        <v>48</v>
      </c>
      <c r="B54" s="365" t="s">
        <v>208</v>
      </c>
      <c r="C54" s="365" t="s">
        <v>294</v>
      </c>
      <c r="D54" s="365" t="s">
        <v>104</v>
      </c>
      <c r="E54" s="355" t="s">
        <v>259</v>
      </c>
      <c r="F54" s="357"/>
      <c r="G54" s="476">
        <f t="shared" si="0"/>
        <v>48</v>
      </c>
      <c r="H54" s="366" t="s">
        <v>151</v>
      </c>
      <c r="I54" s="366" t="s">
        <v>151</v>
      </c>
      <c r="J54" s="366" t="s">
        <v>342</v>
      </c>
      <c r="K54" s="366" t="s">
        <v>151</v>
      </c>
      <c r="L54" s="366" t="s">
        <v>151</v>
      </c>
      <c r="M54" s="366"/>
      <c r="N54" s="366" t="s">
        <v>253</v>
      </c>
      <c r="O54" s="366" t="s">
        <v>254</v>
      </c>
      <c r="P54" s="357" t="s">
        <v>151</v>
      </c>
      <c r="Q54" s="357" t="s">
        <v>151</v>
      </c>
      <c r="AB54" s="341">
        <f>IF(MAX($AB$4:$AB53)=MAX($A$5:$A$74),"",MAX($AB$4:$AB53)+1)</f>
        <v>50</v>
      </c>
      <c r="AC54" s="363" t="str">
        <f t="shared" si="1"/>
        <v>Peter Pan BMW</v>
      </c>
      <c r="AE54" s="393">
        <v>45870</v>
      </c>
      <c r="AF54" s="391" t="str">
        <f t="shared" si="4"/>
        <v>2025-Q3</v>
      </c>
      <c r="AG54" s="391" t="s">
        <v>223</v>
      </c>
      <c r="AH54" s="393">
        <v>45778</v>
      </c>
      <c r="AI54" s="393">
        <v>45839</v>
      </c>
    </row>
    <row r="55" spans="1:35" ht="15" customHeight="1" x14ac:dyDescent="0.35">
      <c r="A55" s="354">
        <f>IF(E55="","",IF(E55="-","-",MAX($A$4:$A54)+1))</f>
        <v>49</v>
      </c>
      <c r="B55" s="365" t="s">
        <v>209</v>
      </c>
      <c r="C55" s="365" t="s">
        <v>301</v>
      </c>
      <c r="D55" s="365" t="s">
        <v>104</v>
      </c>
      <c r="E55" s="355" t="s">
        <v>259</v>
      </c>
      <c r="F55" s="357"/>
      <c r="G55" s="476">
        <f t="shared" si="0"/>
        <v>49</v>
      </c>
      <c r="H55" s="366" t="s">
        <v>206</v>
      </c>
      <c r="I55" s="366" t="s">
        <v>206</v>
      </c>
      <c r="J55" s="366" t="s">
        <v>206</v>
      </c>
      <c r="K55" s="366" t="s">
        <v>284</v>
      </c>
      <c r="L55" s="366" t="s">
        <v>206</v>
      </c>
      <c r="M55" s="366"/>
      <c r="N55" s="366" t="s">
        <v>284</v>
      </c>
      <c r="O55" s="366" t="s">
        <v>284</v>
      </c>
      <c r="P55" s="357" t="s">
        <v>206</v>
      </c>
      <c r="Q55" s="357" t="s">
        <v>206</v>
      </c>
      <c r="AB55" s="341">
        <f>IF(MAX($AB$4:$AB54)=MAX($A$5:$A$74),"",MAX($AB$4:$AB54)+1)</f>
        <v>51</v>
      </c>
      <c r="AC55" s="363" t="str">
        <f t="shared" si="1"/>
        <v>Porsche North Scottsdale</v>
      </c>
      <c r="AE55" s="393">
        <v>45901</v>
      </c>
      <c r="AF55" s="391" t="str">
        <f t="shared" si="4"/>
        <v>2025-Q3</v>
      </c>
      <c r="AG55" s="391" t="s">
        <v>223</v>
      </c>
      <c r="AH55" s="393">
        <v>45809</v>
      </c>
      <c r="AI55" s="393">
        <v>45870</v>
      </c>
    </row>
    <row r="56" spans="1:35" ht="15" customHeight="1" x14ac:dyDescent="0.35">
      <c r="A56" s="354">
        <f>IF(E56="","",IF(E56="-","-",MAX($A$4:$A55)+1))</f>
        <v>50</v>
      </c>
      <c r="B56" s="365" t="s">
        <v>152</v>
      </c>
      <c r="C56" s="365" t="s">
        <v>288</v>
      </c>
      <c r="D56" s="365" t="s">
        <v>106</v>
      </c>
      <c r="E56" s="355" t="s">
        <v>259</v>
      </c>
      <c r="F56" s="357"/>
      <c r="G56" s="476">
        <f t="shared" si="0"/>
        <v>50</v>
      </c>
      <c r="H56" s="366" t="s">
        <v>207</v>
      </c>
      <c r="I56" s="366" t="s">
        <v>207</v>
      </c>
      <c r="J56" s="366" t="s">
        <v>207</v>
      </c>
      <c r="K56" s="366" t="s">
        <v>284</v>
      </c>
      <c r="L56" s="366" t="s">
        <v>207</v>
      </c>
      <c r="M56" s="366"/>
      <c r="N56" s="366" t="s">
        <v>284</v>
      </c>
      <c r="O56" s="366" t="s">
        <v>284</v>
      </c>
      <c r="P56" s="357" t="s">
        <v>207</v>
      </c>
      <c r="Q56" s="357" t="s">
        <v>207</v>
      </c>
      <c r="AB56" s="341">
        <f>IF(MAX($AB$4:$AB55)=MAX($A$5:$A$74),"",MAX($AB$4:$AB55)+1)</f>
        <v>52</v>
      </c>
      <c r="AC56" s="363" t="str">
        <f t="shared" si="1"/>
        <v>Porsche Stevens Creek</v>
      </c>
      <c r="AE56" s="393">
        <v>45931</v>
      </c>
      <c r="AF56" s="391" t="str">
        <f t="shared" si="4"/>
        <v>2025-Q4</v>
      </c>
      <c r="AG56" s="391" t="s">
        <v>224</v>
      </c>
      <c r="AH56" s="393">
        <v>45839</v>
      </c>
      <c r="AI56" s="393">
        <v>45901</v>
      </c>
    </row>
    <row r="57" spans="1:35" x14ac:dyDescent="0.35">
      <c r="A57" s="354">
        <f>IF(E57="","",IF(E57="-","-",MAX($A$4:$A56)+1))</f>
        <v>51</v>
      </c>
      <c r="B57" s="365" t="s">
        <v>153</v>
      </c>
      <c r="C57" s="365" t="s">
        <v>321</v>
      </c>
      <c r="D57" s="365" t="s">
        <v>16</v>
      </c>
      <c r="E57" s="355" t="s">
        <v>251</v>
      </c>
      <c r="F57" s="357"/>
      <c r="G57" s="476">
        <f t="shared" si="0"/>
        <v>51</v>
      </c>
      <c r="H57" s="366" t="s">
        <v>208</v>
      </c>
      <c r="I57" s="366" t="s">
        <v>208</v>
      </c>
      <c r="J57" s="366" t="s">
        <v>208</v>
      </c>
      <c r="K57" s="366" t="s">
        <v>284</v>
      </c>
      <c r="L57" s="366" t="s">
        <v>208</v>
      </c>
      <c r="M57" s="366"/>
      <c r="N57" s="366" t="s">
        <v>284</v>
      </c>
      <c r="O57" s="366" t="s">
        <v>284</v>
      </c>
      <c r="P57" s="357" t="s">
        <v>208</v>
      </c>
      <c r="Q57" s="357" t="s">
        <v>208</v>
      </c>
      <c r="AB57" s="341">
        <f>IF(MAX($AB$4:$AB56)=MAX($A$5:$A$74),"",MAX($AB$4:$AB56)+1)</f>
        <v>53</v>
      </c>
      <c r="AC57" s="363" t="str">
        <f t="shared" si="1"/>
        <v>Round Rock Honda</v>
      </c>
      <c r="AE57" s="393">
        <v>45962</v>
      </c>
      <c r="AF57" s="391" t="str">
        <f t="shared" si="4"/>
        <v>2025-Q4</v>
      </c>
      <c r="AG57" s="391" t="s">
        <v>224</v>
      </c>
      <c r="AH57" s="393">
        <v>45870</v>
      </c>
      <c r="AI57" s="393">
        <v>45931</v>
      </c>
    </row>
    <row r="58" spans="1:35" x14ac:dyDescent="0.35">
      <c r="A58" s="354">
        <f>IF(E58="","",IF(E58="-","-",MAX($A$4:$A57)+1))</f>
        <v>52</v>
      </c>
      <c r="B58" s="365" t="s">
        <v>154</v>
      </c>
      <c r="C58" s="365" t="s">
        <v>321</v>
      </c>
      <c r="D58" s="365" t="s">
        <v>106</v>
      </c>
      <c r="E58" s="355" t="s">
        <v>251</v>
      </c>
      <c r="F58" s="357"/>
      <c r="G58" s="476">
        <f t="shared" si="0"/>
        <v>52</v>
      </c>
      <c r="H58" s="366" t="s">
        <v>209</v>
      </c>
      <c r="I58" s="366" t="s">
        <v>209</v>
      </c>
      <c r="J58" s="366" t="s">
        <v>209</v>
      </c>
      <c r="K58" s="366" t="s">
        <v>284</v>
      </c>
      <c r="L58" s="366" t="s">
        <v>209</v>
      </c>
      <c r="M58" s="366"/>
      <c r="N58" s="366" t="s">
        <v>284</v>
      </c>
      <c r="O58" s="366" t="s">
        <v>284</v>
      </c>
      <c r="P58" s="357" t="s">
        <v>209</v>
      </c>
      <c r="Q58" s="357" t="s">
        <v>209</v>
      </c>
      <c r="AB58" s="341">
        <f>IF(MAX($AB$4:$AB57)=MAX($A$5:$A$74),"",MAX($AB$4:$AB57)+1)</f>
        <v>54</v>
      </c>
      <c r="AC58" s="363" t="str">
        <f t="shared" si="1"/>
        <v>Round Rock Hyundai</v>
      </c>
      <c r="AE58" s="393">
        <v>45992</v>
      </c>
      <c r="AF58" s="391" t="str">
        <f t="shared" si="4"/>
        <v>2025-Q4</v>
      </c>
      <c r="AG58" s="391" t="s">
        <v>224</v>
      </c>
      <c r="AH58" s="393">
        <v>45901</v>
      </c>
      <c r="AI58" s="393">
        <v>45962</v>
      </c>
    </row>
    <row r="59" spans="1:35" x14ac:dyDescent="0.35">
      <c r="A59" s="354">
        <f>IF(E59="","",IF(E59="-","-",MAX($A$4:$A58)+1))</f>
        <v>53</v>
      </c>
      <c r="B59" s="365" t="s">
        <v>155</v>
      </c>
      <c r="C59" s="365" t="s">
        <v>301</v>
      </c>
      <c r="D59" s="365" t="s">
        <v>109</v>
      </c>
      <c r="E59" s="355" t="s">
        <v>251</v>
      </c>
      <c r="F59" s="357"/>
      <c r="G59" s="476">
        <f t="shared" si="0"/>
        <v>53</v>
      </c>
      <c r="H59" s="366" t="s">
        <v>152</v>
      </c>
      <c r="I59" s="366" t="s">
        <v>152</v>
      </c>
      <c r="J59" s="366" t="s">
        <v>152</v>
      </c>
      <c r="K59" s="366" t="s">
        <v>152</v>
      </c>
      <c r="L59" s="366" t="s">
        <v>152</v>
      </c>
      <c r="M59" s="366"/>
      <c r="N59" s="366" t="s">
        <v>253</v>
      </c>
      <c r="O59" s="366" t="s">
        <v>254</v>
      </c>
      <c r="P59" s="357" t="s">
        <v>152</v>
      </c>
      <c r="Q59" s="357" t="s">
        <v>152</v>
      </c>
      <c r="AB59" s="341">
        <f>IF(MAX($AB$4:$AB58)=MAX($A$5:$A$74),"",MAX($AB$4:$AB58)+1)</f>
        <v>55</v>
      </c>
      <c r="AC59" s="363" t="str">
        <f t="shared" si="1"/>
        <v>Round Rock Toyota</v>
      </c>
    </row>
    <row r="60" spans="1:35" ht="15" customHeight="1" x14ac:dyDescent="0.35">
      <c r="A60" s="354">
        <f>IF(E60="","",IF(E60="-","-",MAX($A$4:$A59)+1))</f>
        <v>54</v>
      </c>
      <c r="B60" s="365" t="s">
        <v>156</v>
      </c>
      <c r="C60" s="365" t="s">
        <v>303</v>
      </c>
      <c r="D60" s="365" t="s">
        <v>109</v>
      </c>
      <c r="E60" s="355" t="s">
        <v>251</v>
      </c>
      <c r="F60" s="357"/>
      <c r="G60" s="476">
        <f t="shared" si="0"/>
        <v>54</v>
      </c>
      <c r="H60" s="366" t="s">
        <v>153</v>
      </c>
      <c r="I60" s="366" t="s">
        <v>153</v>
      </c>
      <c r="J60" s="366" t="s">
        <v>153</v>
      </c>
      <c r="K60" s="366" t="s">
        <v>153</v>
      </c>
      <c r="L60" s="366" t="s">
        <v>153</v>
      </c>
      <c r="M60" s="366"/>
      <c r="N60" s="366" t="s">
        <v>253</v>
      </c>
      <c r="O60" s="366" t="s">
        <v>254</v>
      </c>
      <c r="P60" s="357" t="s">
        <v>153</v>
      </c>
      <c r="Q60" s="357" t="s">
        <v>153</v>
      </c>
      <c r="AB60" s="341">
        <f>IF(MAX($AB$4:$AB59)=MAX($A$5:$A$74),"",MAX($AB$4:$AB59)+1)</f>
        <v>56</v>
      </c>
      <c r="AC60" s="363" t="str">
        <f t="shared" si="1"/>
        <v>Scottsdale Ferrari Maserati</v>
      </c>
      <c r="AE60" s="391"/>
      <c r="AF60" s="391"/>
      <c r="AG60" s="391"/>
      <c r="AH60" s="395">
        <v>45566</v>
      </c>
      <c r="AI60" s="393"/>
    </row>
    <row r="61" spans="1:35" x14ac:dyDescent="0.35">
      <c r="A61" s="354">
        <f>IF(E61="","",IF(E61="-","-",MAX($A$4:$A60)+1))</f>
        <v>55</v>
      </c>
      <c r="B61" s="365" t="s">
        <v>157</v>
      </c>
      <c r="C61" s="365" t="s">
        <v>310</v>
      </c>
      <c r="D61" s="365" t="s">
        <v>109</v>
      </c>
      <c r="E61" s="355" t="s">
        <v>251</v>
      </c>
      <c r="F61" s="357"/>
      <c r="G61" s="476">
        <f t="shared" si="0"/>
        <v>55</v>
      </c>
      <c r="H61" s="366" t="s">
        <v>154</v>
      </c>
      <c r="I61" s="366" t="s">
        <v>154</v>
      </c>
      <c r="J61" s="366" t="s">
        <v>154</v>
      </c>
      <c r="K61" s="366" t="s">
        <v>154</v>
      </c>
      <c r="L61" s="366" t="s">
        <v>154</v>
      </c>
      <c r="M61" s="366"/>
      <c r="N61" s="366" t="s">
        <v>253</v>
      </c>
      <c r="O61" s="366" t="s">
        <v>254</v>
      </c>
      <c r="P61" s="357" t="s">
        <v>154</v>
      </c>
      <c r="Q61" s="357" t="s">
        <v>154</v>
      </c>
      <c r="AB61" s="341">
        <f>IF(MAX($AB$4:$AB60)=MAX($A$5:$A$74),"",MAX($AB$4:$AB60)+1)</f>
        <v>57</v>
      </c>
      <c r="AC61" s="363" t="str">
        <f t="shared" si="1"/>
        <v>Subaru Orange Coast</v>
      </c>
      <c r="AE61" s="390" t="s">
        <v>343</v>
      </c>
      <c r="AF61" s="391"/>
      <c r="AG61" s="391"/>
      <c r="AH61" s="395">
        <v>45597</v>
      </c>
    </row>
    <row r="62" spans="1:35" x14ac:dyDescent="0.35">
      <c r="A62" s="354">
        <f>IF(E62="","",IF(E62="-","-",MAX($A$4:$A61)+1))</f>
        <v>56</v>
      </c>
      <c r="B62" s="365" t="s">
        <v>158</v>
      </c>
      <c r="C62" s="370" t="s">
        <v>280</v>
      </c>
      <c r="D62" s="365" t="s">
        <v>16</v>
      </c>
      <c r="E62" s="355" t="s">
        <v>251</v>
      </c>
      <c r="F62" s="357"/>
      <c r="G62" s="476">
        <f t="shared" si="0"/>
        <v>56</v>
      </c>
      <c r="H62" s="366" t="s">
        <v>155</v>
      </c>
      <c r="I62" s="366" t="s">
        <v>155</v>
      </c>
      <c r="J62" s="366" t="s">
        <v>155</v>
      </c>
      <c r="K62" s="366" t="s">
        <v>155</v>
      </c>
      <c r="L62" s="366" t="s">
        <v>155</v>
      </c>
      <c r="M62" s="366"/>
      <c r="N62" s="366" t="s">
        <v>253</v>
      </c>
      <c r="O62" s="366" t="s">
        <v>254</v>
      </c>
      <c r="P62" s="357" t="s">
        <v>155</v>
      </c>
      <c r="Q62" s="357" t="s">
        <v>155</v>
      </c>
      <c r="AB62" s="341">
        <f>IF(MAX($AB$4:$AB61)=MAX($A$5:$A$74),"",MAX($AB$4:$AB61)+1)</f>
        <v>58</v>
      </c>
      <c r="AC62" s="363" t="str">
        <f t="shared" si="1"/>
        <v>Tempe Honda</v>
      </c>
      <c r="AE62" s="391">
        <v>3</v>
      </c>
      <c r="AF62" s="391"/>
      <c r="AG62" s="391"/>
      <c r="AH62" s="395">
        <v>45627</v>
      </c>
      <c r="AI62" s="396"/>
    </row>
    <row r="63" spans="1:35" x14ac:dyDescent="0.35">
      <c r="A63" s="354">
        <f>IF(E63="","",IF(E63="-","-",MAX($A$4:$A62)+1))</f>
        <v>57</v>
      </c>
      <c r="B63" s="365" t="s">
        <v>159</v>
      </c>
      <c r="C63" s="365" t="s">
        <v>323</v>
      </c>
      <c r="D63" s="365" t="s">
        <v>107</v>
      </c>
      <c r="E63" s="355" t="s">
        <v>251</v>
      </c>
      <c r="F63" s="357"/>
      <c r="G63" s="476">
        <f t="shared" si="0"/>
        <v>57</v>
      </c>
      <c r="H63" s="366" t="s">
        <v>156</v>
      </c>
      <c r="I63" s="366" t="s">
        <v>156</v>
      </c>
      <c r="J63" s="366" t="s">
        <v>344</v>
      </c>
      <c r="K63" s="366" t="s">
        <v>156</v>
      </c>
      <c r="L63" s="366" t="s">
        <v>156</v>
      </c>
      <c r="M63" s="366"/>
      <c r="N63" s="366" t="s">
        <v>253</v>
      </c>
      <c r="O63" s="366" t="s">
        <v>254</v>
      </c>
      <c r="P63" s="357" t="s">
        <v>156</v>
      </c>
      <c r="Q63" s="357" t="s">
        <v>156</v>
      </c>
      <c r="AB63" s="341">
        <f>IF(MAX($AB$4:$AB62)=MAX($A$5:$A$74),"",MAX($AB$4:$AB62)+1)</f>
        <v>59</v>
      </c>
      <c r="AC63" s="363" t="str">
        <f t="shared" si="1"/>
        <v>Toyota of Clovis</v>
      </c>
      <c r="AE63" s="391"/>
      <c r="AF63" s="391"/>
      <c r="AG63" s="391"/>
      <c r="AH63" s="392"/>
    </row>
    <row r="64" spans="1:35" x14ac:dyDescent="0.35">
      <c r="A64" s="354">
        <f>IF(E64="","",IF(E64="-","-",MAX($A$4:$A63)+1))</f>
        <v>58</v>
      </c>
      <c r="B64" s="365" t="s">
        <v>160</v>
      </c>
      <c r="C64" s="365" t="s">
        <v>301</v>
      </c>
      <c r="D64" s="365" t="s">
        <v>16</v>
      </c>
      <c r="E64" s="355" t="s">
        <v>251</v>
      </c>
      <c r="F64" s="357"/>
      <c r="G64" s="476">
        <f t="shared" si="0"/>
        <v>58</v>
      </c>
      <c r="H64" s="366" t="s">
        <v>157</v>
      </c>
      <c r="I64" s="366" t="s">
        <v>157</v>
      </c>
      <c r="J64" s="366" t="s">
        <v>157</v>
      </c>
      <c r="K64" s="366" t="s">
        <v>157</v>
      </c>
      <c r="L64" s="366" t="s">
        <v>157</v>
      </c>
      <c r="M64" s="366"/>
      <c r="N64" s="366" t="s">
        <v>253</v>
      </c>
      <c r="O64" s="366" t="s">
        <v>254</v>
      </c>
      <c r="P64" s="357" t="s">
        <v>157</v>
      </c>
      <c r="Q64" s="357" t="s">
        <v>157</v>
      </c>
      <c r="AB64" s="341">
        <f>IF(MAX($AB$4:$AB63)=MAX($A$5:$A$74),"",MAX($AB$4:$AB63)+1)</f>
        <v>60</v>
      </c>
      <c r="AC64" s="363" t="str">
        <f t="shared" si="1"/>
        <v>Toyota of Surprise</v>
      </c>
    </row>
    <row r="65" spans="1:32" x14ac:dyDescent="0.35">
      <c r="A65" s="354">
        <f>IF(E65="","",IF(E65="-","-",MAX($A$4:$A64)+1))</f>
        <v>59</v>
      </c>
      <c r="B65" s="365" t="s">
        <v>161</v>
      </c>
      <c r="C65" s="365" t="s">
        <v>310</v>
      </c>
      <c r="D65" s="365" t="s">
        <v>106</v>
      </c>
      <c r="E65" s="355" t="s">
        <v>251</v>
      </c>
      <c r="F65" s="357"/>
      <c r="G65" s="476">
        <f t="shared" si="0"/>
        <v>59</v>
      </c>
      <c r="H65" s="366" t="s">
        <v>158</v>
      </c>
      <c r="I65" s="366" t="s">
        <v>158</v>
      </c>
      <c r="J65" s="366" t="s">
        <v>345</v>
      </c>
      <c r="K65" s="366" t="s">
        <v>346</v>
      </c>
      <c r="L65" s="366" t="s">
        <v>158</v>
      </c>
      <c r="M65" s="366"/>
      <c r="N65" s="366" t="s">
        <v>253</v>
      </c>
      <c r="O65" s="366" t="s">
        <v>254</v>
      </c>
      <c r="P65" s="357" t="s">
        <v>158</v>
      </c>
      <c r="Q65" s="357" t="s">
        <v>158</v>
      </c>
      <c r="AB65" s="341">
        <f>IF(MAX($AB$4:$AB64)=MAX($A$5:$A$74),"",MAX($AB$4:$AB64)+1)</f>
        <v>61</v>
      </c>
      <c r="AC65" s="363" t="str">
        <f t="shared" si="1"/>
        <v>Volkswagen North Scottsdale</v>
      </c>
    </row>
    <row r="66" spans="1:32" x14ac:dyDescent="0.35">
      <c r="A66" s="354">
        <f>IF(E66="","",IF(E66="-","-",MAX($A$4:$A65)+1))</f>
        <v>60</v>
      </c>
      <c r="B66" s="365" t="s">
        <v>163</v>
      </c>
      <c r="C66" s="365" t="s">
        <v>310</v>
      </c>
      <c r="D66" s="365" t="s">
        <v>16</v>
      </c>
      <c r="E66" s="355" t="s">
        <v>251</v>
      </c>
      <c r="F66" s="357"/>
      <c r="G66" s="476">
        <f t="shared" si="0"/>
        <v>60</v>
      </c>
      <c r="H66" s="366" t="s">
        <v>159</v>
      </c>
      <c r="I66" s="366" t="s">
        <v>159</v>
      </c>
      <c r="J66" s="366" t="s">
        <v>159</v>
      </c>
      <c r="K66" s="366" t="s">
        <v>159</v>
      </c>
      <c r="L66" s="366" t="s">
        <v>159</v>
      </c>
      <c r="M66" s="366"/>
      <c r="N66" s="366" t="s">
        <v>253</v>
      </c>
      <c r="O66" s="366" t="s">
        <v>254</v>
      </c>
      <c r="P66" s="357" t="s">
        <v>159</v>
      </c>
      <c r="Q66" s="357" t="s">
        <v>159</v>
      </c>
      <c r="AB66" s="341">
        <f>IF(MAX($AB$4:$AB65)=MAX($A$5:$A$74),"",MAX($AB$4:$AB65)+1)</f>
        <v>62</v>
      </c>
      <c r="AC66" s="363" t="str">
        <f t="shared" si="1"/>
        <v>Volkswagen South Coast</v>
      </c>
    </row>
    <row r="67" spans="1:32" x14ac:dyDescent="0.35">
      <c r="A67" s="354">
        <f>IF(E67="","",IF(E67="-","-",MAX($A$4:$A66)+1))</f>
        <v>61</v>
      </c>
      <c r="B67" s="365" t="s">
        <v>164</v>
      </c>
      <c r="C67" s="365" t="s">
        <v>327</v>
      </c>
      <c r="D67" s="365" t="s">
        <v>16</v>
      </c>
      <c r="E67" s="355" t="s">
        <v>251</v>
      </c>
      <c r="F67" s="357"/>
      <c r="G67" s="476">
        <f t="shared" si="0"/>
        <v>61</v>
      </c>
      <c r="H67" s="366" t="s">
        <v>160</v>
      </c>
      <c r="I67" s="366" t="s">
        <v>160</v>
      </c>
      <c r="J67" s="366" t="s">
        <v>160</v>
      </c>
      <c r="K67" s="366" t="s">
        <v>160</v>
      </c>
      <c r="L67" s="366" t="s">
        <v>160</v>
      </c>
      <c r="M67" s="366"/>
      <c r="N67" s="366" t="s">
        <v>253</v>
      </c>
      <c r="O67" s="366" t="s">
        <v>254</v>
      </c>
      <c r="P67" s="357" t="s">
        <v>160</v>
      </c>
      <c r="Q67" s="357" t="s">
        <v>160</v>
      </c>
      <c r="AB67" s="341" t="str">
        <f>IF(MAX($AB$4:$AB66)=MAX($A$5:$A$74),"",MAX($AB$4:$AB66)+1)</f>
        <v/>
      </c>
      <c r="AC67" s="363" t="str">
        <f t="shared" si="1"/>
        <v/>
      </c>
    </row>
    <row r="68" spans="1:32" x14ac:dyDescent="0.35">
      <c r="A68" s="354">
        <f>IF(E68="","",IF(E68="-","-",MAX($A$4:$A67)+1))</f>
        <v>62</v>
      </c>
      <c r="B68" s="365" t="s">
        <v>165</v>
      </c>
      <c r="C68" s="365" t="s">
        <v>327</v>
      </c>
      <c r="D68" s="365" t="s">
        <v>107</v>
      </c>
      <c r="E68" s="355" t="s">
        <v>251</v>
      </c>
      <c r="F68" s="357"/>
      <c r="G68" s="476">
        <f t="shared" si="0"/>
        <v>62</v>
      </c>
      <c r="H68" s="366" t="s">
        <v>161</v>
      </c>
      <c r="I68" s="366" t="s">
        <v>161</v>
      </c>
      <c r="J68" s="366" t="s">
        <v>161</v>
      </c>
      <c r="K68" s="366" t="s">
        <v>161</v>
      </c>
      <c r="L68" s="366" t="s">
        <v>161</v>
      </c>
      <c r="M68" s="366"/>
      <c r="N68" s="366" t="s">
        <v>253</v>
      </c>
      <c r="O68" s="366" t="s">
        <v>254</v>
      </c>
      <c r="P68" s="357" t="s">
        <v>161</v>
      </c>
      <c r="Q68" s="357" t="s">
        <v>161</v>
      </c>
      <c r="AB68" s="341" t="str">
        <f>IF(MAX($AB$4:$AB67)=MAX($A$5:$A$74),"",MAX($AB$4:$AB67)+1)</f>
        <v/>
      </c>
      <c r="AC68" s="363" t="str">
        <f t="shared" si="1"/>
        <v/>
      </c>
    </row>
    <row r="69" spans="1:32" x14ac:dyDescent="0.35">
      <c r="A69" s="354" t="str">
        <f>IF(E69="","",IF(E69="-","-",MAX($A$4:$A68)+1))</f>
        <v/>
      </c>
      <c r="B69" s="365"/>
      <c r="C69" s="365"/>
      <c r="D69" s="365"/>
      <c r="E69" s="355"/>
      <c r="F69" s="357"/>
      <c r="G69" s="356"/>
      <c r="H69" s="366" t="s">
        <v>163</v>
      </c>
      <c r="I69" s="366" t="s">
        <v>163</v>
      </c>
      <c r="J69" s="366" t="s">
        <v>163</v>
      </c>
      <c r="K69" s="366" t="s">
        <v>163</v>
      </c>
      <c r="L69" s="366" t="s">
        <v>163</v>
      </c>
      <c r="M69" s="366"/>
      <c r="N69" s="366" t="s">
        <v>253</v>
      </c>
      <c r="O69" s="366" t="s">
        <v>254</v>
      </c>
      <c r="P69" s="357" t="s">
        <v>163</v>
      </c>
      <c r="Q69" s="357" t="s">
        <v>163</v>
      </c>
      <c r="AB69" s="341" t="str">
        <f>IF(MAX($AB$4:$AB68)=MAX($A$5:$A$74),"",MAX($AB$4:$AB68)+1)</f>
        <v/>
      </c>
      <c r="AC69" s="363" t="str">
        <f t="shared" si="1"/>
        <v/>
      </c>
    </row>
    <row r="70" spans="1:32" x14ac:dyDescent="0.35">
      <c r="A70" s="354" t="str">
        <f>IF(E70="","",IF(E70="-","-",MAX($A$4:$A69)+1))</f>
        <v/>
      </c>
      <c r="B70" s="365"/>
      <c r="C70" s="365"/>
      <c r="D70" s="365"/>
      <c r="E70" s="355"/>
      <c r="F70" s="357"/>
      <c r="G70" s="356"/>
      <c r="H70" s="366" t="s">
        <v>164</v>
      </c>
      <c r="I70" s="366" t="s">
        <v>164</v>
      </c>
      <c r="J70" s="366" t="s">
        <v>164</v>
      </c>
      <c r="K70" s="366" t="s">
        <v>164</v>
      </c>
      <c r="L70" s="366" t="s">
        <v>164</v>
      </c>
      <c r="M70" s="366"/>
      <c r="N70" s="366" t="s">
        <v>253</v>
      </c>
      <c r="O70" s="366" t="s">
        <v>254</v>
      </c>
      <c r="P70" s="357" t="s">
        <v>164</v>
      </c>
      <c r="Q70" s="357" t="s">
        <v>164</v>
      </c>
      <c r="AB70" s="341" t="str">
        <f>IF(MAX($AB$4:$AB69)=MAX($A$5:$A$74),"",MAX($AB$4:$AB69)+1)</f>
        <v/>
      </c>
      <c r="AC70" s="363" t="str">
        <f t="shared" ref="AC70:AC74" si="5">IF(AB70="","",IFERROR(VLOOKUP(AB70,$A$5:$B$74,2,FALSE),""))</f>
        <v/>
      </c>
    </row>
    <row r="71" spans="1:32" x14ac:dyDescent="0.35">
      <c r="A71" s="354" t="str">
        <f>IF(E71="","",IF(E71="-","-",MAX($A$4:$A70)+1))</f>
        <v/>
      </c>
      <c r="B71" s="365"/>
      <c r="C71" s="365"/>
      <c r="D71" s="365"/>
      <c r="E71" s="355"/>
      <c r="F71" s="357"/>
      <c r="G71" s="356"/>
      <c r="H71" s="366" t="s">
        <v>165</v>
      </c>
      <c r="I71" s="366" t="s">
        <v>165</v>
      </c>
      <c r="J71" s="366" t="s">
        <v>165</v>
      </c>
      <c r="K71" s="366" t="s">
        <v>165</v>
      </c>
      <c r="L71" s="366" t="s">
        <v>165</v>
      </c>
      <c r="M71" s="366"/>
      <c r="N71" s="366" t="s">
        <v>253</v>
      </c>
      <c r="O71" s="366" t="s">
        <v>254</v>
      </c>
      <c r="P71" s="357" t="s">
        <v>165</v>
      </c>
      <c r="Q71" s="357" t="s">
        <v>165</v>
      </c>
      <c r="AB71" s="341" t="str">
        <f>IF(MAX($AB$4:$AB70)=MAX($A$5:$A$74),"",MAX($AB$4:$AB70)+1)</f>
        <v/>
      </c>
      <c r="AC71" s="363" t="str">
        <f t="shared" si="5"/>
        <v/>
      </c>
    </row>
    <row r="72" spans="1:32" x14ac:dyDescent="0.35">
      <c r="A72" s="354" t="str">
        <f>IF(E72="","",IF(E72="-","-",MAX($A$4:$A71)+1))</f>
        <v/>
      </c>
      <c r="B72" s="365"/>
      <c r="C72" s="365"/>
      <c r="D72" s="365"/>
      <c r="E72" s="365"/>
      <c r="F72" s="357"/>
      <c r="G72" s="357" t="s">
        <v>211</v>
      </c>
      <c r="H72" s="366"/>
      <c r="I72" s="366"/>
      <c r="J72" s="366"/>
      <c r="K72" s="366"/>
      <c r="L72" s="366"/>
      <c r="M72" s="366"/>
      <c r="N72" s="366"/>
      <c r="O72" s="366"/>
      <c r="P72" s="357" t="s">
        <v>211</v>
      </c>
      <c r="Q72" s="357"/>
      <c r="AB72" s="341" t="str">
        <f>IF(MAX($AB$4:$AB71)=MAX($A$5:$A$74),"",MAX($AB$4:$AB71)+1)</f>
        <v/>
      </c>
      <c r="AC72" s="363" t="str">
        <f t="shared" si="5"/>
        <v/>
      </c>
      <c r="AF72" s="385"/>
    </row>
    <row r="73" spans="1:32" x14ac:dyDescent="0.35">
      <c r="A73" s="354" t="str">
        <f>IF(E73="","",IF(E73="-","-",MAX($A$4:$A72)+1))</f>
        <v/>
      </c>
      <c r="B73" s="365"/>
      <c r="C73" s="365"/>
      <c r="D73" s="365"/>
      <c r="E73" s="365"/>
      <c r="F73" s="357"/>
      <c r="G73" s="357" t="s">
        <v>211</v>
      </c>
      <c r="H73" s="366"/>
      <c r="I73" s="366"/>
      <c r="J73" s="366"/>
      <c r="K73" s="366"/>
      <c r="L73" s="366"/>
      <c r="M73" s="366"/>
      <c r="N73" s="366"/>
      <c r="O73" s="366"/>
      <c r="P73" s="357" t="s">
        <v>211</v>
      </c>
      <c r="Q73" s="357"/>
      <c r="AA73" s="338"/>
      <c r="AB73" s="341" t="str">
        <f>IF(MAX($AB$4:$AB72)=MAX($A$5:$A$74),"",MAX($AB$4:$AB72)+1)</f>
        <v/>
      </c>
      <c r="AC73" s="363" t="str">
        <f t="shared" si="5"/>
        <v/>
      </c>
      <c r="AF73" s="385"/>
    </row>
    <row r="74" spans="1:32" x14ac:dyDescent="0.35">
      <c r="A74" s="354" t="str">
        <f>IF(E74="","",IF(E74="-","-",MAX($A$4:$A73)+1))</f>
        <v/>
      </c>
      <c r="B74" s="365"/>
      <c r="C74" s="365"/>
      <c r="D74" s="365"/>
      <c r="E74" s="365"/>
      <c r="F74" s="357"/>
      <c r="G74" s="357" t="s">
        <v>211</v>
      </c>
      <c r="H74" s="366"/>
      <c r="I74" s="366"/>
      <c r="J74" s="366"/>
      <c r="K74" s="366"/>
      <c r="L74" s="366"/>
      <c r="M74" s="366"/>
      <c r="N74" s="366"/>
      <c r="O74" s="366"/>
      <c r="P74" s="357" t="s">
        <v>211</v>
      </c>
      <c r="Q74" s="357"/>
      <c r="Y74" s="343"/>
      <c r="AA74"/>
      <c r="AB74" s="341" t="str">
        <f>IF(MAX($AB$4:$AB73)=MAX($A$5:$A$74),"",MAX($AB$4:$AB73)+1)</f>
        <v/>
      </c>
      <c r="AC74" s="363" t="str">
        <f t="shared" si="5"/>
        <v/>
      </c>
      <c r="AF74" s="385"/>
    </row>
    <row r="75" spans="1:32" x14ac:dyDescent="0.35">
      <c r="AA75" s="385"/>
      <c r="AF75" s="385"/>
    </row>
    <row r="76" spans="1:32" x14ac:dyDescent="0.35">
      <c r="AA76"/>
      <c r="AF76" s="385"/>
    </row>
    <row r="78" spans="1:32" ht="16" thickBot="1" x14ac:dyDescent="0.4">
      <c r="B78" s="386" t="s">
        <v>347</v>
      </c>
      <c r="C78" s="386" t="s">
        <v>348</v>
      </c>
      <c r="D78" s="387"/>
      <c r="E78" s="388"/>
    </row>
    <row r="79" spans="1:32" x14ac:dyDescent="0.35">
      <c r="B79" s="355" t="s">
        <v>349</v>
      </c>
      <c r="C79" s="355" t="s">
        <v>349</v>
      </c>
    </row>
    <row r="80" spans="1:32" x14ac:dyDescent="0.35">
      <c r="B80" s="365" t="s">
        <v>350</v>
      </c>
      <c r="C80" s="365" t="s">
        <v>350</v>
      </c>
      <c r="S80" s="343"/>
    </row>
    <row r="81" spans="2:19" x14ac:dyDescent="0.35">
      <c r="B81" s="365" t="s">
        <v>351</v>
      </c>
      <c r="C81" s="365" t="s">
        <v>352</v>
      </c>
      <c r="S81" s="343"/>
    </row>
    <row r="82" spans="2:19" x14ac:dyDescent="0.35">
      <c r="B82" s="365" t="s">
        <v>353</v>
      </c>
      <c r="C82" s="365" t="s">
        <v>354</v>
      </c>
      <c r="S82" s="343"/>
    </row>
    <row r="83" spans="2:19" x14ac:dyDescent="0.35">
      <c r="S83" s="343"/>
    </row>
    <row r="84" spans="2:19" x14ac:dyDescent="0.35">
      <c r="S84" s="343"/>
    </row>
    <row r="86" spans="2:19" hidden="1" x14ac:dyDescent="0.35">
      <c r="B86" s="389" t="s">
        <v>172</v>
      </c>
      <c r="C86" s="387"/>
      <c r="D86" s="387"/>
      <c r="E86" s="388"/>
      <c r="F86" s="387"/>
      <c r="G86" s="387"/>
      <c r="H86" s="387"/>
      <c r="I86" s="387"/>
      <c r="N86" s="387"/>
      <c r="O86" s="387"/>
      <c r="P86" s="387"/>
      <c r="Q86" s="387"/>
    </row>
    <row r="87" spans="2:19" hidden="1" x14ac:dyDescent="0.35">
      <c r="B87" s="342" t="s">
        <v>251</v>
      </c>
    </row>
    <row r="88" spans="2:19" hidden="1" x14ac:dyDescent="0.35">
      <c r="B88" s="342" t="s">
        <v>16</v>
      </c>
    </row>
    <row r="89" spans="2:19" hidden="1" x14ac:dyDescent="0.35">
      <c r="B89" s="342" t="s">
        <v>106</v>
      </c>
    </row>
    <row r="90" spans="2:19" hidden="1" x14ac:dyDescent="0.35">
      <c r="B90" s="342" t="s">
        <v>107</v>
      </c>
    </row>
    <row r="91" spans="2:19" hidden="1" x14ac:dyDescent="0.35">
      <c r="B91" s="342" t="s">
        <v>108</v>
      </c>
    </row>
    <row r="92" spans="2:19" hidden="1" x14ac:dyDescent="0.35">
      <c r="B92" s="342" t="s">
        <v>109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28B2-085A-2C41-B972-A8C290EE57CA}">
  <sheetPr codeName="Sheet4">
    <pageSetUpPr fitToPage="1"/>
  </sheetPr>
  <dimension ref="B1:AA126"/>
  <sheetViews>
    <sheetView showGridLines="0" workbookViewId="0">
      <selection activeCell="B5" sqref="B5"/>
    </sheetView>
  </sheetViews>
  <sheetFormatPr defaultColWidth="10.83203125" defaultRowHeight="15.5" x14ac:dyDescent="0.35"/>
  <cols>
    <col min="1" max="1" width="1.83203125" style="240" customWidth="1"/>
    <col min="2" max="2" width="42.83203125" style="240" customWidth="1"/>
    <col min="3" max="3" width="15.33203125" style="241" customWidth="1"/>
    <col min="4" max="4" width="15.33203125" style="240" customWidth="1"/>
    <col min="5" max="6" width="15.33203125" style="241" customWidth="1"/>
    <col min="7" max="7" width="15.33203125" style="240" customWidth="1"/>
    <col min="8" max="8" width="15.33203125" style="241" customWidth="1"/>
    <col min="9" max="9" width="18.83203125" style="241" customWidth="1"/>
    <col min="10" max="10" width="18.83203125" style="240" customWidth="1"/>
    <col min="11" max="12" width="13.33203125" style="241" customWidth="1"/>
    <col min="13" max="13" width="13.33203125" style="240" customWidth="1"/>
    <col min="14" max="15" width="13.33203125" style="241" customWidth="1"/>
    <col min="16" max="21" width="13.33203125" style="240" customWidth="1"/>
    <col min="22" max="25" width="13.33203125" style="242" hidden="1" customWidth="1"/>
    <col min="26" max="26" width="10.83203125" style="240" customWidth="1"/>
    <col min="27" max="16384" width="10.83203125" style="240"/>
  </cols>
  <sheetData>
    <row r="1" spans="2:25" ht="10" customHeight="1" x14ac:dyDescent="0.35"/>
    <row r="2" spans="2:25" ht="30" x14ac:dyDescent="0.6">
      <c r="B2" s="2" t="s">
        <v>355</v>
      </c>
    </row>
    <row r="3" spans="2:25" ht="25" x14ac:dyDescent="0.5">
      <c r="B3" s="248" t="s">
        <v>356</v>
      </c>
    </row>
    <row r="4" spans="2:25" ht="20.5" thickBot="1" x14ac:dyDescent="0.45">
      <c r="B4" s="249"/>
    </row>
    <row r="5" spans="2:25" s="245" customFormat="1" ht="25" customHeight="1" thickTop="1" x14ac:dyDescent="0.35">
      <c r="B5" s="274" t="s">
        <v>357</v>
      </c>
      <c r="C5" s="494" t="s">
        <v>358</v>
      </c>
      <c r="D5" s="495"/>
      <c r="V5" s="246"/>
      <c r="W5" s="246"/>
      <c r="X5" s="246"/>
      <c r="Y5" s="246"/>
    </row>
    <row r="6" spans="2:25" s="245" customFormat="1" ht="25" customHeight="1" thickBot="1" x14ac:dyDescent="0.4">
      <c r="B6" s="275" t="s">
        <v>359</v>
      </c>
      <c r="C6" s="496"/>
      <c r="D6" s="497"/>
    </row>
    <row r="7" spans="2:25" s="245" customFormat="1" ht="20.149999999999999" customHeight="1" thickTop="1" x14ac:dyDescent="0.35">
      <c r="B7" s="271" t="s">
        <v>360</v>
      </c>
      <c r="C7" s="278">
        <f>WORKSHEET!C97</f>
        <v>45627</v>
      </c>
      <c r="D7" s="277">
        <f>WORKSHEET!C96</f>
        <v>45658</v>
      </c>
      <c r="E7" s="277">
        <f>WORKSHEET!C95</f>
        <v>45689</v>
      </c>
      <c r="F7" s="277">
        <f>WORKSHEET!C94</f>
        <v>45717</v>
      </c>
      <c r="G7" s="277">
        <f>WORKSHEET!C93</f>
        <v>45748</v>
      </c>
      <c r="H7" s="276">
        <f>WORKSHEET!C92</f>
        <v>45778</v>
      </c>
      <c r="W7" s="246" t="s">
        <v>361</v>
      </c>
    </row>
    <row r="8" spans="2:25" s="245" customFormat="1" ht="20.149999999999999" customHeight="1" x14ac:dyDescent="0.35">
      <c r="B8" s="250" t="s">
        <v>2</v>
      </c>
      <c r="C8" s="279" t="str">
        <f>IF(AND(C103&lt;&gt;"",C104&lt;&gt;""),VLOOKUP(C103&amp;" - "&amp;TEXT(C7,"mmm-yy"),'LEGEND&amp;DATA'!$F$102:$AB$119,2,FALSE),"")</f>
        <v/>
      </c>
      <c r="D8" s="280" t="str">
        <f>IF(AND(C103&lt;&gt;"",C104&lt;&gt;""),VLOOKUP(C103&amp;" - "&amp;TEXT(D7,"mmm-yy"),'LEGEND&amp;DATA'!$F$102:$AB$119,2,FALSE),"")</f>
        <v/>
      </c>
      <c r="E8" s="280" t="str">
        <f>IF(AND(C103&lt;&gt;"",C104&lt;&gt;""),VLOOKUP(C103&amp;" - "&amp;TEXT(E7,"mmm-yy"),'LEGEND&amp;DATA'!$F$102:$AB$119,2,FALSE),"")</f>
        <v/>
      </c>
      <c r="F8" s="280" t="str">
        <f>IF(AND(C103&lt;&gt;"",C104&lt;&gt;""),VLOOKUP(C103&amp;" - "&amp;TEXT(F7,"mmm-yy"),'LEGEND&amp;DATA'!$F$102:$AB$119,2,FALSE),"")</f>
        <v/>
      </c>
      <c r="G8" s="280" t="str">
        <f>IF(AND(C103&lt;&gt;"",C104&lt;&gt;""),VLOOKUP(C103&amp;" - "&amp;TEXT(G7,"mmm-yy"),'LEGEND&amp;DATA'!$F$102:$AB$119,2,FALSE),"")</f>
        <v/>
      </c>
      <c r="H8" s="281" t="str">
        <f>IF(AND(C103&lt;&gt;"",C104&lt;&gt;""),VLOOKUP(C103&amp;" - "&amp;TEXT(H7,"mmm-yy"),'LEGEND&amp;DATA'!$F$102:$AB$119,2,FALSE),"")</f>
        <v/>
      </c>
      <c r="W8" s="245" t="s">
        <v>362</v>
      </c>
    </row>
    <row r="9" spans="2:25" s="245" customFormat="1" ht="20.149999999999999" customHeight="1" x14ac:dyDescent="0.35">
      <c r="B9" s="250" t="s">
        <v>363</v>
      </c>
      <c r="C9" s="282" t="str">
        <f>IF(AND(C103&lt;&gt;"",C104&lt;&gt;""),SUMIFS('LEGEND&amp;DATA'!$I$102:$I$119,'LEGEND&amp;DATA'!$F$102:$F$119,C103&amp;" - "&amp;TEXT(C7,"mmm-yy")),"")</f>
        <v/>
      </c>
      <c r="D9" s="283" t="str">
        <f>IF(AND(C103&lt;&gt;"",C104&lt;&gt;""),SUMIFS('LEGEND&amp;DATA'!$I$102:$I$119,'LEGEND&amp;DATA'!$F$102:$F$119,C103&amp;" - "&amp;TEXT(D7,"mmm-yy")),"")</f>
        <v/>
      </c>
      <c r="E9" s="283" t="str">
        <f>IF(AND(C103&lt;&gt;"",C104&lt;&gt;""),SUMIFS('LEGEND&amp;DATA'!$I$102:$I$119,'LEGEND&amp;DATA'!$F$102:$F$119,C103&amp;" - "&amp;TEXT(E7,"mmm-yy")),"")</f>
        <v/>
      </c>
      <c r="F9" s="283" t="str">
        <f>IF(AND(C103&lt;&gt;"",C104&lt;&gt;""),SUMIFS('LEGEND&amp;DATA'!$I$102:$I$119,'LEGEND&amp;DATA'!$F$102:$F$119,C103&amp;" - "&amp;TEXT(F7,"mmm-yy")),"")</f>
        <v/>
      </c>
      <c r="G9" s="283" t="str">
        <f>IF(AND(C103&lt;&gt;"",C104&lt;&gt;""),SUMIFS('LEGEND&amp;DATA'!$I$102:$I$119,'LEGEND&amp;DATA'!$F$102:$F$119,C103&amp;" - "&amp;TEXT(G7,"mmm-yy")),"")</f>
        <v/>
      </c>
      <c r="H9" s="284" t="str">
        <f>IF(AND(C103&lt;&gt;"",C104&lt;&gt;""),SUMIFS('LEGEND&amp;DATA'!$I$102:$I$119,'LEGEND&amp;DATA'!$F$102:$F$119,C103&amp;" - "&amp;TEXT(H7,"mmm-yy")),"")</f>
        <v/>
      </c>
      <c r="W9" s="245" t="s">
        <v>359</v>
      </c>
    </row>
    <row r="10" spans="2:25" s="245" customFormat="1" ht="20.149999999999999" customHeight="1" x14ac:dyDescent="0.35">
      <c r="B10" s="250" t="s">
        <v>4</v>
      </c>
      <c r="C10" s="285" t="str">
        <f>IF(AND(C103&lt;&gt;"",C104&lt;&gt;""),SUMIFS('LEGEND&amp;DATA'!$M$102:$M$119,'LEGEND&amp;DATA'!$F$102:$F$119,C103&amp;" - "&amp;TEXT(C7,"mmm-yy")),"")</f>
        <v/>
      </c>
      <c r="D10" s="286" t="str">
        <f>IF(AND(C103&lt;&gt;"",C104&lt;&gt;""),SUMIFS('LEGEND&amp;DATA'!$M$102:$M$119,'LEGEND&amp;DATA'!$F$102:$F$119,C103&amp;" - "&amp;TEXT(D7,"mmm-yy")),"")</f>
        <v/>
      </c>
      <c r="E10" s="286" t="str">
        <f>IF(AND(C103&lt;&gt;"",C104&lt;&gt;""),SUMIFS('LEGEND&amp;DATA'!$M$102:$M$119,'LEGEND&amp;DATA'!$F$102:$F$119,C103&amp;" - "&amp;TEXT(E7,"mmm-yy")),"")</f>
        <v/>
      </c>
      <c r="F10" s="286" t="str">
        <f>IF(AND(C103&lt;&gt;"",C104&lt;&gt;""),SUMIFS('LEGEND&amp;DATA'!$M$102:$M$119,'LEGEND&amp;DATA'!$F$102:$F$119,C103&amp;" - "&amp;TEXT(F7,"mmm-yy")),"")</f>
        <v/>
      </c>
      <c r="G10" s="286" t="str">
        <f>IF(AND(C103&lt;&gt;"",C104&lt;&gt;""),SUMIFS('LEGEND&amp;DATA'!$M$102:$M$119,'LEGEND&amp;DATA'!$F$102:$F$119,C103&amp;" - "&amp;TEXT(G7,"mmm-yy")),"")</f>
        <v/>
      </c>
      <c r="H10" s="287" t="str">
        <f>IF(AND(C103&lt;&gt;"",C104&lt;&gt;""),SUMIFS('LEGEND&amp;DATA'!$M$102:$M$119,'LEGEND&amp;DATA'!$F$102:$F$119,C103&amp;" - "&amp;TEXT(H7,"mmm-yy")),"")</f>
        <v/>
      </c>
      <c r="W10" s="245" t="s">
        <v>364</v>
      </c>
    </row>
    <row r="11" spans="2:25" s="245" customFormat="1" ht="20.149999999999999" customHeight="1" x14ac:dyDescent="0.35">
      <c r="B11" s="251" t="s">
        <v>365</v>
      </c>
      <c r="C11" s="282" t="str">
        <f>IF(AND(C103&lt;&gt;"",C104&lt;&gt;""),SUMIFS('LEGEND&amp;DATA'!$O$102:$O$119,'LEGEND&amp;DATA'!$F$102:$F$119,C103&amp;" - "&amp;TEXT(C7,"mmm-yy")),"")</f>
        <v/>
      </c>
      <c r="D11" s="283" t="str">
        <f>IF(AND(C103&lt;&gt;"",C104&lt;&gt;""),SUMIFS('LEGEND&amp;DATA'!$O$102:$O$119,'LEGEND&amp;DATA'!$F$102:$F$119,C103&amp;" - "&amp;TEXT(D7,"mmm-yy")),"")</f>
        <v/>
      </c>
      <c r="E11" s="283" t="str">
        <f>IF(AND(C103&lt;&gt;"",C104&lt;&gt;""),SUMIFS('LEGEND&amp;DATA'!$O$102:$O$119,'LEGEND&amp;DATA'!$F$102:$F$119,C103&amp;" - "&amp;TEXT(E7,"mmm-yy")),"")</f>
        <v/>
      </c>
      <c r="F11" s="283" t="str">
        <f>IF(AND(C103&lt;&gt;"",C104&lt;&gt;""),SUMIFS('LEGEND&amp;DATA'!$O$102:$O$119,'LEGEND&amp;DATA'!$F$102:$F$119,C103&amp;" - "&amp;TEXT(F7,"mmm-yy")),"")</f>
        <v/>
      </c>
      <c r="G11" s="283" t="str">
        <f>IF(AND(C103&lt;&gt;"",C104&lt;&gt;""),SUMIFS('LEGEND&amp;DATA'!$O$102:$O$119,'LEGEND&amp;DATA'!$F$102:$F$119,C103&amp;" - "&amp;TEXT(G7,"mmm-yy")),"")</f>
        <v/>
      </c>
      <c r="H11" s="284" t="str">
        <f>IF(AND(C103&lt;&gt;"",C104&lt;&gt;""),SUMIFS('LEGEND&amp;DATA'!$O$102:$O$119,'LEGEND&amp;DATA'!$F$102:$F$119,C103&amp;" - "&amp;TEXT(H7,"mmm-yy")),"")</f>
        <v/>
      </c>
      <c r="W11" s="245" t="s">
        <v>366</v>
      </c>
    </row>
    <row r="12" spans="2:25" s="245" customFormat="1" ht="20.149999999999999" customHeight="1" x14ac:dyDescent="0.35">
      <c r="B12" s="250" t="s">
        <v>6</v>
      </c>
      <c r="C12" s="282" t="str">
        <f>IF(AND(C103&lt;&gt;"",C104&lt;&gt;""),SUMIFS('LEGEND&amp;DATA'!$Q$102:$Q$119,'LEGEND&amp;DATA'!$F$102:$F$119,C103&amp;" - "&amp;TEXT(C7,"mmm-yy")),"")</f>
        <v/>
      </c>
      <c r="D12" s="283" t="str">
        <f>IF(AND(C103&lt;&gt;"",C104&lt;&gt;""),SUMIFS('LEGEND&amp;DATA'!$Q$102:$Q$119,'LEGEND&amp;DATA'!$F$102:$F$119,C103&amp;" - "&amp;TEXT(D7,"mmm-yy")),"")</f>
        <v/>
      </c>
      <c r="E12" s="283" t="str">
        <f>IF(AND(C103&lt;&gt;"",C104&lt;&gt;""),SUMIFS('LEGEND&amp;DATA'!$Q$102:$Q$119,'LEGEND&amp;DATA'!$F$102:$F$119,C103&amp;" - "&amp;TEXT(E7,"mmm-yy")),"")</f>
        <v/>
      </c>
      <c r="F12" s="283" t="str">
        <f>IF(AND(C103&lt;&gt;"",C104&lt;&gt;""),SUMIFS('LEGEND&amp;DATA'!$Q$102:$Q$119,'LEGEND&amp;DATA'!$F$102:$F$119,C103&amp;" - "&amp;TEXT(F7,"mmm-yy")),"")</f>
        <v/>
      </c>
      <c r="G12" s="283" t="str">
        <f>IF(AND(C103&lt;&gt;"",C104&lt;&gt;""),SUMIFS('LEGEND&amp;DATA'!$Q$102:$Q$119,'LEGEND&amp;DATA'!$F$102:$F$119,C103&amp;" - "&amp;TEXT(G7,"mmm-yy")),"")</f>
        <v/>
      </c>
      <c r="H12" s="284" t="str">
        <f>IF(AND(C103&lt;&gt;"",C104&lt;&gt;""),SUMIFS('LEGEND&amp;DATA'!$Q$102:$Q$119,'LEGEND&amp;DATA'!$F$102:$F$119,C103&amp;" - "&amp;TEXT(H7,"mmm-yy")),"")</f>
        <v/>
      </c>
      <c r="W12" s="245" t="s">
        <v>367</v>
      </c>
    </row>
    <row r="13" spans="2:25" s="245" customFormat="1" ht="20.149999999999999" customHeight="1" x14ac:dyDescent="0.35">
      <c r="B13" s="250" t="s">
        <v>7</v>
      </c>
      <c r="C13" s="282" t="str">
        <f>IF(AND(C103&lt;&gt;"",C104&lt;&gt;""),SUMIFS('LEGEND&amp;DATA'!$S$102:$S$119,'LEGEND&amp;DATA'!$F$102:$F$119,C103&amp;" - "&amp;TEXT(C7,"mmm-yy")),"")</f>
        <v/>
      </c>
      <c r="D13" s="283" t="str">
        <f>IF(AND(C103&lt;&gt;"",C104&lt;&gt;""),SUMIFS('LEGEND&amp;DATA'!$S$102:$S$119,'LEGEND&amp;DATA'!$F$102:$F$119,C103&amp;" - "&amp;TEXT(D7,"mmm-yy")),"")</f>
        <v/>
      </c>
      <c r="E13" s="283" t="str">
        <f>IF(AND(C103&lt;&gt;"",C104&lt;&gt;""),SUMIFS('LEGEND&amp;DATA'!$S$102:$S$119,'LEGEND&amp;DATA'!$F$102:$F$119,C103&amp;" - "&amp;TEXT(E7,"mmm-yy")),"")</f>
        <v/>
      </c>
      <c r="F13" s="283" t="str">
        <f>IF(AND(C103&lt;&gt;"",C104&lt;&gt;""),SUMIFS('LEGEND&amp;DATA'!$S$102:$S$119,'LEGEND&amp;DATA'!$F$102:$F$119,C103&amp;" - "&amp;TEXT(F7,"mmm-yy")),"")</f>
        <v/>
      </c>
      <c r="G13" s="283" t="str">
        <f>IF(AND(C103&lt;&gt;"",C104&lt;&gt;""),SUMIFS('LEGEND&amp;DATA'!$S$102:$S$119,'LEGEND&amp;DATA'!$F$102:$F$119,C103&amp;" - "&amp;TEXT(G7,"mmm-yy")),"")</f>
        <v/>
      </c>
      <c r="H13" s="284" t="str">
        <f>IF(AND(C103&lt;&gt;"",C104&lt;&gt;""),SUMIFS('LEGEND&amp;DATA'!$S$102:$S$119,'LEGEND&amp;DATA'!$F$102:$F$119,C103&amp;" - "&amp;TEXT(H7,"mmm-yy")),"")</f>
        <v/>
      </c>
      <c r="W13" s="245" t="s">
        <v>368</v>
      </c>
    </row>
    <row r="14" spans="2:25" s="245" customFormat="1" ht="20.149999999999999" customHeight="1" x14ac:dyDescent="0.35">
      <c r="B14" s="250" t="s">
        <v>369</v>
      </c>
      <c r="C14" s="282" t="str">
        <f>IF(AND(C103&lt;&gt;"",C104&lt;&gt;""),VLOOKUP(C103&amp;" - "&amp;TEXT(C7,"mmm-yy"),'LEGEND&amp;DATA'!$F$102:$AB$119,16,FALSE),"")</f>
        <v/>
      </c>
      <c r="D14" s="283" t="str">
        <f>IF(AND(C103&lt;&gt;"",C104&lt;&gt;""),VLOOKUP(C103&amp;" - "&amp;TEXT(D7,"mmm-yy"),'LEGEND&amp;DATA'!$F$102:$AB$119,16,FALSE),"")</f>
        <v/>
      </c>
      <c r="E14" s="283" t="str">
        <f>IF(AND(C103&lt;&gt;"",C104&lt;&gt;""),VLOOKUP(C103&amp;" - "&amp;TEXT(E7,"mmm-yy"),'LEGEND&amp;DATA'!$F$102:$AB$119,16,FALSE),"")</f>
        <v/>
      </c>
      <c r="F14" s="283" t="str">
        <f>IF(AND(C103&lt;&gt;"",C104&lt;&gt;""),VLOOKUP(C103&amp;" - "&amp;TEXT(F7,"mmm-yy"),'LEGEND&amp;DATA'!$F$102:$AB$119,16,FALSE),"")</f>
        <v/>
      </c>
      <c r="G14" s="283" t="str">
        <f>IF(AND(C103&lt;&gt;"",C104&lt;&gt;""),VLOOKUP(C103&amp;" - "&amp;TEXT(G7,"mmm-yy"),'LEGEND&amp;DATA'!$F$102:$AB$119,16,FALSE),"")</f>
        <v/>
      </c>
      <c r="H14" s="284" t="str">
        <f>IF(AND(C103&lt;&gt;"",C104&lt;&gt;""),VLOOKUP(C103&amp;" - "&amp;TEXT(H7,"mmm-yy"),'LEGEND&amp;DATA'!$F$102:$AB$119,16,FALSE),"")</f>
        <v/>
      </c>
    </row>
    <row r="15" spans="2:25" s="245" customFormat="1" ht="20.149999999999999" customHeight="1" x14ac:dyDescent="0.35">
      <c r="B15" s="250" t="s">
        <v>10</v>
      </c>
      <c r="C15" s="282" t="str">
        <f>IF(AND(C103&lt;&gt;"",C104&lt;&gt;""),SUMIFS('LEGEND&amp;DATA'!$Y$102:$Y$119,'LEGEND&amp;DATA'!$F$102:$F$119,C103&amp;" - "&amp;TEXT(C7,"mmm-yy")),"")</f>
        <v/>
      </c>
      <c r="D15" s="283" t="str">
        <f>IF(AND(C103&lt;&gt;"",C104&lt;&gt;""),SUMIFS('LEGEND&amp;DATA'!$Y$102:$Y$119,'LEGEND&amp;DATA'!$F$102:$F$119,C103&amp;" - "&amp;TEXT(D7,"mmm-yy")),"")</f>
        <v/>
      </c>
      <c r="E15" s="283" t="str">
        <f>IF(AND(C103&lt;&gt;"",C104&lt;&gt;""),SUMIFS('LEGEND&amp;DATA'!$Y$102:$Y$119,'LEGEND&amp;DATA'!$F$102:$F$119,C103&amp;" - "&amp;TEXT(E7,"mmm-yy")),"")</f>
        <v/>
      </c>
      <c r="F15" s="283" t="str">
        <f>IF(AND(C103&lt;&gt;"",C104&lt;&gt;""),SUMIFS('LEGEND&amp;DATA'!$Y$102:$Y$119,'LEGEND&amp;DATA'!$F$102:$F$119,C103&amp;" - "&amp;TEXT(F7,"mmm-yy")),"")</f>
        <v/>
      </c>
      <c r="G15" s="283" t="str">
        <f>IF(AND(C103&lt;&gt;"",C104&lt;&gt;""),SUMIFS('LEGEND&amp;DATA'!$Y$102:$Y$119,'LEGEND&amp;DATA'!$F$102:$F$119,C103&amp;" - "&amp;TEXT(G7,"mmm-yy")),"")</f>
        <v/>
      </c>
      <c r="H15" s="284" t="str">
        <f>IF(AND(C103&lt;&gt;"",C104&lt;&gt;""),SUMIFS('LEGEND&amp;DATA'!$Y$102:$Y$119,'LEGEND&amp;DATA'!$F$102:$F$119,C103&amp;" - "&amp;TEXT(H7,"mmm-yy")),"")</f>
        <v/>
      </c>
    </row>
    <row r="16" spans="2:25" s="245" customFormat="1" ht="20.149999999999999" customHeight="1" x14ac:dyDescent="0.35">
      <c r="B16" s="250" t="s">
        <v>11</v>
      </c>
      <c r="C16" s="282" t="str">
        <f>IF(AND(C103&lt;&gt;"",C104&lt;&gt;""),SUMIFS('LEGEND&amp;DATA'!$AA$102:$AA$119,'LEGEND&amp;DATA'!$F$102:$F$119,C103&amp;" - "&amp;TEXT(C7,"mmm-yy")),"")</f>
        <v/>
      </c>
      <c r="D16" s="283" t="str">
        <f>IF(AND(C103&lt;&gt;"",C104&lt;&gt;""),SUMIFS('LEGEND&amp;DATA'!$AA$102:$AA$119,'LEGEND&amp;DATA'!$F$102:$F$119,C103&amp;" - "&amp;TEXT(D7,"mmm-yy")),"")</f>
        <v/>
      </c>
      <c r="E16" s="283" t="str">
        <f>IF(AND(C103&lt;&gt;"",C104&lt;&gt;""),SUMIFS('LEGEND&amp;DATA'!$AA$102:$AA$119,'LEGEND&amp;DATA'!$F$102:$F$119,C103&amp;" - "&amp;TEXT(E7,"mmm-yy")),"")</f>
        <v/>
      </c>
      <c r="F16" s="283" t="str">
        <f>IF(AND(C103&lt;&gt;"",C104&lt;&gt;""),SUMIFS('LEGEND&amp;DATA'!$AA$102:$AA$119,'LEGEND&amp;DATA'!$F$102:$F$119,C103&amp;" - "&amp;TEXT(F7,"mmm-yy")),"")</f>
        <v/>
      </c>
      <c r="G16" s="283" t="str">
        <f>IF(AND(C103&lt;&gt;"",C104&lt;&gt;""),SUMIFS('LEGEND&amp;DATA'!$AA$102:$AA$119,'LEGEND&amp;DATA'!$F$102:$F$119,C103&amp;" - "&amp;TEXT(G7,"mmm-yy")),"")</f>
        <v/>
      </c>
      <c r="H16" s="284" t="str">
        <f>IF(AND(C103&lt;&gt;"",C104&lt;&gt;""),SUMIFS('LEGEND&amp;DATA'!$AA$102:$AA$119,'LEGEND&amp;DATA'!$F$102:$F$119,C103&amp;" - "&amp;TEXT(H7,"mmm-yy")),"")</f>
        <v/>
      </c>
    </row>
    <row r="17" spans="2:25" s="245" customFormat="1" ht="20.149999999999999" customHeight="1" thickBot="1" x14ac:dyDescent="0.4">
      <c r="B17" s="336" t="s">
        <v>12</v>
      </c>
      <c r="C17" s="330" t="str">
        <f>IF(AND($C$103&lt;&gt;"",$C$104&lt;&gt;""),VLOOKUP($C$103&amp;" - "&amp;TEXT(C$7,"mmm-yy"),'LEGEND&amp;DATA'!$F$102:$AE$119,26,FALSE),"")</f>
        <v/>
      </c>
      <c r="D17" s="331" t="str">
        <f>IF(AND($C$103&lt;&gt;"",$C$104&lt;&gt;""),VLOOKUP($C$103&amp;" - "&amp;TEXT(D$7,"mmm-yy"),'LEGEND&amp;DATA'!$F$102:$AE$119,26,FALSE),"")</f>
        <v/>
      </c>
      <c r="E17" s="331" t="str">
        <f>IF(AND($C$103&lt;&gt;"",$C$104&lt;&gt;""),VLOOKUP($C$103&amp;" - "&amp;TEXT(E$7,"mmm-yy"),'LEGEND&amp;DATA'!$F$102:$AE$119,26,FALSE),"")</f>
        <v/>
      </c>
      <c r="F17" s="331" t="str">
        <f>IF(AND($C$103&lt;&gt;"",$C$104&lt;&gt;""),VLOOKUP($C$103&amp;" - "&amp;TEXT(F$7,"mmm-yy"),'LEGEND&amp;DATA'!$F$102:$AE$119,26,FALSE),"")</f>
        <v/>
      </c>
      <c r="G17" s="331" t="str">
        <f>IF(AND($C$103&lt;&gt;"",$C$104&lt;&gt;""),VLOOKUP($C$103&amp;" - "&amp;TEXT(G$7,"mmm-yy"),'LEGEND&amp;DATA'!$F$102:$AE$119,26,FALSE),"")</f>
        <v/>
      </c>
      <c r="H17" s="332" t="str">
        <f>IF(AND($C$103&lt;&gt;"",$C$104&lt;&gt;""),VLOOKUP($C$103&amp;" - "&amp;TEXT(H$7,"mmm-yy"),'LEGEND&amp;DATA'!$F$102:$AE$119,26,FALSE),"")</f>
        <v/>
      </c>
    </row>
    <row r="18" spans="2:25" ht="16" thickTop="1" x14ac:dyDescent="0.35"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V18" s="240"/>
      <c r="W18" s="240"/>
      <c r="X18" s="240"/>
      <c r="Y18" s="240"/>
    </row>
    <row r="19" spans="2:25" ht="16" thickBot="1" x14ac:dyDescent="0.4"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V19" s="272"/>
      <c r="W19" s="272"/>
      <c r="X19" s="240"/>
      <c r="Y19" s="240"/>
    </row>
    <row r="20" spans="2:25" ht="25" customHeight="1" thickTop="1" x14ac:dyDescent="0.35">
      <c r="B20" s="274" t="s">
        <v>357</v>
      </c>
      <c r="C20" s="494" t="s">
        <v>358</v>
      </c>
      <c r="D20" s="495"/>
      <c r="V20" s="272"/>
      <c r="W20" s="272"/>
      <c r="X20" s="240"/>
      <c r="Y20" s="240"/>
    </row>
    <row r="21" spans="2:25" ht="25" customHeight="1" thickBot="1" x14ac:dyDescent="0.4">
      <c r="B21" s="275" t="s">
        <v>359</v>
      </c>
      <c r="C21" s="496"/>
      <c r="D21" s="497"/>
      <c r="E21" s="245"/>
      <c r="F21" s="245"/>
      <c r="G21" s="245"/>
      <c r="H21" s="245"/>
      <c r="V21" s="272"/>
      <c r="W21" s="272"/>
      <c r="X21" s="240"/>
      <c r="Y21" s="240"/>
    </row>
    <row r="22" spans="2:25" ht="20.149999999999999" customHeight="1" thickTop="1" x14ac:dyDescent="0.35">
      <c r="B22" s="271" t="s">
        <v>360</v>
      </c>
      <c r="C22" s="278">
        <f>WORKSHEET!C103</f>
        <v>45627</v>
      </c>
      <c r="D22" s="277">
        <f>WORKSHEET!C102</f>
        <v>45658</v>
      </c>
      <c r="E22" s="277">
        <f>WORKSHEET!C101</f>
        <v>45689</v>
      </c>
      <c r="F22" s="277">
        <f>WORKSHEET!C100</f>
        <v>45717</v>
      </c>
      <c r="G22" s="277">
        <f>WORKSHEET!C99</f>
        <v>45748</v>
      </c>
      <c r="H22" s="276">
        <f>WORKSHEET!C98</f>
        <v>45778</v>
      </c>
      <c r="V22" s="240"/>
      <c r="W22" s="240"/>
      <c r="X22" s="240"/>
      <c r="Y22" s="240"/>
    </row>
    <row r="23" spans="2:25" ht="20.149999999999999" customHeight="1" x14ac:dyDescent="0.35">
      <c r="B23" s="250" t="s">
        <v>2</v>
      </c>
      <c r="C23" s="279" t="str">
        <f>IF(AND(D103&lt;&gt;"",D104&lt;&gt;""),VLOOKUP(D103&amp;" - "&amp;TEXT(C22,"mmm-yy"),'LEGEND&amp;DATA'!$F$102:$AB$119,2,FALSE),"")</f>
        <v/>
      </c>
      <c r="D23" s="280" t="str">
        <f>IF(AND(D103&lt;&gt;"",D104&lt;&gt;""),VLOOKUP(D103&amp;" - "&amp;TEXT(D22,"mmm-yy"),'LEGEND&amp;DATA'!$F$102:$AB$119,2,FALSE),"")</f>
        <v/>
      </c>
      <c r="E23" s="280" t="str">
        <f>IF(AND(D103&lt;&gt;"",D104&lt;&gt;""),VLOOKUP(D103&amp;" - "&amp;TEXT(E22,"mmm-yy"),'LEGEND&amp;DATA'!$F$102:$AB$119,2,FALSE),"")</f>
        <v/>
      </c>
      <c r="F23" s="280" t="str">
        <f>IF(AND(D103&lt;&gt;"",D104&lt;&gt;""),VLOOKUP(D103&amp;" - "&amp;TEXT(F22,"mmm-yy"),'LEGEND&amp;DATA'!$F$102:$AB$119,2,FALSE),"")</f>
        <v/>
      </c>
      <c r="G23" s="280" t="str">
        <f>IF(AND(D103&lt;&gt;"",D104&lt;&gt;""),VLOOKUP(D103&amp;" - "&amp;TEXT(G22,"mmm-yy"),'LEGEND&amp;DATA'!$F$102:$AB$119,2,FALSE),"")</f>
        <v/>
      </c>
      <c r="H23" s="281" t="str">
        <f>IF(AND(D103&lt;&gt;"",D104&lt;&gt;""),VLOOKUP(D103&amp;" - "&amp;TEXT(H22,"mmm-yy"),'LEGEND&amp;DATA'!$F$102:$AB$119,2,FALSE),"")</f>
        <v/>
      </c>
      <c r="V23" s="246" t="s">
        <v>357</v>
      </c>
      <c r="W23" s="240"/>
      <c r="X23" s="240" t="s">
        <v>361</v>
      </c>
      <c r="Y23" s="240"/>
    </row>
    <row r="24" spans="2:25" ht="20.149999999999999" customHeight="1" x14ac:dyDescent="0.35">
      <c r="B24" s="250" t="s">
        <v>363</v>
      </c>
      <c r="C24" s="282" t="str">
        <f>IF(AND(D103&lt;&gt;"",D104&lt;&gt;""),SUMIFS('LEGEND&amp;DATA'!$I$102:$I$119,'LEGEND&amp;DATA'!$F$102:$F$119,D103&amp;" - "&amp;TEXT(C22,"mmm-yy")),"")</f>
        <v/>
      </c>
      <c r="D24" s="283" t="str">
        <f>IF(AND(D103&lt;&gt;"",D104&lt;&gt;""),SUMIFS('LEGEND&amp;DATA'!$I$102:$I$119,'LEGEND&amp;DATA'!$F$102:$F$119,D103&amp;" - "&amp;TEXT(D22,"mmm-yy")),"")</f>
        <v/>
      </c>
      <c r="E24" s="283" t="str">
        <f>IF(AND(D103&lt;&gt;"",D104&lt;&gt;""),SUMIFS('LEGEND&amp;DATA'!$I$102:$I$119,'LEGEND&amp;DATA'!$F$102:$F$119,D103&amp;" - "&amp;TEXT(E22,"mmm-yy")),"")</f>
        <v/>
      </c>
      <c r="F24" s="283" t="str">
        <f>IF(AND(D103&lt;&gt;"",D104&lt;&gt;""),SUMIFS('LEGEND&amp;DATA'!$I$102:$I$119,'LEGEND&amp;DATA'!$F$102:$F$119,D103&amp;" - "&amp;TEXT(F22,"mmm-yy")),"")</f>
        <v/>
      </c>
      <c r="G24" s="283" t="str">
        <f>IF(AND(D103&lt;&gt;"",D104&lt;&gt;""),SUMIFS('LEGEND&amp;DATA'!$I$102:$I$119,'LEGEND&amp;DATA'!$F$102:$F$119,D103&amp;" - "&amp;TEXT(G22,"mmm-yy")),"")</f>
        <v/>
      </c>
      <c r="H24" s="284" t="str">
        <f>IF(AND(D103&lt;&gt;"",D104&lt;&gt;""),SUMIFS('LEGEND&amp;DATA'!$I$102:$I$119,'LEGEND&amp;DATA'!$F$102:$F$119,D103&amp;" - "&amp;TEXT(H22,"mmm-yy")),"")</f>
        <v/>
      </c>
      <c r="V24" s="240"/>
      <c r="W24" s="240"/>
      <c r="X24" s="240"/>
      <c r="Y24" s="240"/>
    </row>
    <row r="25" spans="2:25" ht="20.149999999999999" customHeight="1" x14ac:dyDescent="0.35">
      <c r="B25" s="250" t="s">
        <v>4</v>
      </c>
      <c r="C25" s="285" t="str">
        <f>IF(AND(D103&lt;&gt;"",D104&lt;&gt;""),SUMIFS('LEGEND&amp;DATA'!$M$102:$M$119,'LEGEND&amp;DATA'!$F$102:$F$119,D103&amp;" - "&amp;TEXT(C22,"mmm-yy")),"")</f>
        <v/>
      </c>
      <c r="D25" s="286" t="str">
        <f>IF(AND(D103&lt;&gt;"",D104&lt;&gt;""),SUMIFS('LEGEND&amp;DATA'!$M$102:$M$119,'LEGEND&amp;DATA'!$F$102:$F$119,D103&amp;" - "&amp;TEXT(D22,"mmm-yy")),"")</f>
        <v/>
      </c>
      <c r="E25" s="286" t="str">
        <f>IF(AND(D103&lt;&gt;"",D104&lt;&gt;""),SUMIFS('LEGEND&amp;DATA'!$M$102:$M$119,'LEGEND&amp;DATA'!$F$102:$F$119,D103&amp;" - "&amp;TEXT(E22,"mmm-yy")),"")</f>
        <v/>
      </c>
      <c r="F25" s="286" t="str">
        <f>IF(AND(D103&lt;&gt;"",D104&lt;&gt;""),SUMIFS('LEGEND&amp;DATA'!$M$102:$M$119,'LEGEND&amp;DATA'!$F$102:$F$119,D103&amp;" - "&amp;TEXT(F22,"mmm-yy")),"")</f>
        <v/>
      </c>
      <c r="G25" s="286" t="str">
        <f>IF(AND(D103&lt;&gt;"",D104&lt;&gt;""),SUMIFS('LEGEND&amp;DATA'!$M$102:$M$119,'LEGEND&amp;DATA'!$F$102:$F$119,D103&amp;" - "&amp;TEXT(G22,"mmm-yy")),"")</f>
        <v/>
      </c>
      <c r="H25" s="287" t="str">
        <f>IF(AND(D103&lt;&gt;"",D104&lt;&gt;""),SUMIFS('LEGEND&amp;DATA'!$M$102:$M$119,'LEGEND&amp;DATA'!$F$102:$F$119,D103&amp;" - "&amp;TEXT(H22,"mmm-yy")),"")</f>
        <v/>
      </c>
      <c r="V25" s="246" t="s">
        <v>357</v>
      </c>
      <c r="W25" s="246"/>
      <c r="X25" s="246" t="s">
        <v>361</v>
      </c>
    </row>
    <row r="26" spans="2:25" ht="20.149999999999999" customHeight="1" x14ac:dyDescent="0.35">
      <c r="B26" s="251" t="s">
        <v>365</v>
      </c>
      <c r="C26" s="282" t="str">
        <f>IF(AND(D103&lt;&gt;"",D104&lt;&gt;""),SUMIFS('LEGEND&amp;DATA'!$O$102:$O$119,'LEGEND&amp;DATA'!$F$102:$F$119,D103&amp;" - "&amp;TEXT(C22,"mmm-yy")),"")</f>
        <v/>
      </c>
      <c r="D26" s="283" t="str">
        <f>IF(AND(D103&lt;&gt;"",D104&lt;&gt;""),SUMIFS('LEGEND&amp;DATA'!$O$102:$O$119,'LEGEND&amp;DATA'!$F$102:$F$119,D103&amp;" - "&amp;TEXT(D22,"mmm-yy")),"")</f>
        <v/>
      </c>
      <c r="E26" s="283" t="str">
        <f>IF(AND(D103&lt;&gt;"",D104&lt;&gt;""),SUMIFS('LEGEND&amp;DATA'!$O$102:$O$119,'LEGEND&amp;DATA'!$F$102:$F$119,D103&amp;" - "&amp;TEXT(E22,"mmm-yy")),"")</f>
        <v/>
      </c>
      <c r="F26" s="283" t="str">
        <f>IF(AND(D103&lt;&gt;"",D104&lt;&gt;""),SUMIFS('LEGEND&amp;DATA'!$O$102:$O$119,'LEGEND&amp;DATA'!$F$102:$F$119,D103&amp;" - "&amp;TEXT(F22,"mmm-yy")),"")</f>
        <v/>
      </c>
      <c r="G26" s="283" t="str">
        <f>IF(AND(D103&lt;&gt;"",D104&lt;&gt;""),SUMIFS('LEGEND&amp;DATA'!$O$102:$O$119,'LEGEND&amp;DATA'!$F$102:$F$119,D103&amp;" - "&amp;TEXT(G22,"mmm-yy")),"")</f>
        <v/>
      </c>
      <c r="H26" s="284" t="str">
        <f>IF(AND(D103&lt;&gt;"",D104&lt;&gt;""),SUMIFS('LEGEND&amp;DATA'!$O$102:$O$119,'LEGEND&amp;DATA'!$F$102:$F$119,D103&amp;" - "&amp;TEXT(H22,"mmm-yy")),"")</f>
        <v/>
      </c>
      <c r="V26" s="246" t="str">
        <f t="shared" ref="V26:V33" si="0">IF(W26="","","-"&amp;W26)</f>
        <v>-Arizona</v>
      </c>
      <c r="W26" s="246" t="str">
        <f>IF(WORKSHEET!E78="","",WORKSHEET!E78)</f>
        <v>Arizona</v>
      </c>
      <c r="X26" s="242" t="str">
        <f t="shared" ref="X26:X42" si="1">IF(Y26="","",TEXT(Y26,"mmmm-yy"))</f>
        <v>December-25</v>
      </c>
      <c r="Y26" s="243">
        <f>IF(KEY!AE58="","",KEY!AE58)</f>
        <v>45992</v>
      </c>
    </row>
    <row r="27" spans="2:25" ht="20.149999999999999" customHeight="1" x14ac:dyDescent="0.35">
      <c r="B27" s="250" t="s">
        <v>6</v>
      </c>
      <c r="C27" s="282" t="str">
        <f>IF(AND(D103&lt;&gt;"",D104&lt;&gt;""),SUMIFS('LEGEND&amp;DATA'!$Q$102:$Q$119,'LEGEND&amp;DATA'!$F$102:$F$119,D103&amp;" - "&amp;TEXT(C22,"mmm-yy")),"")</f>
        <v/>
      </c>
      <c r="D27" s="283" t="str">
        <f>IF(AND(D103&lt;&gt;"",D104&lt;&gt;""),SUMIFS('LEGEND&amp;DATA'!$Q$102:$Q$119,'LEGEND&amp;DATA'!$F$102:$F$119,D103&amp;" - "&amp;TEXT(D22,"mmm-yy")),"")</f>
        <v/>
      </c>
      <c r="E27" s="283" t="str">
        <f>IF(AND(D103&lt;&gt;"",D104&lt;&gt;""),SUMIFS('LEGEND&amp;DATA'!$Q$102:$Q$119,'LEGEND&amp;DATA'!$F$102:$F$119,D103&amp;" - "&amp;TEXT(E22,"mmm-yy")),"")</f>
        <v/>
      </c>
      <c r="F27" s="283" t="str">
        <f>IF(AND(D103&lt;&gt;"",D104&lt;&gt;""),SUMIFS('LEGEND&amp;DATA'!$Q$102:$Q$119,'LEGEND&amp;DATA'!$F$102:$F$119,D103&amp;" - "&amp;TEXT(F22,"mmm-yy")),"")</f>
        <v/>
      </c>
      <c r="G27" s="283" t="str">
        <f>IF(AND(D103&lt;&gt;"",D104&lt;&gt;""),SUMIFS('LEGEND&amp;DATA'!$Q$102:$Q$119,'LEGEND&amp;DATA'!$F$102:$F$119,D103&amp;" - "&amp;TEXT(G22,"mmm-yy")),"")</f>
        <v/>
      </c>
      <c r="H27" s="284" t="str">
        <f>IF(AND(D103&lt;&gt;"",D104&lt;&gt;""),SUMIFS('LEGEND&amp;DATA'!$Q$102:$Q$119,'LEGEND&amp;DATA'!$F$102:$F$119,D103&amp;" - "&amp;TEXT(H22,"mmm-yy")),"")</f>
        <v/>
      </c>
      <c r="V27" s="246" t="str">
        <f t="shared" si="0"/>
        <v>-Indiana</v>
      </c>
      <c r="W27" s="246" t="str">
        <f>IF(WORKSHEET!E79="","",WORKSHEET!E79)</f>
        <v>Indiana</v>
      </c>
      <c r="X27" s="242" t="str">
        <f t="shared" si="1"/>
        <v>November-25</v>
      </c>
      <c r="Y27" s="243">
        <f>IF(KEY!AE57="","",KEY!AE57)</f>
        <v>45962</v>
      </c>
    </row>
    <row r="28" spans="2:25" ht="20.149999999999999" customHeight="1" x14ac:dyDescent="0.35">
      <c r="B28" s="250" t="s">
        <v>7</v>
      </c>
      <c r="C28" s="282" t="str">
        <f>IF(AND(D103&lt;&gt;"",D104&lt;&gt;""),SUMIFS('LEGEND&amp;DATA'!$S$102:$S$119,'LEGEND&amp;DATA'!$F$102:$F$119,D103&amp;" - "&amp;TEXT(C22,"mmm-yy")),"")</f>
        <v/>
      </c>
      <c r="D28" s="283" t="str">
        <f>IF(AND(D103&lt;&gt;"",D104&lt;&gt;""),SUMIFS('LEGEND&amp;DATA'!$S$102:$S$119,'LEGEND&amp;DATA'!$F$102:$F$119,D103&amp;" - "&amp;TEXT(D22,"mmm-yy")),"")</f>
        <v/>
      </c>
      <c r="E28" s="283" t="str">
        <f>IF(AND(D103&lt;&gt;"",D104&lt;&gt;""),SUMIFS('LEGEND&amp;DATA'!$S$102:$S$119,'LEGEND&amp;DATA'!$F$102:$F$119,D103&amp;" - "&amp;TEXT(E22,"mmm-yy")),"")</f>
        <v/>
      </c>
      <c r="F28" s="283" t="str">
        <f>IF(AND(D103&lt;&gt;"",D104&lt;&gt;""),SUMIFS('LEGEND&amp;DATA'!$S$102:$S$119,'LEGEND&amp;DATA'!$F$102:$F$119,D103&amp;" - "&amp;TEXT(F22,"mmm-yy")),"")</f>
        <v/>
      </c>
      <c r="G28" s="283" t="str">
        <f>IF(AND(D103&lt;&gt;"",D104&lt;&gt;""),SUMIFS('LEGEND&amp;DATA'!$S$102:$S$119,'LEGEND&amp;DATA'!$F$102:$F$119,D103&amp;" - "&amp;TEXT(G22,"mmm-yy")),"")</f>
        <v/>
      </c>
      <c r="H28" s="284" t="str">
        <f>IF(AND(D103&lt;&gt;"",D104&lt;&gt;""),SUMIFS('LEGEND&amp;DATA'!$S$102:$S$119,'LEGEND&amp;DATA'!$F$102:$F$119,D103&amp;" - "&amp;TEXT(H22,"mmm-yy")),"")</f>
        <v/>
      </c>
      <c r="V28" s="246" t="str">
        <f t="shared" si="0"/>
        <v>-Michigan &amp; Minnesota</v>
      </c>
      <c r="W28" s="246" t="str">
        <f>IF(WORKSHEET!E80="","",WORKSHEET!E80)</f>
        <v>Michigan &amp; Minnesota</v>
      </c>
      <c r="X28" s="242" t="str">
        <f t="shared" si="1"/>
        <v>October-25</v>
      </c>
      <c r="Y28" s="243">
        <f>IF(KEY!AE56="","",KEY!AE56)</f>
        <v>45931</v>
      </c>
    </row>
    <row r="29" spans="2:25" ht="20.149999999999999" customHeight="1" x14ac:dyDescent="0.35">
      <c r="B29" s="250" t="s">
        <v>369</v>
      </c>
      <c r="C29" s="282" t="str">
        <f>IF(AND(D103&lt;&gt;"",D104&lt;&gt;""),VLOOKUP(D103&amp;" - "&amp;TEXT(C22,"mmm-yy"),'LEGEND&amp;DATA'!$F$102:$AB$119,16,FALSE),"")</f>
        <v/>
      </c>
      <c r="D29" s="283" t="str">
        <f>IF(AND(D103&lt;&gt;"",D104&lt;&gt;""),VLOOKUP(D103&amp;" - "&amp;TEXT(D22,"mmm-yy"),'LEGEND&amp;DATA'!$F$102:$AB$119,16,FALSE),"")</f>
        <v/>
      </c>
      <c r="E29" s="283" t="str">
        <f>IF(AND(D103&lt;&gt;"",D104&lt;&gt;""),VLOOKUP(D103&amp;" - "&amp;TEXT(E22,"mmm-yy"),'LEGEND&amp;DATA'!$F$102:$AB$119,16,FALSE),"")</f>
        <v/>
      </c>
      <c r="F29" s="283" t="str">
        <f>IF(AND(D103&lt;&gt;"",D104&lt;&gt;""),VLOOKUP(D103&amp;" - "&amp;TEXT(F22,"mmm-yy"),'LEGEND&amp;DATA'!$F$102:$AB$119,16,FALSE),"")</f>
        <v/>
      </c>
      <c r="G29" s="283" t="str">
        <f>IF(AND(D103&lt;&gt;"",D104&lt;&gt;""),VLOOKUP(D103&amp;" - "&amp;TEXT(G22,"mmm-yy"),'LEGEND&amp;DATA'!$F$102:$AB$119,16,FALSE),"")</f>
        <v/>
      </c>
      <c r="H29" s="284" t="str">
        <f>IF(AND(D103&lt;&gt;"",D104&lt;&gt;""),VLOOKUP(D103&amp;" - "&amp;TEXT(H22,"mmm-yy"),'LEGEND&amp;DATA'!$F$102:$AB$119,16,FALSE),"")</f>
        <v/>
      </c>
      <c r="V29" s="246" t="str">
        <f t="shared" si="0"/>
        <v>-Northern California</v>
      </c>
      <c r="W29" s="246" t="str">
        <f>IF(WORKSHEET!E81="","",WORKSHEET!E81)</f>
        <v>Northern California</v>
      </c>
      <c r="X29" s="242" t="str">
        <f t="shared" si="1"/>
        <v>September-25</v>
      </c>
      <c r="Y29" s="243">
        <f>IF(KEY!AE55="","",KEY!AE55)</f>
        <v>45901</v>
      </c>
    </row>
    <row r="30" spans="2:25" ht="20.149999999999999" customHeight="1" x14ac:dyDescent="0.35">
      <c r="B30" s="250" t="s">
        <v>10</v>
      </c>
      <c r="C30" s="282" t="str">
        <f>IF(AND(D103&lt;&gt;"",D104&lt;&gt;""),SUMIFS('LEGEND&amp;DATA'!$Y$102:$Y$119,'LEGEND&amp;DATA'!$F$102:$F$119,D103&amp;" - "&amp;TEXT(C22,"mmm-yy")),"")</f>
        <v/>
      </c>
      <c r="D30" s="283" t="str">
        <f>IF(AND(D103&lt;&gt;"",D104&lt;&gt;""),SUMIFS('LEGEND&amp;DATA'!$Y$102:$Y$119,'LEGEND&amp;DATA'!$F$102:$F$119,D103&amp;" - "&amp;TEXT(D22,"mmm-yy")),"")</f>
        <v/>
      </c>
      <c r="E30" s="283" t="str">
        <f>IF(AND(D103&lt;&gt;"",D104&lt;&gt;""),SUMIFS('LEGEND&amp;DATA'!$Y$102:$Y$119,'LEGEND&amp;DATA'!$F$102:$F$119,D103&amp;" - "&amp;TEXT(E22,"mmm-yy")),"")</f>
        <v/>
      </c>
      <c r="F30" s="283" t="str">
        <f>IF(AND(D103&lt;&gt;"",D104&lt;&gt;""),SUMIFS('LEGEND&amp;DATA'!$Y$102:$Y$119,'LEGEND&amp;DATA'!$F$102:$F$119,D103&amp;" - "&amp;TEXT(F22,"mmm-yy")),"")</f>
        <v/>
      </c>
      <c r="G30" s="283" t="str">
        <f>IF(AND(D103&lt;&gt;"",D104&lt;&gt;""),SUMIFS('LEGEND&amp;DATA'!$Y$102:$Y$119,'LEGEND&amp;DATA'!$F$102:$F$119,D103&amp;" - "&amp;TEXT(G22,"mmm-yy")),"")</f>
        <v/>
      </c>
      <c r="H30" s="284" t="str">
        <f>IF(AND(D103&lt;&gt;"",D104&lt;&gt;""),SUMIFS('LEGEND&amp;DATA'!$Y$102:$Y$119,'LEGEND&amp;DATA'!$F$102:$F$119,D103&amp;" - "&amp;TEXT(H22,"mmm-yy")),"")</f>
        <v/>
      </c>
      <c r="V30" s="246" t="str">
        <f t="shared" si="0"/>
        <v>-Orange County</v>
      </c>
      <c r="W30" s="246" t="str">
        <f>IF(WORKSHEET!E82="","",WORKSHEET!E82)</f>
        <v>Orange County</v>
      </c>
      <c r="X30" s="242" t="str">
        <f t="shared" si="1"/>
        <v>August-25</v>
      </c>
      <c r="Y30" s="243">
        <f>IF(KEY!AE54="","",KEY!AE54)</f>
        <v>45870</v>
      </c>
    </row>
    <row r="31" spans="2:25" ht="20.149999999999999" customHeight="1" x14ac:dyDescent="0.35">
      <c r="B31" s="250" t="s">
        <v>11</v>
      </c>
      <c r="C31" s="282" t="str">
        <f>IF(AND(D103&lt;&gt;"",D104&lt;&gt;""),SUMIFS('LEGEND&amp;DATA'!$AA$102:$AA$119,'LEGEND&amp;DATA'!$F$102:$F$119,D103&amp;" - "&amp;TEXT(C22,"mmm-yy")),"")</f>
        <v/>
      </c>
      <c r="D31" s="283" t="str">
        <f>IF(AND(D103&lt;&gt;"",D104&lt;&gt;""),SUMIFS('LEGEND&amp;DATA'!$AA$102:$AA$119,'LEGEND&amp;DATA'!$F$102:$F$119,D103&amp;" - "&amp;TEXT(D22,"mmm-yy")),"")</f>
        <v/>
      </c>
      <c r="E31" s="283" t="str">
        <f>IF(AND(D103&lt;&gt;"",D104&lt;&gt;""),SUMIFS('LEGEND&amp;DATA'!$AA$102:$AA$119,'LEGEND&amp;DATA'!$F$102:$F$119,D103&amp;" - "&amp;TEXT(E22,"mmm-yy")),"")</f>
        <v/>
      </c>
      <c r="F31" s="283" t="str">
        <f>IF(AND(D103&lt;&gt;"",D104&lt;&gt;""),SUMIFS('LEGEND&amp;DATA'!$AA$102:$AA$119,'LEGEND&amp;DATA'!$F$102:$F$119,D103&amp;" - "&amp;TEXT(F22,"mmm-yy")),"")</f>
        <v/>
      </c>
      <c r="G31" s="283" t="str">
        <f>IF(AND(D103&lt;&gt;"",D104&lt;&gt;""),SUMIFS('LEGEND&amp;DATA'!$AA$102:$AA$119,'LEGEND&amp;DATA'!$F$102:$F$119,D103&amp;" - "&amp;TEXT(G22,"mmm-yy")),"")</f>
        <v/>
      </c>
      <c r="H31" s="284" t="str">
        <f>IF(AND(D103&lt;&gt;"",D104&lt;&gt;""),SUMIFS('LEGEND&amp;DATA'!$AA$102:$AA$119,'LEGEND&amp;DATA'!$F$102:$F$119,D103&amp;" - "&amp;TEXT(H22,"mmm-yy")),"")</f>
        <v/>
      </c>
      <c r="V31" s="246" t="str">
        <f t="shared" si="0"/>
        <v>-Southern California</v>
      </c>
      <c r="W31" s="246" t="str">
        <f>IF(WORKSHEET!E83="","",WORKSHEET!E83)</f>
        <v>Southern California</v>
      </c>
      <c r="X31" s="242" t="str">
        <f t="shared" si="1"/>
        <v>July-25</v>
      </c>
      <c r="Y31" s="243">
        <f>IF(KEY!AE53="","",KEY!AE53)</f>
        <v>45839</v>
      </c>
    </row>
    <row r="32" spans="2:25" ht="20.149999999999999" customHeight="1" thickBot="1" x14ac:dyDescent="0.4">
      <c r="B32" s="336" t="s">
        <v>12</v>
      </c>
      <c r="C32" s="333" t="str">
        <f>IF(AND($D$103&lt;&gt;"",$D$104&lt;&gt;""),VLOOKUP($D$103&amp;" - "&amp;TEXT(C$7,"mmm-yy"),'LEGEND&amp;DATA'!$F$102:$AE$119,26,FALSE),"")</f>
        <v/>
      </c>
      <c r="D32" s="334" t="str">
        <f>IF(AND($D$103&lt;&gt;"",$D$104&lt;&gt;""),VLOOKUP($D$103&amp;" - "&amp;TEXT(D$7,"mmm-yy"),'LEGEND&amp;DATA'!$F$102:$AE$119,26,FALSE),"")</f>
        <v/>
      </c>
      <c r="E32" s="334" t="str">
        <f>IF(AND($D$103&lt;&gt;"",$D$104&lt;&gt;""),VLOOKUP($D$103&amp;" - "&amp;TEXT(E$7,"mmm-yy"),'LEGEND&amp;DATA'!$F$102:$AE$119,26,FALSE),"")</f>
        <v/>
      </c>
      <c r="F32" s="334" t="str">
        <f>IF(AND($D$103&lt;&gt;"",$D$104&lt;&gt;""),VLOOKUP($D$103&amp;" - "&amp;TEXT(F$7,"mmm-yy"),'LEGEND&amp;DATA'!$F$102:$AE$119,26,FALSE),"")</f>
        <v/>
      </c>
      <c r="G32" s="334" t="str">
        <f>IF(AND($D$103&lt;&gt;"",$D$104&lt;&gt;""),VLOOKUP($D$103&amp;" - "&amp;TEXT(G$7,"mmm-yy"),'LEGEND&amp;DATA'!$F$102:$AE$119,26,FALSE),"")</f>
        <v/>
      </c>
      <c r="H32" s="335" t="str">
        <f>IF(AND($D$103&lt;&gt;"",$D$104&lt;&gt;""),VLOOKUP($D$103&amp;" - "&amp;TEXT(H$7,"mmm-yy"),'LEGEND&amp;DATA'!$F$102:$AE$119,26,FALSE),"")</f>
        <v/>
      </c>
      <c r="V32" s="246" t="str">
        <f t="shared" si="0"/>
        <v>-Texas</v>
      </c>
      <c r="W32" s="246" t="str">
        <f>IF(WORKSHEET!E84="","",WORKSHEET!E84)</f>
        <v>Texas</v>
      </c>
      <c r="X32" s="242" t="str">
        <f t="shared" si="1"/>
        <v>June-25</v>
      </c>
      <c r="Y32" s="243">
        <f>IF(KEY!AE52="","",KEY!AE52)</f>
        <v>45809</v>
      </c>
    </row>
    <row r="33" spans="2:27" ht="16" thickTop="1" x14ac:dyDescent="0.35">
      <c r="V33" s="246" t="str">
        <f t="shared" si="0"/>
        <v>-Wisconsin</v>
      </c>
      <c r="W33" s="246" t="str">
        <f>IF(WORKSHEET!E85="","",WORKSHEET!E85)</f>
        <v>Wisconsin</v>
      </c>
      <c r="X33" s="242" t="str">
        <f t="shared" si="1"/>
        <v>May-25</v>
      </c>
      <c r="Y33" s="243">
        <f>IF(KEY!AE51="","",KEY!AE51)</f>
        <v>45778</v>
      </c>
    </row>
    <row r="34" spans="2:27" ht="16" thickBot="1" x14ac:dyDescent="0.4">
      <c r="V34" s="246" t="s">
        <v>111</v>
      </c>
      <c r="W34" s="246" t="s">
        <v>111</v>
      </c>
      <c r="X34" s="242" t="str">
        <f t="shared" si="1"/>
        <v>April-25</v>
      </c>
      <c r="Y34" s="243">
        <f>IF(KEY!AE50="","",KEY!AE50)</f>
        <v>45748</v>
      </c>
    </row>
    <row r="35" spans="2:27" ht="25" customHeight="1" thickTop="1" x14ac:dyDescent="0.35">
      <c r="B35" s="274" t="s">
        <v>357</v>
      </c>
      <c r="C35" s="494" t="s">
        <v>358</v>
      </c>
      <c r="D35" s="495"/>
      <c r="V35" s="246" t="s">
        <v>112</v>
      </c>
      <c r="W35" s="246" t="s">
        <v>112</v>
      </c>
      <c r="X35" s="242" t="str">
        <f t="shared" si="1"/>
        <v>March-25</v>
      </c>
      <c r="Y35" s="243">
        <f>IF(KEY!AE49="","",KEY!AE49)</f>
        <v>45717</v>
      </c>
    </row>
    <row r="36" spans="2:27" ht="25" customHeight="1" thickBot="1" x14ac:dyDescent="0.4">
      <c r="B36" s="275" t="s">
        <v>359</v>
      </c>
      <c r="C36" s="496"/>
      <c r="D36" s="497"/>
      <c r="E36" s="245"/>
      <c r="F36" s="245"/>
      <c r="G36" s="245"/>
      <c r="H36" s="245"/>
      <c r="V36" s="246" t="s">
        <v>113</v>
      </c>
      <c r="W36" s="246" t="s">
        <v>113</v>
      </c>
      <c r="X36" s="242" t="str">
        <f t="shared" si="1"/>
        <v>February-25</v>
      </c>
      <c r="Y36" s="243">
        <f>IF(KEY!AE48="","",KEY!AE48)</f>
        <v>45689</v>
      </c>
    </row>
    <row r="37" spans="2:27" ht="20.149999999999999" customHeight="1" thickTop="1" x14ac:dyDescent="0.35">
      <c r="B37" s="271" t="s">
        <v>360</v>
      </c>
      <c r="C37" s="278">
        <f>WORKSHEET!C109</f>
        <v>45627</v>
      </c>
      <c r="D37" s="277">
        <f>WORKSHEET!C108</f>
        <v>45658</v>
      </c>
      <c r="E37" s="277">
        <f>WORKSHEET!C107</f>
        <v>45689</v>
      </c>
      <c r="F37" s="277">
        <f>WORKSHEET!C106</f>
        <v>45717</v>
      </c>
      <c r="G37" s="277">
        <f>WORKSHEET!C105</f>
        <v>45748</v>
      </c>
      <c r="H37" s="276">
        <f>WORKSHEET!C104</f>
        <v>45778</v>
      </c>
      <c r="V37" s="246" t="s">
        <v>114</v>
      </c>
      <c r="W37" s="246" t="s">
        <v>114</v>
      </c>
      <c r="X37" s="242" t="str">
        <f t="shared" si="1"/>
        <v>January-25</v>
      </c>
      <c r="Y37" s="243">
        <f>IF(KEY!AE47="","",KEY!AE47)</f>
        <v>45658</v>
      </c>
    </row>
    <row r="38" spans="2:27" ht="20.149999999999999" customHeight="1" x14ac:dyDescent="0.35">
      <c r="B38" s="250" t="s">
        <v>2</v>
      </c>
      <c r="C38" s="279" t="str">
        <f>IF(AND(E103&lt;&gt;"",E104&lt;&gt;""),VLOOKUP(E103&amp;" - "&amp;TEXT(C37,"mmm-yy"),'LEGEND&amp;DATA'!$F$102:$AB$119,2,FALSE),"")</f>
        <v/>
      </c>
      <c r="D38" s="280" t="str">
        <f>IF(AND(E103&lt;&gt;"",E104&lt;&gt;""),VLOOKUP(E103&amp;" - "&amp;TEXT(D37,"mmm-yy"),'LEGEND&amp;DATA'!$F$102:$AB$119,2,FALSE),"")</f>
        <v/>
      </c>
      <c r="E38" s="280" t="str">
        <f>IF(AND(E103&lt;&gt;"",E104&lt;&gt;""),VLOOKUP(E103&amp;" - "&amp;TEXT(E37,"mmm-yy"),'LEGEND&amp;DATA'!$F$102:$AB$119,2,FALSE),"")</f>
        <v/>
      </c>
      <c r="F38" s="280" t="str">
        <f>IF(AND(E103&lt;&gt;"",E104&lt;&gt;""),VLOOKUP(E103&amp;" - "&amp;TEXT(F37,"mmm-yy"),'LEGEND&amp;DATA'!$F$102:$AB$119,2,FALSE),"")</f>
        <v/>
      </c>
      <c r="G38" s="280" t="str">
        <f>IF(AND(E103&lt;&gt;"",E104&lt;&gt;""),VLOOKUP(E103&amp;" - "&amp;TEXT(G37,"mmm-yy"),'LEGEND&amp;DATA'!$F$102:$AB$119,2,FALSE),"")</f>
        <v/>
      </c>
      <c r="H38" s="281" t="str">
        <f>IF(AND(E103&lt;&gt;"",E104&lt;&gt;""),VLOOKUP(E103&amp;" - "&amp;TEXT(H37,"mmm-yy"),'LEGEND&amp;DATA'!$F$102:$AB$119,2,FALSE),"")</f>
        <v/>
      </c>
      <c r="V38" s="246" t="s">
        <v>115</v>
      </c>
      <c r="W38" s="246" t="s">
        <v>115</v>
      </c>
      <c r="X38" s="242" t="str">
        <f t="shared" si="1"/>
        <v>December-24</v>
      </c>
      <c r="Y38" s="243">
        <f>IF(KEY!AE46="","",KEY!AE46)</f>
        <v>45627</v>
      </c>
    </row>
    <row r="39" spans="2:27" ht="20.149999999999999" customHeight="1" x14ac:dyDescent="0.35">
      <c r="B39" s="250" t="s">
        <v>363</v>
      </c>
      <c r="C39" s="282" t="str">
        <f>IF(AND(E103&lt;&gt;"",E104&lt;&gt;""),SUMIFS('LEGEND&amp;DATA'!$I$102:$I$119,'LEGEND&amp;DATA'!$F$102:$F$119,E103&amp;" - "&amp;TEXT(C37,"mmm-yy")),"")</f>
        <v/>
      </c>
      <c r="D39" s="283" t="str">
        <f>IF(AND(E103&lt;&gt;"",E104&lt;&gt;""),SUMIFS('LEGEND&amp;DATA'!$I$102:$I$119,'LEGEND&amp;DATA'!$F$102:$F$119,E103&amp;" - "&amp;TEXT(D37,"mmm-yy")),"")</f>
        <v/>
      </c>
      <c r="E39" s="283" t="str">
        <f>IF(AND(E103&lt;&gt;"",E104&lt;&gt;""),SUMIFS('LEGEND&amp;DATA'!$I$102:$I$119,'LEGEND&amp;DATA'!$F$102:$F$119,E103&amp;" - "&amp;TEXT(E37,"mmm-yy")),"")</f>
        <v/>
      </c>
      <c r="F39" s="283" t="str">
        <f>IF(AND(E103&lt;&gt;"",E104&lt;&gt;""),SUMIFS('LEGEND&amp;DATA'!$I$102:$I$119,'LEGEND&amp;DATA'!$F$102:$F$119,E103&amp;" - "&amp;TEXT(F37,"mmm-yy")),"")</f>
        <v/>
      </c>
      <c r="G39" s="283" t="str">
        <f>IF(AND(E103&lt;&gt;"",E104&lt;&gt;""),SUMIFS('LEGEND&amp;DATA'!$I$102:$I$119,'LEGEND&amp;DATA'!$F$102:$F$119,E103&amp;" - "&amp;TEXT(G37,"mmm-yy")),"")</f>
        <v/>
      </c>
      <c r="H39" s="284" t="str">
        <f>IF(AND(E103&lt;&gt;"",E104&lt;&gt;""),SUMIFS('LEGEND&amp;DATA'!$I$102:$I$119,'LEGEND&amp;DATA'!$F$102:$F$119,E103&amp;" - "&amp;TEXT(H37,"mmm-yy")),"")</f>
        <v/>
      </c>
      <c r="V39" s="246" t="s">
        <v>116</v>
      </c>
      <c r="W39" s="246" t="s">
        <v>116</v>
      </c>
      <c r="X39" s="242" t="str">
        <f t="shared" si="1"/>
        <v>November-24</v>
      </c>
      <c r="Y39" s="243">
        <f>IF(KEY!AE45="","",KEY!AE45)</f>
        <v>45597</v>
      </c>
    </row>
    <row r="40" spans="2:27" ht="20.149999999999999" customHeight="1" x14ac:dyDescent="0.35">
      <c r="B40" s="250" t="s">
        <v>4</v>
      </c>
      <c r="C40" s="285" t="str">
        <f>IF(AND(E103&lt;&gt;"",E104&lt;&gt;""),SUMIFS('LEGEND&amp;DATA'!$M$102:$M$119,'LEGEND&amp;DATA'!$F$102:$F$119,E103&amp;" - "&amp;TEXT(C37,"mmm-yy")),"")</f>
        <v/>
      </c>
      <c r="D40" s="286" t="str">
        <f>IF(AND(E103&lt;&gt;"",E104&lt;&gt;""),SUMIFS('LEGEND&amp;DATA'!$M$102:$M$119,'LEGEND&amp;DATA'!$F$102:$F$119,E103&amp;" - "&amp;TEXT(D37,"mmm-yy")),"")</f>
        <v/>
      </c>
      <c r="E40" s="286" t="str">
        <f>IF(AND(E103&lt;&gt;"",E104&lt;&gt;""),SUMIFS('LEGEND&amp;DATA'!$M$102:$M$119,'LEGEND&amp;DATA'!$F$102:$F$119,E103&amp;" - "&amp;TEXT(E37,"mmm-yy")),"")</f>
        <v/>
      </c>
      <c r="F40" s="286" t="str">
        <f>IF(AND(E103&lt;&gt;"",E104&lt;&gt;""),SUMIFS('LEGEND&amp;DATA'!$M$102:$M$119,'LEGEND&amp;DATA'!$F$102:$F$119,E103&amp;" - "&amp;TEXT(F37,"mmm-yy")),"")</f>
        <v/>
      </c>
      <c r="G40" s="286" t="str">
        <f>IF(AND(E103&lt;&gt;"",E104&lt;&gt;""),SUMIFS('LEGEND&amp;DATA'!$M$102:$M$119,'LEGEND&amp;DATA'!$F$102:$F$119,E103&amp;" - "&amp;TEXT(G37,"mmm-yy")),"")</f>
        <v/>
      </c>
      <c r="H40" s="287" t="str">
        <f>IF(AND(E103&lt;&gt;"",E104&lt;&gt;""),SUMIFS('LEGEND&amp;DATA'!$M$102:$M$119,'LEGEND&amp;DATA'!$F$102:$F$119,E103&amp;" - "&amp;TEXT(H37,"mmm-yy")),"")</f>
        <v/>
      </c>
      <c r="V40" s="242" t="s">
        <v>118</v>
      </c>
      <c r="W40" s="242" t="s">
        <v>118</v>
      </c>
      <c r="X40" s="242" t="str">
        <f t="shared" si="1"/>
        <v>October-24</v>
      </c>
      <c r="Y40" s="243">
        <f>IF(KEY!AE44="","",KEY!AE44)</f>
        <v>45566</v>
      </c>
    </row>
    <row r="41" spans="2:27" ht="20.149999999999999" customHeight="1" x14ac:dyDescent="0.35">
      <c r="B41" s="251" t="s">
        <v>365</v>
      </c>
      <c r="C41" s="282" t="str">
        <f>IF(AND(E103&lt;&gt;"",E104&lt;&gt;""),SUMIFS('LEGEND&amp;DATA'!$O$102:$O$119,'LEGEND&amp;DATA'!$F$102:$F$119,E103&amp;" - "&amp;TEXT(C37,"mmm-yy")),"")</f>
        <v/>
      </c>
      <c r="D41" s="283" t="str">
        <f>IF(AND(E103&lt;&gt;"",E104&lt;&gt;""),SUMIFS('LEGEND&amp;DATA'!$O$102:$O$119,'LEGEND&amp;DATA'!$F$102:$F$119,E103&amp;" - "&amp;TEXT(D37,"mmm-yy")),"")</f>
        <v/>
      </c>
      <c r="E41" s="283" t="str">
        <f>IF(AND(E103&lt;&gt;"",E104&lt;&gt;""),SUMIFS('LEGEND&amp;DATA'!$O$102:$O$119,'LEGEND&amp;DATA'!$F$102:$F$119,E103&amp;" - "&amp;TEXT(E37,"mmm-yy")),"")</f>
        <v/>
      </c>
      <c r="F41" s="283" t="str">
        <f>IF(AND(E103&lt;&gt;"",E104&lt;&gt;""),SUMIFS('LEGEND&amp;DATA'!$O$102:$O$119,'LEGEND&amp;DATA'!$F$102:$F$119,E103&amp;" - "&amp;TEXT(F37,"mmm-yy")),"")</f>
        <v/>
      </c>
      <c r="G41" s="283" t="str">
        <f>IF(AND(E103&lt;&gt;"",E104&lt;&gt;""),SUMIFS('LEGEND&amp;DATA'!$O$102:$O$119,'LEGEND&amp;DATA'!$F$102:$F$119,E103&amp;" - "&amp;TEXT(G37,"mmm-yy")),"")</f>
        <v/>
      </c>
      <c r="H41" s="284" t="str">
        <f>IF(AND(E103&lt;&gt;"",E104&lt;&gt;""),SUMIFS('LEGEND&amp;DATA'!$O$102:$O$119,'LEGEND&amp;DATA'!$F$102:$F$119,E103&amp;" - "&amp;TEXT(H37,"mmm-yy")),"")</f>
        <v/>
      </c>
      <c r="V41" s="242" t="s">
        <v>117</v>
      </c>
      <c r="W41" s="242" t="s">
        <v>117</v>
      </c>
      <c r="X41" s="242" t="str">
        <f t="shared" si="1"/>
        <v>September-24</v>
      </c>
      <c r="Y41" s="243">
        <f>IF(KEY!AE43="","",KEY!AE43)</f>
        <v>45536</v>
      </c>
    </row>
    <row r="42" spans="2:27" ht="20.149999999999999" customHeight="1" x14ac:dyDescent="0.35">
      <c r="B42" s="250" t="s">
        <v>6</v>
      </c>
      <c r="C42" s="282" t="str">
        <f>IF(AND(E103&lt;&gt;"",E104&lt;&gt;""),SUMIFS('LEGEND&amp;DATA'!$Q$102:$Q$119,'LEGEND&amp;DATA'!$F$102:$F$119,E103&amp;" - "&amp;TEXT(C37,"mmm-yy")),"")</f>
        <v/>
      </c>
      <c r="D42" s="283" t="str">
        <f>IF(AND(E103&lt;&gt;"",E104&lt;&gt;""),SUMIFS('LEGEND&amp;DATA'!$Q$102:$Q$119,'LEGEND&amp;DATA'!$F$102:$F$119,E103&amp;" - "&amp;TEXT(D37,"mmm-yy")),"")</f>
        <v/>
      </c>
      <c r="E42" s="283" t="str">
        <f>IF(AND(E103&lt;&gt;"",E104&lt;&gt;""),SUMIFS('LEGEND&amp;DATA'!$Q$102:$Q$119,'LEGEND&amp;DATA'!$F$102:$F$119,E103&amp;" - "&amp;TEXT(E37,"mmm-yy")),"")</f>
        <v/>
      </c>
      <c r="F42" s="283" t="str">
        <f>IF(AND(E103&lt;&gt;"",E104&lt;&gt;""),SUMIFS('LEGEND&amp;DATA'!$Q$102:$Q$119,'LEGEND&amp;DATA'!$F$102:$F$119,E103&amp;" - "&amp;TEXT(F37,"mmm-yy")),"")</f>
        <v/>
      </c>
      <c r="G42" s="283" t="str">
        <f>IF(AND(E103&lt;&gt;"",E104&lt;&gt;""),SUMIFS('LEGEND&amp;DATA'!$Q$102:$Q$119,'LEGEND&amp;DATA'!$F$102:$F$119,E103&amp;" - "&amp;TEXT(G37,"mmm-yy")),"")</f>
        <v/>
      </c>
      <c r="H42" s="284" t="str">
        <f>IF(AND(E103&lt;&gt;"",E104&lt;&gt;""),SUMIFS('LEGEND&amp;DATA'!$Q$102:$Q$119,'LEGEND&amp;DATA'!$F$102:$F$119,E103&amp;" - "&amp;TEXT(H37,"mmm-yy")),"")</f>
        <v/>
      </c>
      <c r="V42" s="242" t="s">
        <v>119</v>
      </c>
      <c r="W42" s="242" t="s">
        <v>119</v>
      </c>
      <c r="X42" s="242" t="str">
        <f t="shared" si="1"/>
        <v>August-24</v>
      </c>
      <c r="Y42" s="243">
        <f>IF(KEY!AE42="","",KEY!AE42)</f>
        <v>45505</v>
      </c>
    </row>
    <row r="43" spans="2:27" ht="20.149999999999999" customHeight="1" x14ac:dyDescent="0.35">
      <c r="B43" s="250" t="s">
        <v>7</v>
      </c>
      <c r="C43" s="282" t="str">
        <f>IF(AND(E103&lt;&gt;"",E104&lt;&gt;""),SUMIFS('LEGEND&amp;DATA'!$S$102:$S$119,'LEGEND&amp;DATA'!$F$102:$F$119,E103&amp;" - "&amp;TEXT(C37,"mmm-yy")),"")</f>
        <v/>
      </c>
      <c r="D43" s="283" t="str">
        <f>IF(AND(E103&lt;&gt;"",E104&lt;&gt;""),SUMIFS('LEGEND&amp;DATA'!$S$102:$S$119,'LEGEND&amp;DATA'!$F$102:$F$119,E103&amp;" - "&amp;TEXT(D37,"mmm-yy")),"")</f>
        <v/>
      </c>
      <c r="E43" s="283" t="str">
        <f>IF(AND(E103&lt;&gt;"",E104&lt;&gt;""),SUMIFS('LEGEND&amp;DATA'!$S$102:$S$119,'LEGEND&amp;DATA'!$F$102:$F$119,E103&amp;" - "&amp;TEXT(E37,"mmm-yy")),"")</f>
        <v/>
      </c>
      <c r="F43" s="283" t="str">
        <f>IF(AND(E103&lt;&gt;"",E104&lt;&gt;""),SUMIFS('LEGEND&amp;DATA'!$S$102:$S$119,'LEGEND&amp;DATA'!$F$102:$F$119,E103&amp;" - "&amp;TEXT(F37,"mmm-yy")),"")</f>
        <v/>
      </c>
      <c r="G43" s="283" t="str">
        <f>IF(AND(E103&lt;&gt;"",E104&lt;&gt;""),SUMIFS('LEGEND&amp;DATA'!$S$102:$S$119,'LEGEND&amp;DATA'!$F$102:$F$119,E103&amp;" - "&amp;TEXT(G37,"mmm-yy")),"")</f>
        <v/>
      </c>
      <c r="H43" s="284" t="str">
        <f>IF(AND(E103&lt;&gt;"",E104&lt;&gt;""),SUMIFS('LEGEND&amp;DATA'!$S$102:$S$119,'LEGEND&amp;DATA'!$F$102:$F$119,E103&amp;" - "&amp;TEXT(H37,"mmm-yy")),"")</f>
        <v/>
      </c>
      <c r="V43" s="242" t="s">
        <v>199</v>
      </c>
      <c r="W43" s="242" t="s">
        <v>199</v>
      </c>
      <c r="X43" s="242" t="str">
        <f t="shared" ref="X43:X45" si="2">IF(Y43="","",TEXT(Y43,"mmmm-yy"))</f>
        <v>August-24</v>
      </c>
      <c r="Y43" s="243">
        <f>IF(KEY!AE42="","",KEY!AE42)</f>
        <v>45505</v>
      </c>
    </row>
    <row r="44" spans="2:27" ht="20.149999999999999" customHeight="1" x14ac:dyDescent="0.35">
      <c r="B44" s="250" t="s">
        <v>369</v>
      </c>
      <c r="C44" s="282" t="str">
        <f>IF(AND(E103&lt;&gt;"",E104&lt;&gt;""),VLOOKUP(E103&amp;" - "&amp;TEXT(C37,"mmm-yy"),'LEGEND&amp;DATA'!$F$102:$AB$119,16,FALSE),"")</f>
        <v/>
      </c>
      <c r="D44" s="283" t="str">
        <f>IF(AND(E103&lt;&gt;"",E104&lt;&gt;""),VLOOKUP(E103&amp;" - "&amp;TEXT(D37,"mmm-yy"),'LEGEND&amp;DATA'!$F$102:$AB$119,16,FALSE),"")</f>
        <v/>
      </c>
      <c r="E44" s="283" t="str">
        <f>IF(AND(E103&lt;&gt;"",E104&lt;&gt;""),VLOOKUP(E103&amp;" - "&amp;TEXT(E37,"mmm-yy"),'LEGEND&amp;DATA'!$F$102:$AB$119,16,FALSE),"")</f>
        <v/>
      </c>
      <c r="F44" s="283" t="str">
        <f>IF(AND(E103&lt;&gt;"",E104&lt;&gt;""),VLOOKUP(E103&amp;" - "&amp;TEXT(F37,"mmm-yy"),'LEGEND&amp;DATA'!$F$102:$AB$119,16,FALSE),"")</f>
        <v/>
      </c>
      <c r="G44" s="283" t="str">
        <f>IF(AND(E103&lt;&gt;"",E104&lt;&gt;""),VLOOKUP(E103&amp;" - "&amp;TEXT(G37,"mmm-yy"),'LEGEND&amp;DATA'!$F$102:$AB$119,16,FALSE),"")</f>
        <v/>
      </c>
      <c r="H44" s="284" t="str">
        <f>IF(AND(E103&lt;&gt;"",E104&lt;&gt;""),VLOOKUP(E103&amp;" - "&amp;TEXT(H37,"mmm-yy"),'LEGEND&amp;DATA'!$F$102:$AB$119,16,FALSE),"")</f>
        <v/>
      </c>
      <c r="V44" s="242" t="s">
        <v>120</v>
      </c>
      <c r="W44" s="242" t="s">
        <v>120</v>
      </c>
      <c r="X44" s="242" t="str">
        <f t="shared" si="2"/>
        <v>July-24</v>
      </c>
      <c r="Y44" s="243">
        <f>IF(KEY!AE41="","",KEY!AE41)</f>
        <v>45474</v>
      </c>
      <c r="Z44" s="246"/>
    </row>
    <row r="45" spans="2:27" ht="20.149999999999999" customHeight="1" x14ac:dyDescent="0.35">
      <c r="B45" s="250" t="s">
        <v>10</v>
      </c>
      <c r="C45" s="282" t="str">
        <f>IF(AND(E103&lt;&gt;"",E104&lt;&gt;""),SUMIFS('LEGEND&amp;DATA'!$Y$102:$Y$119,'LEGEND&amp;DATA'!$F$102:$F$119,E103&amp;" - "&amp;TEXT(C37,"mmm-yy")),"")</f>
        <v/>
      </c>
      <c r="D45" s="283" t="str">
        <f>IF(AND(E103&lt;&gt;"",E104&lt;&gt;""),SUMIFS('LEGEND&amp;DATA'!$Y$102:$Y$119,'LEGEND&amp;DATA'!$F$102:$F$119,E103&amp;" - "&amp;TEXT(D37,"mmm-yy")),"")</f>
        <v/>
      </c>
      <c r="E45" s="283" t="str">
        <f>IF(AND(E103&lt;&gt;"",E104&lt;&gt;""),SUMIFS('LEGEND&amp;DATA'!$Y$102:$Y$119,'LEGEND&amp;DATA'!$F$102:$F$119,E103&amp;" - "&amp;TEXT(E37,"mmm-yy")),"")</f>
        <v/>
      </c>
      <c r="F45" s="283" t="str">
        <f>IF(AND(E103&lt;&gt;"",E104&lt;&gt;""),SUMIFS('LEGEND&amp;DATA'!$Y$102:$Y$119,'LEGEND&amp;DATA'!$F$102:$F$119,E103&amp;" - "&amp;TEXT(F37,"mmm-yy")),"")</f>
        <v/>
      </c>
      <c r="G45" s="283" t="str">
        <f>IF(AND(E103&lt;&gt;"",E104&lt;&gt;""),SUMIFS('LEGEND&amp;DATA'!$Y$102:$Y$119,'LEGEND&amp;DATA'!$F$102:$F$119,E103&amp;" - "&amp;TEXT(G37,"mmm-yy")),"")</f>
        <v/>
      </c>
      <c r="H45" s="284" t="str">
        <f>IF(AND(E103&lt;&gt;"",E104&lt;&gt;""),SUMIFS('LEGEND&amp;DATA'!$Y$102:$Y$119,'LEGEND&amp;DATA'!$F$102:$F$119,E103&amp;" - "&amp;TEXT(H37,"mmm-yy")),"")</f>
        <v/>
      </c>
      <c r="V45" s="242" t="s">
        <v>121</v>
      </c>
      <c r="W45" s="242" t="s">
        <v>121</v>
      </c>
      <c r="X45" s="242" t="str">
        <f t="shared" si="2"/>
        <v>June-24</v>
      </c>
      <c r="Y45" s="243">
        <f>IF(KEY!AE40="","",KEY!AE40)</f>
        <v>45444</v>
      </c>
    </row>
    <row r="46" spans="2:27" ht="20.149999999999999" customHeight="1" x14ac:dyDescent="0.35">
      <c r="B46" s="250" t="s">
        <v>11</v>
      </c>
      <c r="C46" s="282" t="str">
        <f>IF(AND(E103&lt;&gt;"",E104&lt;&gt;""),SUMIFS('LEGEND&amp;DATA'!$AA$102:$AA$119,'LEGEND&amp;DATA'!$F$102:$F$119,E103&amp;" - "&amp;TEXT(C37,"mmm-yy")),"")</f>
        <v/>
      </c>
      <c r="D46" s="283" t="str">
        <f>IF(AND(E103&lt;&gt;"",E104&lt;&gt;""),SUMIFS('LEGEND&amp;DATA'!$AA$102:$AA$119,'LEGEND&amp;DATA'!$F$102:$F$119,E103&amp;" - "&amp;TEXT(D37,"mmm-yy")),"")</f>
        <v/>
      </c>
      <c r="E46" s="283" t="str">
        <f>IF(AND(E103&lt;&gt;"",E104&lt;&gt;""),SUMIFS('LEGEND&amp;DATA'!$AA$102:$AA$119,'LEGEND&amp;DATA'!$F$102:$F$119,E103&amp;" - "&amp;TEXT(E37,"mmm-yy")),"")</f>
        <v/>
      </c>
      <c r="F46" s="283" t="str">
        <f>IF(AND(E103&lt;&gt;"",E104&lt;&gt;""),SUMIFS('LEGEND&amp;DATA'!$AA$102:$AA$119,'LEGEND&amp;DATA'!$F$102:$F$119,E103&amp;" - "&amp;TEXT(F37,"mmm-yy")),"")</f>
        <v/>
      </c>
      <c r="G46" s="283" t="str">
        <f>IF(AND(E103&lt;&gt;"",E104&lt;&gt;""),SUMIFS('LEGEND&amp;DATA'!$AA$102:$AA$119,'LEGEND&amp;DATA'!$F$102:$F$119,E103&amp;" - "&amp;TEXT(G37,"mmm-yy")),"")</f>
        <v/>
      </c>
      <c r="H46" s="284" t="str">
        <f>IF(AND(E103&lt;&gt;"",E104&lt;&gt;""),SUMIFS('LEGEND&amp;DATA'!$AA$102:$AA$119,'LEGEND&amp;DATA'!$F$102:$F$119,E103&amp;" - "&amp;TEXT(H37,"mmm-yy")),"")</f>
        <v/>
      </c>
      <c r="V46" s="242" t="s">
        <v>200</v>
      </c>
      <c r="W46" s="242" t="s">
        <v>200</v>
      </c>
      <c r="X46" s="242" t="str">
        <f t="shared" ref="X46" si="3">IF(Y46="","",TEXT(Y46,"mmmm-yy"))</f>
        <v>May-24</v>
      </c>
      <c r="Y46" s="243">
        <f>IF(KEY!AE39="","",KEY!AE39)</f>
        <v>45413</v>
      </c>
    </row>
    <row r="47" spans="2:27" ht="20.149999999999999" customHeight="1" thickBot="1" x14ac:dyDescent="0.4">
      <c r="B47" s="336" t="s">
        <v>12</v>
      </c>
      <c r="C47" s="333" t="str">
        <f>IF(AND($E$103&lt;&gt;"",$E$104&lt;&gt;""),VLOOKUP($E$103&amp;" - "&amp;TEXT(C$7,"mmm-yy"),'LEGEND&amp;DATA'!$F$102:$AE$119,26,FALSE),"")</f>
        <v/>
      </c>
      <c r="D47" s="334" t="str">
        <f>IF(AND($E$103&lt;&gt;"",$E$104&lt;&gt;""),VLOOKUP($E$103&amp;" - "&amp;TEXT(D$7,"mmm-yy"),'LEGEND&amp;DATA'!$F$102:$AE$119,26,FALSE),"")</f>
        <v/>
      </c>
      <c r="E47" s="334" t="str">
        <f>IF(AND($E$103&lt;&gt;"",$E$104&lt;&gt;""),VLOOKUP($E$103&amp;" - "&amp;TEXT(E$7,"mmm-yy"),'LEGEND&amp;DATA'!$F$102:$AE$119,26,FALSE),"")</f>
        <v/>
      </c>
      <c r="F47" s="334" t="str">
        <f>IF(AND($E$103&lt;&gt;"",$E$104&lt;&gt;""),VLOOKUP($E$103&amp;" - "&amp;TEXT(F$7,"mmm-yy"),'LEGEND&amp;DATA'!$F$102:$AE$119,26,FALSE),"")</f>
        <v/>
      </c>
      <c r="G47" s="334" t="str">
        <f>IF(AND($E$103&lt;&gt;"",$E$104&lt;&gt;""),VLOOKUP($E$103&amp;" - "&amp;TEXT(G$7,"mmm-yy"),'LEGEND&amp;DATA'!$F$102:$AE$119,26,FALSE),"")</f>
        <v/>
      </c>
      <c r="H47" s="335" t="str">
        <f>IF(AND($E$103&lt;&gt;"",$E$104&lt;&gt;""),VLOOKUP($E$103&amp;" - "&amp;TEXT(H$7,"mmm-yy"),'LEGEND&amp;DATA'!$F$102:$AE$119,26,FALSE),"")</f>
        <v/>
      </c>
      <c r="V47" s="242" t="s">
        <v>122</v>
      </c>
      <c r="W47" s="242" t="s">
        <v>122</v>
      </c>
      <c r="X47" s="242" t="str">
        <f t="shared" ref="X47:X48" si="4">IF(Y47="","",TEXT(Y47,"mmmm-yy"))</f>
        <v>April-24</v>
      </c>
      <c r="Y47" s="243">
        <f>IF(KEY!AE38="","",KEY!AE38)</f>
        <v>45383</v>
      </c>
    </row>
    <row r="48" spans="2:27" ht="16" thickTop="1" x14ac:dyDescent="0.35">
      <c r="V48" s="242" t="s">
        <v>123</v>
      </c>
      <c r="W48" s="242" t="s">
        <v>123</v>
      </c>
      <c r="X48" s="242" t="str">
        <f t="shared" si="4"/>
        <v>March-24</v>
      </c>
      <c r="Y48" s="243">
        <f>IF(KEY!AE37="","",KEY!AE37)</f>
        <v>45352</v>
      </c>
      <c r="Z48" s="246"/>
      <c r="AA48" s="246"/>
    </row>
    <row r="49" spans="22:27" x14ac:dyDescent="0.35">
      <c r="V49" s="242" t="s">
        <v>124</v>
      </c>
      <c r="W49" s="242" t="s">
        <v>124</v>
      </c>
      <c r="X49" s="246" t="str">
        <f>IF(Y49="","",TEXT(Y49,"mmmm-yy"))</f>
        <v>February-24</v>
      </c>
      <c r="Y49" s="243">
        <f>IF(KEY!AE36="","",KEY!AE36)</f>
        <v>45323</v>
      </c>
    </row>
    <row r="50" spans="22:27" x14ac:dyDescent="0.35">
      <c r="V50" s="242" t="s">
        <v>195</v>
      </c>
      <c r="W50" s="242" t="s">
        <v>195</v>
      </c>
      <c r="X50" s="246" t="str">
        <f t="shared" ref="X50:X52" si="5">IF(Y50="","",TEXT(Y50,"mmmm-yy"))</f>
        <v>January-24</v>
      </c>
      <c r="Y50" s="243">
        <f>IF(KEY!AE35="","",KEY!AE35)</f>
        <v>45292</v>
      </c>
    </row>
    <row r="51" spans="22:27" x14ac:dyDescent="0.35">
      <c r="V51" s="242" t="s">
        <v>125</v>
      </c>
      <c r="W51" s="242" t="s">
        <v>125</v>
      </c>
      <c r="X51" s="246" t="str">
        <f t="shared" si="5"/>
        <v>December-23</v>
      </c>
      <c r="Y51" s="243">
        <f>IF(KEY!AE34="","",KEY!AE34)</f>
        <v>45261</v>
      </c>
    </row>
    <row r="52" spans="22:27" x14ac:dyDescent="0.35">
      <c r="V52" s="242" t="s">
        <v>126</v>
      </c>
      <c r="W52" s="242" t="s">
        <v>126</v>
      </c>
      <c r="X52" s="246" t="str">
        <f t="shared" si="5"/>
        <v>November-23</v>
      </c>
      <c r="Y52" s="247">
        <f>IF(KEY!AE33="","",KEY!AE33)</f>
        <v>45231</v>
      </c>
      <c r="Z52" s="246"/>
      <c r="AA52" s="246"/>
    </row>
    <row r="53" spans="22:27" x14ac:dyDescent="0.35">
      <c r="V53" s="242" t="s">
        <v>127</v>
      </c>
      <c r="W53" s="242" t="s">
        <v>127</v>
      </c>
      <c r="X53" s="246" t="str">
        <f t="shared" ref="X53:X62" si="6">IF(Y53="","",TEXT(Y53,"mmmm-yy"))</f>
        <v>October-23</v>
      </c>
      <c r="Y53" s="247">
        <f>IF(KEY!AE32="","",KEY!AE32)</f>
        <v>45200</v>
      </c>
    </row>
    <row r="54" spans="22:27" x14ac:dyDescent="0.35">
      <c r="V54" s="242" t="s">
        <v>201</v>
      </c>
      <c r="W54" s="242" t="s">
        <v>201</v>
      </c>
      <c r="X54" s="246" t="str">
        <f t="shared" si="6"/>
        <v>September-23</v>
      </c>
      <c r="Y54" s="247">
        <f>IF(KEY!AE31="","",KEY!AE31)</f>
        <v>45170</v>
      </c>
    </row>
    <row r="55" spans="22:27" x14ac:dyDescent="0.35">
      <c r="V55" s="242" t="s">
        <v>202</v>
      </c>
      <c r="W55" s="242" t="s">
        <v>202</v>
      </c>
      <c r="X55" s="246" t="str">
        <f t="shared" si="6"/>
        <v>August-23</v>
      </c>
      <c r="Y55" s="247">
        <f>IF(KEY!AE30="","",KEY!AE30)</f>
        <v>45139</v>
      </c>
    </row>
    <row r="56" spans="22:27" x14ac:dyDescent="0.35">
      <c r="V56" s="242" t="s">
        <v>198</v>
      </c>
      <c r="W56" s="242" t="s">
        <v>198</v>
      </c>
      <c r="X56" s="246" t="str">
        <f t="shared" si="6"/>
        <v>July-23</v>
      </c>
      <c r="Y56" s="247">
        <f>IF(KEY!AE29="","",KEY!AE29)</f>
        <v>45108</v>
      </c>
    </row>
    <row r="57" spans="22:27" x14ac:dyDescent="0.35">
      <c r="V57" s="242" t="s">
        <v>128</v>
      </c>
      <c r="W57" s="242" t="s">
        <v>128</v>
      </c>
      <c r="X57" s="246" t="str">
        <f t="shared" si="6"/>
        <v>June-23</v>
      </c>
      <c r="Y57" s="247">
        <f>IF(KEY!AE28="","",KEY!AE28)</f>
        <v>45078</v>
      </c>
    </row>
    <row r="58" spans="22:27" x14ac:dyDescent="0.35">
      <c r="V58" s="242" t="s">
        <v>129</v>
      </c>
      <c r="W58" s="242" t="s">
        <v>129</v>
      </c>
      <c r="X58" s="246" t="str">
        <f t="shared" si="6"/>
        <v>May-23</v>
      </c>
      <c r="Y58" s="247">
        <f>IF(KEY!AE27="","",KEY!AE27)</f>
        <v>45047</v>
      </c>
    </row>
    <row r="59" spans="22:27" x14ac:dyDescent="0.35">
      <c r="V59" s="242" t="s">
        <v>130</v>
      </c>
      <c r="W59" s="242" t="s">
        <v>130</v>
      </c>
      <c r="X59" s="246" t="str">
        <f t="shared" si="6"/>
        <v>April-23</v>
      </c>
      <c r="Y59" s="247">
        <f>IF(KEY!AE26="","",KEY!AE26)</f>
        <v>45017</v>
      </c>
    </row>
    <row r="60" spans="22:27" x14ac:dyDescent="0.35">
      <c r="V60" s="242" t="s">
        <v>203</v>
      </c>
      <c r="W60" s="242" t="s">
        <v>203</v>
      </c>
      <c r="X60" s="246" t="str">
        <f t="shared" si="6"/>
        <v>March-23</v>
      </c>
      <c r="Y60" s="247">
        <f>IF(KEY!AE25="","",KEY!AE25)</f>
        <v>44986</v>
      </c>
    </row>
    <row r="61" spans="22:27" x14ac:dyDescent="0.35">
      <c r="V61" s="242" t="s">
        <v>131</v>
      </c>
      <c r="W61" s="242" t="s">
        <v>131</v>
      </c>
      <c r="X61" s="246" t="str">
        <f t="shared" si="6"/>
        <v>February-23</v>
      </c>
      <c r="Y61" s="247">
        <f>IF(KEY!AE24="","",KEY!AE24)</f>
        <v>44958</v>
      </c>
    </row>
    <row r="62" spans="22:27" x14ac:dyDescent="0.35">
      <c r="V62" s="242" t="s">
        <v>134</v>
      </c>
      <c r="W62" s="242" t="s">
        <v>134</v>
      </c>
      <c r="X62" s="246" t="str">
        <f t="shared" si="6"/>
        <v>January-23</v>
      </c>
      <c r="Y62" s="247">
        <f>IF(KEY!AE22="","",KEY!AE22)</f>
        <v>44927</v>
      </c>
    </row>
    <row r="63" spans="22:27" x14ac:dyDescent="0.35">
      <c r="V63" s="242" t="s">
        <v>135</v>
      </c>
      <c r="W63" s="242" t="s">
        <v>135</v>
      </c>
    </row>
    <row r="64" spans="22:27" x14ac:dyDescent="0.35">
      <c r="V64" s="242" t="s">
        <v>204</v>
      </c>
      <c r="W64" s="242" t="s">
        <v>204</v>
      </c>
    </row>
    <row r="65" spans="22:25" x14ac:dyDescent="0.35">
      <c r="V65" s="242" t="s">
        <v>196</v>
      </c>
      <c r="W65" s="242" t="s">
        <v>196</v>
      </c>
    </row>
    <row r="66" spans="22:25" x14ac:dyDescent="0.35">
      <c r="V66" s="242" t="s">
        <v>197</v>
      </c>
      <c r="W66" s="242" t="s">
        <v>197</v>
      </c>
      <c r="Y66" s="243"/>
    </row>
    <row r="67" spans="22:25" x14ac:dyDescent="0.35">
      <c r="V67" s="242" t="s">
        <v>136</v>
      </c>
      <c r="W67" s="242" t="s">
        <v>136</v>
      </c>
      <c r="Y67" s="243"/>
    </row>
    <row r="68" spans="22:25" x14ac:dyDescent="0.35">
      <c r="V68" s="242" t="s">
        <v>137</v>
      </c>
      <c r="W68" s="242" t="s">
        <v>137</v>
      </c>
      <c r="Y68" s="243"/>
    </row>
    <row r="69" spans="22:25" x14ac:dyDescent="0.35">
      <c r="V69" s="242" t="s">
        <v>138</v>
      </c>
      <c r="W69" s="242" t="s">
        <v>138</v>
      </c>
      <c r="Y69" s="243"/>
    </row>
    <row r="70" spans="22:25" x14ac:dyDescent="0.35">
      <c r="V70" s="242" t="s">
        <v>205</v>
      </c>
      <c r="W70" s="242" t="s">
        <v>205</v>
      </c>
      <c r="Y70" s="243"/>
    </row>
    <row r="71" spans="22:25" x14ac:dyDescent="0.35">
      <c r="V71" s="242" t="s">
        <v>139</v>
      </c>
      <c r="W71" s="242" t="s">
        <v>139</v>
      </c>
      <c r="Y71" s="243"/>
    </row>
    <row r="72" spans="22:25" x14ac:dyDescent="0.35">
      <c r="V72" s="242" t="s">
        <v>140</v>
      </c>
      <c r="W72" s="242" t="s">
        <v>140</v>
      </c>
      <c r="Y72" s="243"/>
    </row>
    <row r="73" spans="22:25" x14ac:dyDescent="0.35">
      <c r="V73" s="242" t="s">
        <v>142</v>
      </c>
      <c r="W73" s="242" t="s">
        <v>142</v>
      </c>
      <c r="Y73" s="243"/>
    </row>
    <row r="74" spans="22:25" x14ac:dyDescent="0.35">
      <c r="V74" s="242" t="s">
        <v>143</v>
      </c>
      <c r="W74" s="242" t="s">
        <v>143</v>
      </c>
      <c r="Y74" s="243"/>
    </row>
    <row r="75" spans="22:25" x14ac:dyDescent="0.35">
      <c r="V75" s="242" t="s">
        <v>144</v>
      </c>
      <c r="W75" s="242" t="s">
        <v>144</v>
      </c>
      <c r="Y75" s="243"/>
    </row>
    <row r="76" spans="22:25" x14ac:dyDescent="0.35">
      <c r="V76" s="242" t="s">
        <v>145</v>
      </c>
      <c r="W76" s="242" t="s">
        <v>145</v>
      </c>
      <c r="Y76" s="243"/>
    </row>
    <row r="77" spans="22:25" x14ac:dyDescent="0.35">
      <c r="V77" s="242" t="s">
        <v>146</v>
      </c>
      <c r="W77" s="242" t="s">
        <v>146</v>
      </c>
      <c r="Y77" s="243"/>
    </row>
    <row r="78" spans="22:25" x14ac:dyDescent="0.35">
      <c r="V78" s="242" t="s">
        <v>147</v>
      </c>
      <c r="W78" s="242" t="s">
        <v>147</v>
      </c>
      <c r="Y78" s="243"/>
    </row>
    <row r="79" spans="22:25" x14ac:dyDescent="0.35">
      <c r="V79" s="242" t="s">
        <v>148</v>
      </c>
      <c r="W79" s="242" t="s">
        <v>148</v>
      </c>
      <c r="Y79" s="243"/>
    </row>
    <row r="80" spans="22:25" x14ac:dyDescent="0.35">
      <c r="V80" s="242" t="s">
        <v>149</v>
      </c>
      <c r="W80" s="242" t="s">
        <v>149</v>
      </c>
      <c r="Y80" s="243"/>
    </row>
    <row r="81" spans="2:25" x14ac:dyDescent="0.35">
      <c r="V81" s="242" t="s">
        <v>150</v>
      </c>
      <c r="W81" s="242" t="s">
        <v>150</v>
      </c>
      <c r="Y81" s="243"/>
    </row>
    <row r="82" spans="2:25" x14ac:dyDescent="0.35">
      <c r="V82" s="242" t="s">
        <v>151</v>
      </c>
      <c r="W82" s="242" t="s">
        <v>151</v>
      </c>
      <c r="Y82" s="243"/>
    </row>
    <row r="83" spans="2:25" x14ac:dyDescent="0.35">
      <c r="V83" s="242" t="s">
        <v>206</v>
      </c>
      <c r="W83" s="242" t="s">
        <v>206</v>
      </c>
      <c r="Y83" s="243"/>
    </row>
    <row r="84" spans="2:25" x14ac:dyDescent="0.35">
      <c r="V84" s="242" t="s">
        <v>207</v>
      </c>
      <c r="W84" s="242" t="s">
        <v>207</v>
      </c>
      <c r="Y84" s="243"/>
    </row>
    <row r="85" spans="2:25" x14ac:dyDescent="0.35">
      <c r="V85" s="242" t="s">
        <v>208</v>
      </c>
      <c r="W85" s="242" t="s">
        <v>208</v>
      </c>
      <c r="Y85" s="243"/>
    </row>
    <row r="86" spans="2:25" x14ac:dyDescent="0.35">
      <c r="V86" s="242" t="s">
        <v>209</v>
      </c>
      <c r="W86" s="242" t="s">
        <v>209</v>
      </c>
      <c r="Y86" s="243"/>
    </row>
    <row r="87" spans="2:25" x14ac:dyDescent="0.35">
      <c r="V87" s="242" t="s">
        <v>152</v>
      </c>
      <c r="W87" s="242" t="s">
        <v>152</v>
      </c>
    </row>
    <row r="88" spans="2:25" x14ac:dyDescent="0.35">
      <c r="V88" s="242" t="s">
        <v>153</v>
      </c>
      <c r="W88" s="242" t="s">
        <v>153</v>
      </c>
    </row>
    <row r="89" spans="2:25" x14ac:dyDescent="0.35">
      <c r="V89" s="242" t="s">
        <v>154</v>
      </c>
      <c r="W89" s="242" t="s">
        <v>154</v>
      </c>
    </row>
    <row r="90" spans="2:25" x14ac:dyDescent="0.35">
      <c r="V90" s="242" t="s">
        <v>155</v>
      </c>
      <c r="W90" s="242" t="s">
        <v>155</v>
      </c>
    </row>
    <row r="91" spans="2:25" x14ac:dyDescent="0.35">
      <c r="V91" s="242" t="s">
        <v>156</v>
      </c>
      <c r="W91" s="242" t="s">
        <v>156</v>
      </c>
      <c r="X91" s="273"/>
      <c r="Y91" s="273"/>
    </row>
    <row r="92" spans="2:25" x14ac:dyDescent="0.35">
      <c r="V92" s="242" t="s">
        <v>157</v>
      </c>
      <c r="W92" s="242" t="s">
        <v>157</v>
      </c>
      <c r="X92" s="273"/>
      <c r="Y92" s="273"/>
    </row>
    <row r="93" spans="2:25" x14ac:dyDescent="0.35">
      <c r="V93" s="242" t="s">
        <v>158</v>
      </c>
      <c r="W93" s="242" t="s">
        <v>158</v>
      </c>
      <c r="X93" s="273"/>
      <c r="Y93" s="273"/>
    </row>
    <row r="94" spans="2:25" x14ac:dyDescent="0.35">
      <c r="V94" s="242" t="s">
        <v>159</v>
      </c>
      <c r="W94" s="242" t="s">
        <v>159</v>
      </c>
    </row>
    <row r="95" spans="2:25" x14ac:dyDescent="0.35">
      <c r="B95" s="288"/>
      <c r="C95" s="289"/>
      <c r="D95" s="288"/>
      <c r="E95" s="289"/>
      <c r="F95" s="289"/>
      <c r="G95" s="288"/>
      <c r="H95" s="289"/>
      <c r="I95" s="289"/>
      <c r="J95" s="288"/>
      <c r="K95" s="289"/>
      <c r="L95" s="289"/>
      <c r="V95" s="242" t="s">
        <v>160</v>
      </c>
      <c r="W95" s="242" t="s">
        <v>160</v>
      </c>
    </row>
    <row r="96" spans="2:25" x14ac:dyDescent="0.35">
      <c r="B96" s="288"/>
      <c r="C96" s="289"/>
      <c r="D96" s="288"/>
      <c r="E96" s="289"/>
      <c r="F96" s="289"/>
      <c r="G96" s="288"/>
      <c r="H96" s="289"/>
      <c r="I96" s="289"/>
      <c r="J96" s="288"/>
      <c r="K96" s="289"/>
      <c r="L96" s="289"/>
      <c r="V96" s="242" t="s">
        <v>161</v>
      </c>
      <c r="W96" s="242" t="s">
        <v>161</v>
      </c>
    </row>
    <row r="97" spans="2:23" x14ac:dyDescent="0.35">
      <c r="B97" s="288"/>
      <c r="C97" s="289"/>
      <c r="D97" s="288"/>
      <c r="E97" s="289"/>
      <c r="F97" s="289"/>
      <c r="G97" s="288"/>
      <c r="H97" s="289"/>
      <c r="I97" s="289"/>
      <c r="J97" s="288"/>
      <c r="K97" s="289"/>
      <c r="L97" s="289"/>
      <c r="V97" s="242" t="s">
        <v>162</v>
      </c>
      <c r="W97" s="242" t="s">
        <v>162</v>
      </c>
    </row>
    <row r="98" spans="2:23" x14ac:dyDescent="0.35">
      <c r="B98" s="288"/>
      <c r="C98" s="289"/>
      <c r="D98" s="288"/>
      <c r="E98" s="289"/>
      <c r="F98" s="289"/>
      <c r="G98" s="288"/>
      <c r="H98" s="289"/>
      <c r="I98" s="289"/>
      <c r="J98" s="288"/>
      <c r="K98" s="289"/>
      <c r="L98" s="289"/>
      <c r="V98" s="242" t="s">
        <v>163</v>
      </c>
      <c r="W98" s="242" t="s">
        <v>163</v>
      </c>
    </row>
    <row r="99" spans="2:23" x14ac:dyDescent="0.35">
      <c r="B99" s="288"/>
      <c r="C99" s="289"/>
      <c r="D99" s="288"/>
      <c r="E99" s="289"/>
      <c r="F99" s="289"/>
      <c r="G99" s="288"/>
      <c r="H99" s="289"/>
      <c r="I99" s="289"/>
      <c r="J99" s="288"/>
      <c r="K99" s="289"/>
      <c r="L99" s="289"/>
      <c r="V99" s="242" t="s">
        <v>164</v>
      </c>
      <c r="W99" s="242" t="s">
        <v>164</v>
      </c>
    </row>
    <row r="100" spans="2:23" x14ac:dyDescent="0.35">
      <c r="B100" s="288"/>
      <c r="C100" s="289"/>
      <c r="D100" s="288"/>
      <c r="E100" s="289"/>
      <c r="F100" s="289"/>
      <c r="G100" s="288"/>
      <c r="H100" s="289"/>
      <c r="I100" s="289"/>
      <c r="J100" s="288"/>
      <c r="K100" s="289"/>
      <c r="L100" s="289"/>
      <c r="V100" s="242" t="s">
        <v>165</v>
      </c>
      <c r="W100" s="242" t="s">
        <v>165</v>
      </c>
    </row>
    <row r="101" spans="2:23" x14ac:dyDescent="0.35">
      <c r="B101" s="288"/>
      <c r="C101" s="289"/>
      <c r="D101" s="288"/>
      <c r="E101" s="289"/>
      <c r="F101" s="289"/>
      <c r="G101" s="288"/>
      <c r="H101" s="289"/>
      <c r="I101" s="289"/>
      <c r="J101" s="288"/>
      <c r="K101" s="289"/>
      <c r="L101" s="289"/>
    </row>
    <row r="102" spans="2:23" hidden="1" x14ac:dyDescent="0.35">
      <c r="B102" s="288"/>
      <c r="C102" s="292">
        <v>1</v>
      </c>
      <c r="D102" s="292">
        <v>2</v>
      </c>
      <c r="E102" s="292">
        <v>3</v>
      </c>
      <c r="F102" s="289"/>
      <c r="G102" s="290"/>
      <c r="H102" s="289"/>
      <c r="I102" s="289"/>
      <c r="J102" s="290"/>
      <c r="K102" s="289"/>
      <c r="L102" s="289"/>
      <c r="M102" s="242"/>
    </row>
    <row r="103" spans="2:23" hidden="1" x14ac:dyDescent="0.35">
      <c r="B103" s="288"/>
      <c r="C103" s="292" t="str">
        <f>IF(B5=$V$23,"",IFERROR(VLOOKUP(B5,$V$25:$W$103,2,FALSE),""))</f>
        <v/>
      </c>
      <c r="D103" s="292" t="str">
        <f>IF(B20=$V$23,"",IFERROR(VLOOKUP(B20,$V$25:$W$103,2,FALSE),""))</f>
        <v/>
      </c>
      <c r="E103" s="292" t="str">
        <f>IF(B35=$V$23,"",IFERROR(VLOOKUP(B35,$V$25:$W$103,2,FALSE),""))</f>
        <v/>
      </c>
      <c r="F103" s="289"/>
      <c r="G103" s="288"/>
      <c r="H103" s="289"/>
      <c r="I103" s="289"/>
      <c r="J103" s="288"/>
      <c r="K103" s="289"/>
      <c r="L103" s="289"/>
    </row>
    <row r="104" spans="2:23" hidden="1" x14ac:dyDescent="0.35">
      <c r="B104" s="288"/>
      <c r="C104" s="293">
        <f>IF(B6=$X$23,"",IFERROR(VLOOKUP(B6,$X$26:$Y$62,2,FALSE),""))</f>
        <v>45778</v>
      </c>
      <c r="D104" s="293">
        <f>IF(B21=$X$23,"",IFERROR(VLOOKUP(B21,$X$26:$Y$62,2,FALSE),""))</f>
        <v>45778</v>
      </c>
      <c r="E104" s="293">
        <f>IF(B36=$X$23,"",IFERROR(VLOOKUP(B36,$X$26:$Y$62,2,FALSE),""))</f>
        <v>45778</v>
      </c>
      <c r="F104" s="289"/>
      <c r="G104" s="288"/>
      <c r="H104" s="289"/>
      <c r="I104" s="289"/>
      <c r="J104" s="288"/>
      <c r="K104" s="291"/>
      <c r="L104" s="289"/>
      <c r="N104" s="244"/>
    </row>
    <row r="105" spans="2:23" x14ac:dyDescent="0.35">
      <c r="B105" s="288"/>
      <c r="C105" s="289"/>
      <c r="D105" s="288"/>
      <c r="E105" s="289"/>
      <c r="F105" s="289"/>
      <c r="G105" s="288"/>
      <c r="H105" s="289"/>
      <c r="I105" s="289"/>
      <c r="J105" s="288"/>
      <c r="K105" s="289"/>
      <c r="L105" s="289"/>
    </row>
    <row r="106" spans="2:23" x14ac:dyDescent="0.35">
      <c r="B106" s="288"/>
      <c r="C106" s="289"/>
      <c r="D106" s="288"/>
      <c r="E106" s="289"/>
      <c r="F106" s="289"/>
      <c r="G106" s="288"/>
      <c r="H106" s="289"/>
      <c r="I106" s="289"/>
      <c r="J106" s="288"/>
      <c r="K106" s="289"/>
      <c r="L106" s="289"/>
    </row>
    <row r="107" spans="2:23" x14ac:dyDescent="0.35">
      <c r="B107" s="288"/>
      <c r="C107" s="289"/>
      <c r="D107" s="288"/>
      <c r="E107" s="289"/>
      <c r="F107" s="289"/>
      <c r="G107" s="288"/>
      <c r="H107" s="289"/>
      <c r="I107" s="289"/>
      <c r="J107" s="288"/>
      <c r="K107" s="289"/>
      <c r="L107" s="289"/>
    </row>
    <row r="108" spans="2:23" x14ac:dyDescent="0.35">
      <c r="B108" s="288"/>
      <c r="C108" s="289"/>
      <c r="D108" s="288"/>
      <c r="E108" s="289"/>
      <c r="F108" s="289"/>
      <c r="G108" s="288"/>
      <c r="H108" s="289"/>
      <c r="I108" s="289"/>
      <c r="J108" s="288"/>
      <c r="K108" s="289"/>
      <c r="L108" s="289"/>
      <c r="V108" s="273"/>
      <c r="W108" s="273"/>
    </row>
    <row r="109" spans="2:23" x14ac:dyDescent="0.35">
      <c r="B109" s="288"/>
      <c r="C109" s="289"/>
      <c r="D109" s="288"/>
      <c r="E109" s="289"/>
      <c r="F109" s="289"/>
      <c r="G109" s="288"/>
      <c r="H109" s="289"/>
      <c r="I109" s="289"/>
      <c r="J109" s="288"/>
      <c r="K109" s="289"/>
      <c r="L109" s="289"/>
      <c r="V109" s="273"/>
      <c r="W109" s="273"/>
    </row>
    <row r="110" spans="2:23" x14ac:dyDescent="0.35">
      <c r="B110" s="288"/>
      <c r="C110" s="289"/>
      <c r="D110" s="288"/>
      <c r="E110" s="289"/>
      <c r="F110" s="289"/>
      <c r="G110" s="288"/>
      <c r="H110" s="289"/>
      <c r="I110" s="289"/>
      <c r="J110" s="288"/>
      <c r="K110" s="289"/>
      <c r="L110" s="289"/>
      <c r="V110" s="273"/>
      <c r="W110" s="273"/>
    </row>
    <row r="111" spans="2:23" x14ac:dyDescent="0.35">
      <c r="B111" s="288"/>
      <c r="C111" s="289"/>
      <c r="D111" s="288"/>
      <c r="E111" s="289"/>
      <c r="F111" s="289"/>
      <c r="G111" s="288"/>
      <c r="H111" s="289"/>
      <c r="I111" s="289"/>
      <c r="J111" s="288"/>
      <c r="K111" s="289"/>
      <c r="L111" s="289"/>
    </row>
    <row r="112" spans="2:23" x14ac:dyDescent="0.35">
      <c r="B112" s="288"/>
      <c r="C112" s="289"/>
      <c r="D112" s="288"/>
      <c r="E112" s="289"/>
      <c r="F112" s="289"/>
      <c r="G112" s="288"/>
      <c r="H112" s="289"/>
      <c r="I112" s="289"/>
      <c r="J112" s="288"/>
      <c r="K112" s="289"/>
      <c r="L112" s="289"/>
    </row>
    <row r="113" spans="2:12" x14ac:dyDescent="0.35">
      <c r="B113" s="288"/>
      <c r="C113" s="289"/>
      <c r="D113" s="288"/>
      <c r="E113" s="289"/>
      <c r="F113" s="289"/>
      <c r="G113" s="288"/>
      <c r="H113" s="289"/>
      <c r="I113" s="289"/>
      <c r="J113" s="288"/>
      <c r="K113" s="289"/>
      <c r="L113" s="289"/>
    </row>
    <row r="114" spans="2:12" x14ac:dyDescent="0.35">
      <c r="B114" s="288"/>
      <c r="C114" s="289"/>
      <c r="D114" s="288"/>
      <c r="E114" s="289"/>
      <c r="F114" s="289"/>
      <c r="G114" s="288"/>
      <c r="H114" s="289"/>
      <c r="I114" s="289"/>
      <c r="J114" s="288"/>
      <c r="K114" s="289"/>
      <c r="L114" s="289"/>
    </row>
    <row r="115" spans="2:12" x14ac:dyDescent="0.35">
      <c r="B115" s="288"/>
      <c r="C115" s="289"/>
      <c r="D115" s="288"/>
      <c r="E115" s="289"/>
      <c r="F115" s="289"/>
      <c r="G115" s="288"/>
      <c r="H115" s="289"/>
      <c r="I115" s="289"/>
      <c r="J115" s="288"/>
      <c r="K115" s="289"/>
      <c r="L115" s="289"/>
    </row>
    <row r="116" spans="2:12" x14ac:dyDescent="0.35">
      <c r="B116" s="288"/>
      <c r="C116" s="289"/>
      <c r="D116" s="288"/>
      <c r="E116" s="289"/>
      <c r="F116" s="289"/>
      <c r="G116" s="288"/>
      <c r="H116" s="289"/>
      <c r="I116" s="289"/>
      <c r="J116" s="288"/>
      <c r="K116" s="289"/>
      <c r="L116" s="289"/>
    </row>
    <row r="117" spans="2:12" x14ac:dyDescent="0.35">
      <c r="B117" s="288"/>
      <c r="C117" s="289"/>
      <c r="D117" s="288"/>
      <c r="E117" s="289"/>
      <c r="F117" s="289"/>
      <c r="G117" s="288"/>
      <c r="H117" s="289"/>
      <c r="I117" s="289"/>
      <c r="J117" s="288"/>
      <c r="K117" s="289"/>
      <c r="L117" s="289"/>
    </row>
    <row r="118" spans="2:12" x14ac:dyDescent="0.35">
      <c r="B118" s="288"/>
      <c r="C118" s="289"/>
      <c r="D118" s="288"/>
      <c r="E118" s="289"/>
      <c r="F118" s="289"/>
      <c r="G118" s="288"/>
      <c r="H118" s="289"/>
      <c r="I118" s="289"/>
      <c r="J118" s="288"/>
      <c r="K118" s="289"/>
      <c r="L118" s="289"/>
    </row>
    <row r="119" spans="2:12" x14ac:dyDescent="0.35">
      <c r="B119" s="288"/>
      <c r="C119" s="289"/>
      <c r="D119" s="288"/>
      <c r="E119" s="289"/>
      <c r="F119" s="289"/>
      <c r="G119" s="288"/>
      <c r="H119" s="289"/>
      <c r="I119" s="289"/>
      <c r="J119" s="288"/>
      <c r="K119" s="289"/>
      <c r="L119" s="289"/>
    </row>
    <row r="120" spans="2:12" x14ac:dyDescent="0.35">
      <c r="B120" s="288"/>
      <c r="C120" s="289"/>
      <c r="D120" s="288"/>
      <c r="E120" s="289"/>
      <c r="F120" s="289"/>
      <c r="G120" s="288"/>
      <c r="H120" s="289"/>
      <c r="I120" s="289"/>
      <c r="J120" s="288"/>
      <c r="K120" s="289"/>
      <c r="L120" s="289"/>
    </row>
    <row r="121" spans="2:12" x14ac:dyDescent="0.35">
      <c r="B121" s="288"/>
      <c r="C121" s="289"/>
      <c r="D121" s="288"/>
      <c r="E121" s="289"/>
      <c r="F121" s="289"/>
      <c r="G121" s="288"/>
      <c r="H121" s="289"/>
      <c r="I121" s="289"/>
      <c r="J121" s="288"/>
      <c r="K121" s="289"/>
      <c r="L121" s="289"/>
    </row>
    <row r="122" spans="2:12" x14ac:dyDescent="0.35">
      <c r="B122" s="288"/>
      <c r="C122" s="289"/>
      <c r="D122" s="288"/>
      <c r="E122" s="289"/>
      <c r="F122" s="289"/>
      <c r="G122" s="288"/>
      <c r="H122" s="289"/>
      <c r="I122" s="289"/>
      <c r="J122" s="288"/>
      <c r="K122" s="289"/>
      <c r="L122" s="289"/>
    </row>
    <row r="123" spans="2:12" x14ac:dyDescent="0.35">
      <c r="B123" s="288"/>
      <c r="C123" s="289"/>
      <c r="D123" s="288"/>
      <c r="E123" s="289"/>
      <c r="F123" s="289"/>
      <c r="G123" s="288"/>
      <c r="H123" s="289"/>
      <c r="I123" s="289"/>
      <c r="J123" s="288"/>
      <c r="K123" s="289"/>
      <c r="L123" s="289"/>
    </row>
    <row r="124" spans="2:12" x14ac:dyDescent="0.35">
      <c r="B124" s="288"/>
      <c r="C124" s="289"/>
      <c r="D124" s="288"/>
      <c r="E124" s="289"/>
      <c r="F124" s="289"/>
      <c r="G124" s="288"/>
      <c r="H124" s="289"/>
      <c r="I124" s="289"/>
      <c r="J124" s="288"/>
      <c r="K124" s="289"/>
      <c r="L124" s="289"/>
    </row>
    <row r="125" spans="2:12" x14ac:dyDescent="0.35">
      <c r="B125" s="288"/>
      <c r="C125" s="289"/>
      <c r="D125" s="288"/>
      <c r="E125" s="289"/>
      <c r="F125" s="289"/>
      <c r="G125" s="288"/>
      <c r="H125" s="289"/>
      <c r="I125" s="289"/>
      <c r="J125" s="288"/>
      <c r="K125" s="289"/>
      <c r="L125" s="289"/>
    </row>
    <row r="126" spans="2:12" x14ac:dyDescent="0.35">
      <c r="B126" s="288"/>
      <c r="C126" s="289"/>
      <c r="D126" s="288"/>
      <c r="E126" s="289"/>
      <c r="F126" s="289"/>
      <c r="G126" s="288"/>
      <c r="H126" s="289"/>
      <c r="I126" s="289"/>
      <c r="J126" s="288"/>
      <c r="K126" s="289"/>
      <c r="L126" s="289"/>
    </row>
  </sheetData>
  <sortState xmlns:xlrd2="http://schemas.microsoft.com/office/spreadsheetml/2017/richdata2" ref="X25:Z62">
    <sortCondition descending="1" ref="Z25:Z62"/>
  </sortState>
  <mergeCells count="3">
    <mergeCell ref="C20:D21"/>
    <mergeCell ref="C35:D36"/>
    <mergeCell ref="C5:D6"/>
  </mergeCells>
  <conditionalFormatting sqref="C17:H17 C32:H32 C47:H47">
    <cfRule type="cellIs" dxfId="1" priority="1" stopIfTrue="1" operator="equal">
      <formula>"-"</formula>
    </cfRule>
  </conditionalFormatting>
  <dataValidations count="2">
    <dataValidation type="list" allowBlank="1" showInputMessage="1" showErrorMessage="1" sqref="B6 B21 B36" xr:uid="{68159ABE-BA0C-1D41-A2B9-7023914EBE08}">
      <formula1>$W$7:$W$13</formula1>
    </dataValidation>
    <dataValidation type="list" allowBlank="1" showInputMessage="1" showErrorMessage="1" sqref="B5 B35 B20" xr:uid="{ADAAF81B-C56E-1D48-BE9C-DB15BC397A8F}">
      <formula1>$V$25:$V$103</formula1>
    </dataValidation>
  </dataValidations>
  <pageMargins left="0.7" right="0.7" top="0.75" bottom="0.75" header="0.3" footer="0.3"/>
  <pageSetup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4205-7CA0-CA49-A92A-983BEA3A36FD}">
  <sheetPr>
    <pageSetUpPr fitToPage="1"/>
  </sheetPr>
  <dimension ref="A1:N90"/>
  <sheetViews>
    <sheetView showGridLines="0" zoomScale="60" zoomScaleNormal="60" workbookViewId="0">
      <pane ySplit="4" topLeftCell="A5" activePane="bottomLeft" state="frozen"/>
      <selection activeCell="H7" sqref="H7"/>
      <selection pane="bottomLeft" activeCell="H7" sqref="H7"/>
    </sheetView>
  </sheetViews>
  <sheetFormatPr defaultColWidth="10.83203125" defaultRowHeight="15.5" x14ac:dyDescent="0.35"/>
  <cols>
    <col min="1" max="1" width="2.33203125" style="423" customWidth="1"/>
    <col min="2" max="2" width="31.08203125" style="1" customWidth="1"/>
    <col min="3" max="9" width="11.33203125" style="1" customWidth="1"/>
    <col min="10" max="10" width="18.33203125" style="1" hidden="1" customWidth="1"/>
    <col min="11" max="13" width="11.33203125" style="1" customWidth="1"/>
    <col min="14" max="16384" width="10.83203125" style="1"/>
  </cols>
  <sheetData>
    <row r="1" spans="1:13" ht="10" customHeight="1" thickBot="1" x14ac:dyDescent="0.4"/>
    <row r="2" spans="1:13" ht="25" customHeight="1" thickBot="1" x14ac:dyDescent="0.4">
      <c r="B2" s="472" t="s">
        <v>370</v>
      </c>
      <c r="C2" s="498">
        <f>WORKSHEET!F4</f>
        <v>45992</v>
      </c>
      <c r="D2" s="499"/>
      <c r="E2" s="500"/>
    </row>
    <row r="3" spans="1:13" ht="12" customHeight="1" x14ac:dyDescent="0.35"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ht="65.150000000000006" customHeight="1" thickBot="1" x14ac:dyDescent="0.4">
      <c r="B4" s="437" t="s">
        <v>1</v>
      </c>
      <c r="C4" s="438" t="s">
        <v>2</v>
      </c>
      <c r="D4" s="439" t="s">
        <v>371</v>
      </c>
      <c r="E4" s="440" t="s">
        <v>4</v>
      </c>
      <c r="F4" s="441" t="s">
        <v>372</v>
      </c>
      <c r="G4" s="442" t="s">
        <v>6</v>
      </c>
      <c r="H4" s="443" t="s">
        <v>373</v>
      </c>
      <c r="I4" s="444" t="s">
        <v>369</v>
      </c>
      <c r="J4" s="443" t="s">
        <v>9</v>
      </c>
      <c r="K4" s="443" t="s">
        <v>10</v>
      </c>
      <c r="L4" s="444" t="s">
        <v>11</v>
      </c>
      <c r="M4" s="445" t="s">
        <v>12</v>
      </c>
    </row>
    <row r="5" spans="1:13" ht="42" customHeight="1" thickTop="1" thickBot="1" x14ac:dyDescent="0.4">
      <c r="B5" s="464" t="s">
        <v>374</v>
      </c>
      <c r="C5" s="465" t="s">
        <v>375</v>
      </c>
      <c r="D5" s="466" t="s">
        <v>376</v>
      </c>
      <c r="E5" s="467" t="s">
        <v>377</v>
      </c>
      <c r="F5" s="468" t="s">
        <v>80</v>
      </c>
      <c r="G5" s="469" t="s">
        <v>378</v>
      </c>
      <c r="H5" s="469" t="s">
        <v>379</v>
      </c>
      <c r="I5" s="469" t="s">
        <v>380</v>
      </c>
      <c r="J5" s="467" t="s">
        <v>381</v>
      </c>
      <c r="K5" s="467" t="s">
        <v>382</v>
      </c>
      <c r="L5" s="470" t="s">
        <v>383</v>
      </c>
      <c r="M5" s="471">
        <v>1</v>
      </c>
    </row>
    <row r="6" spans="1:13" s="87" customFormat="1" ht="5.15" customHeight="1" thickTop="1" x14ac:dyDescent="0.35">
      <c r="A6" s="424"/>
      <c r="B6" s="153"/>
      <c r="C6" s="154"/>
      <c r="D6" s="297"/>
      <c r="E6" s="155"/>
      <c r="F6" s="297"/>
      <c r="G6" s="154"/>
      <c r="H6" s="310"/>
      <c r="I6" s="156"/>
      <c r="J6" s="310"/>
      <c r="K6" s="310"/>
      <c r="L6" s="156"/>
      <c r="M6" s="157"/>
    </row>
    <row r="7" spans="1:13" s="87" customFormat="1" ht="24" customHeight="1" x14ac:dyDescent="0.35">
      <c r="A7" s="424"/>
      <c r="B7" s="115" t="s">
        <v>13</v>
      </c>
      <c r="C7" s="116">
        <f>'LEGEND&amp;DATA'!G91</f>
        <v>0.97143930853062754</v>
      </c>
      <c r="D7" s="298">
        <f>'LEGEND&amp;DATA'!I91</f>
        <v>1.8731501057082451</v>
      </c>
      <c r="E7" s="117">
        <f>'LEGEND&amp;DATA'!M91</f>
        <v>2.2108183079056865</v>
      </c>
      <c r="F7" s="306">
        <f>'LEGEND&amp;DATA'!O91</f>
        <v>0.75765151515151519</v>
      </c>
      <c r="G7" s="118">
        <f>'LEGEND&amp;DATA'!Q91</f>
        <v>0.15163094644736114</v>
      </c>
      <c r="H7" s="311">
        <f>'LEGEND&amp;DATA'!S91</f>
        <v>0.22062168309325247</v>
      </c>
      <c r="I7" s="119">
        <f>'LEGEND&amp;DATA'!U91</f>
        <v>0.65154264972776765</v>
      </c>
      <c r="J7" s="311" t="str">
        <f>'LEGEND&amp;DATA'!W91</f>
        <v>-</v>
      </c>
      <c r="K7" s="311">
        <f>'LEGEND&amp;DATA'!Y91</f>
        <v>1.0258379888268156</v>
      </c>
      <c r="L7" s="119">
        <f>'LEGEND&amp;DATA'!AA91</f>
        <v>0.58327668252889187</v>
      </c>
      <c r="M7" s="120">
        <f>'LEGEND&amp;DATA'!AE91</f>
        <v>0.80683543807357438</v>
      </c>
    </row>
    <row r="8" spans="1:13" s="87" customFormat="1" ht="5.15" customHeight="1" thickBot="1" x14ac:dyDescent="0.4">
      <c r="A8" s="424"/>
      <c r="B8" s="133"/>
      <c r="C8" s="145"/>
      <c r="D8" s="299"/>
      <c r="E8" s="146"/>
      <c r="F8" s="299"/>
      <c r="G8" s="145"/>
      <c r="H8" s="312"/>
      <c r="I8" s="147"/>
      <c r="J8" s="312"/>
      <c r="K8" s="312"/>
      <c r="L8" s="147"/>
      <c r="M8" s="148"/>
    </row>
    <row r="9" spans="1:13" s="87" customFormat="1" ht="5.15" customHeight="1" x14ac:dyDescent="0.35">
      <c r="A9" s="424"/>
      <c r="B9" s="134"/>
      <c r="C9" s="149"/>
      <c r="D9" s="300"/>
      <c r="E9" s="150"/>
      <c r="F9" s="300"/>
      <c r="G9" s="149"/>
      <c r="H9" s="313"/>
      <c r="I9" s="151"/>
      <c r="J9" s="313"/>
      <c r="K9" s="313"/>
      <c r="L9" s="151"/>
      <c r="M9" s="152"/>
    </row>
    <row r="10" spans="1:13" ht="18" customHeight="1" x14ac:dyDescent="0.35">
      <c r="A10" s="425">
        <v>1</v>
      </c>
      <c r="B10" s="447" t="str">
        <f>VLOOKUP($A10,'LEGEND&amp;DATA'!$AF$92:$AG$100,2,FALSE)</f>
        <v>Orange County</v>
      </c>
      <c r="C10" s="448">
        <f>IFERROR(VLOOKUP($B10,'LEGEND&amp;DATA'!$F$20:$AB$100,2,FALSE),"")</f>
        <v>0.8927848954821308</v>
      </c>
      <c r="D10" s="449">
        <f>IFERROR(VLOOKUP($B10,'LEGEND&amp;DATA'!$F$20:$AB$100,4,FALSE),"")</f>
        <v>2.2736842105263158</v>
      </c>
      <c r="E10" s="450">
        <f>IFERROR(VLOOKUP($B10,'LEGEND&amp;DATA'!$F$20:$AB$100,8,FALSE),"")</f>
        <v>2.6419753086419755</v>
      </c>
      <c r="F10" s="451">
        <f>IFERROR(VLOOKUP($B10,'LEGEND&amp;DATA'!$F$20:$AB$100,10,FALSE),"")</f>
        <v>0.91666666666666663</v>
      </c>
      <c r="G10" s="452">
        <f>IFERROR(VLOOKUP($B10,'LEGEND&amp;DATA'!$F$20:$AB$100,12,FALSE),"")</f>
        <v>0.17775229357798164</v>
      </c>
      <c r="H10" s="453">
        <f>IFERROR(VLOOKUP($B10,'LEGEND&amp;DATA'!$F$20:$AB$100,14,FALSE),"")</f>
        <v>0.29349269588313415</v>
      </c>
      <c r="I10" s="454">
        <f>IFERROR(VLOOKUP($B10,'LEGEND&amp;DATA'!$F$20:$AB$100,16,FALSE),"")</f>
        <v>0.61445783132530118</v>
      </c>
      <c r="J10" s="451" t="str">
        <f>IFERROR(VLOOKUP($B10,'LEGEND&amp;DATA'!$F$20:$AB$100,18,FALSE),"")</f>
        <v>-</v>
      </c>
      <c r="K10" s="453">
        <f>IFERROR(VLOOKUP($B10,'LEGEND&amp;DATA'!$F$20:$AB$100,20,FALSE),"")</f>
        <v>1.1773288439955107</v>
      </c>
      <c r="L10" s="454">
        <f>IFERROR(VLOOKUP($B10,'LEGEND&amp;DATA'!$F$20:$AB$100,22,FALSE),"")</f>
        <v>0.68706896551724139</v>
      </c>
      <c r="M10" s="446">
        <f>IFERROR(VLOOKUP($B10,'LEGEND&amp;DATA'!$F$20:$AE$100,26,FALSE),"")</f>
        <v>0.83198830409356717</v>
      </c>
    </row>
    <row r="11" spans="1:13" ht="18" customHeight="1" x14ac:dyDescent="0.35">
      <c r="A11" s="425">
        <v>2</v>
      </c>
      <c r="B11" s="447" t="str">
        <f>VLOOKUP($A11,'LEGEND&amp;DATA'!$AF$92:$AG$100,2,FALSE)</f>
        <v>Arizona</v>
      </c>
      <c r="C11" s="448">
        <f>IFERROR(VLOOKUP($B11,'LEGEND&amp;DATA'!$F$20:$AB$100,2,FALSE),"")</f>
        <v>0.96024096385542168</v>
      </c>
      <c r="D11" s="449">
        <f>IFERROR(VLOOKUP($B11,'LEGEND&amp;DATA'!$F$20:$AB$100,4,FALSE),"")</f>
        <v>2.3085501858736057</v>
      </c>
      <c r="E11" s="450">
        <f>IFERROR(VLOOKUP($B11,'LEGEND&amp;DATA'!$F$20:$AB$100,8,FALSE),"")</f>
        <v>2.442622950819672</v>
      </c>
      <c r="F11" s="451">
        <f>IFERROR(VLOOKUP($B11,'LEGEND&amp;DATA'!$F$20:$AB$100,10,FALSE),"")</f>
        <v>0.79861111111111116</v>
      </c>
      <c r="G11" s="452">
        <f>IFERROR(VLOOKUP($B11,'LEGEND&amp;DATA'!$F$20:$AB$100,12,FALSE),"")</f>
        <v>0.16151202749140894</v>
      </c>
      <c r="H11" s="453">
        <f>IFERROR(VLOOKUP($B11,'LEGEND&amp;DATA'!$F$20:$AB$100,14,FALSE),"")</f>
        <v>0.21628498727735368</v>
      </c>
      <c r="I11" s="454">
        <f>IFERROR(VLOOKUP($B11,'LEGEND&amp;DATA'!$F$20:$AB$100,16,FALSE),"")</f>
        <v>0.6875</v>
      </c>
      <c r="J11" s="451" t="str">
        <f>IFERROR(VLOOKUP($B11,'LEGEND&amp;DATA'!$F$20:$AB$100,18,FALSE),"")</f>
        <v>-</v>
      </c>
      <c r="K11" s="453">
        <f>IFERROR(VLOOKUP($B11,'LEGEND&amp;DATA'!$F$20:$AB$100,20,FALSE),"")</f>
        <v>0.96731358529111333</v>
      </c>
      <c r="L11" s="454">
        <f>IFERROR(VLOOKUP($B11,'LEGEND&amp;DATA'!$F$20:$AB$100,22,FALSE),"")</f>
        <v>0.65791632485643969</v>
      </c>
      <c r="M11" s="446">
        <f>IFERROR(VLOOKUP($B11,'LEGEND&amp;DATA'!$F$20:$AE$100,26,FALSE),"")</f>
        <v>0.82871212121212101</v>
      </c>
    </row>
    <row r="12" spans="1:13" ht="18" customHeight="1" x14ac:dyDescent="0.35">
      <c r="A12" s="425">
        <v>3</v>
      </c>
      <c r="B12" s="447" t="str">
        <f>VLOOKUP($A12,'LEGEND&amp;DATA'!$AF$92:$AG$100,2,FALSE)</f>
        <v>Southern California</v>
      </c>
      <c r="C12" s="448">
        <f>IFERROR(VLOOKUP($B12,'LEGEND&amp;DATA'!$F$20:$AB$100,2,FALSE),"")</f>
        <v>0.99740596627756162</v>
      </c>
      <c r="D12" s="449">
        <f>IFERROR(VLOOKUP($B12,'LEGEND&amp;DATA'!$F$20:$AB$100,4,FALSE),"")</f>
        <v>2.0660377358490565</v>
      </c>
      <c r="E12" s="450">
        <f>IFERROR(VLOOKUP($B12,'LEGEND&amp;DATA'!$F$20:$AB$100,8,FALSE),"")</f>
        <v>2.6120689655172415</v>
      </c>
      <c r="F12" s="451">
        <f>IFERROR(VLOOKUP($B12,'LEGEND&amp;DATA'!$F$20:$AB$100,10,FALSE),"")</f>
        <v>0.87549999999999994</v>
      </c>
      <c r="G12" s="452">
        <f>IFERROR(VLOOKUP($B12,'LEGEND&amp;DATA'!$F$20:$AB$100,12,FALSE),"")</f>
        <v>0.14974003466204505</v>
      </c>
      <c r="H12" s="453">
        <f>IFERROR(VLOOKUP($B12,'LEGEND&amp;DATA'!$F$20:$AB$100,14,FALSE),"")</f>
        <v>0.23931623931623933</v>
      </c>
      <c r="I12" s="454">
        <f>IFERROR(VLOOKUP($B12,'LEGEND&amp;DATA'!$F$20:$AB$100,16,FALSE),"")</f>
        <v>0.69461077844311381</v>
      </c>
      <c r="J12" s="451" t="str">
        <f>IFERROR(VLOOKUP($B12,'LEGEND&amp;DATA'!$F$20:$AB$100,18,FALSE),"")</f>
        <v>-</v>
      </c>
      <c r="K12" s="453">
        <f>IFERROR(VLOOKUP($B12,'LEGEND&amp;DATA'!$F$20:$AB$100,20,FALSE),"")</f>
        <v>1.0246865203761755</v>
      </c>
      <c r="L12" s="454">
        <f>IFERROR(VLOOKUP($B12,'LEGEND&amp;DATA'!$F$20:$AB$100,22,FALSE),"")</f>
        <v>0.60992907801418439</v>
      </c>
      <c r="M12" s="446">
        <f>IFERROR(VLOOKUP($B12,'LEGEND&amp;DATA'!$F$20:$AE$100,26,FALSE),"")</f>
        <v>0.82499999999999996</v>
      </c>
    </row>
    <row r="13" spans="1:13" ht="18" customHeight="1" x14ac:dyDescent="0.35">
      <c r="A13" s="425">
        <v>4</v>
      </c>
      <c r="B13" s="447" t="str">
        <f>VLOOKUP($A13,'LEGEND&amp;DATA'!$AF$92:$AG$100,2,FALSE)</f>
        <v>Michigan &amp; Minnesota</v>
      </c>
      <c r="C13" s="448">
        <f>IFERROR(VLOOKUP($B13,'LEGEND&amp;DATA'!$F$20:$AB$100,2,FALSE),"")</f>
        <v>0.9563567362428842</v>
      </c>
      <c r="D13" s="449">
        <f>IFERROR(VLOOKUP($B13,'LEGEND&amp;DATA'!$F$20:$AB$100,4,FALSE),"")</f>
        <v>3.8691588785046731</v>
      </c>
      <c r="E13" s="450">
        <f>IFERROR(VLOOKUP($B13,'LEGEND&amp;DATA'!$F$20:$AB$100,8,FALSE),"")</f>
        <v>2.342857142857143</v>
      </c>
      <c r="F13" s="451">
        <f>IFERROR(VLOOKUP($B13,'LEGEND&amp;DATA'!$F$20:$AB$100,10,FALSE),"")</f>
        <v>0.625</v>
      </c>
      <c r="G13" s="452">
        <f>IFERROR(VLOOKUP($B13,'LEGEND&amp;DATA'!$F$20:$AB$100,12,FALSE),"")</f>
        <v>0.18204488778054864</v>
      </c>
      <c r="H13" s="453">
        <f>IFERROR(VLOOKUP($B13,'LEGEND&amp;DATA'!$F$20:$AB$100,14,FALSE),"")</f>
        <v>0.22404371584699453</v>
      </c>
      <c r="I13" s="454">
        <f>IFERROR(VLOOKUP($B13,'LEGEND&amp;DATA'!$F$20:$AB$100,16,FALSE),"")</f>
        <v>0.42</v>
      </c>
      <c r="J13" s="451" t="str">
        <f>IFERROR(VLOOKUP($B13,'LEGEND&amp;DATA'!$F$20:$AB$100,18,FALSE),"")</f>
        <v>-</v>
      </c>
      <c r="K13" s="453">
        <f>IFERROR(VLOOKUP($B13,'LEGEND&amp;DATA'!$F$20:$AB$100,20,FALSE),"")</f>
        <v>0.93766233766233764</v>
      </c>
      <c r="L13" s="454">
        <f>IFERROR(VLOOKUP($B13,'LEGEND&amp;DATA'!$F$20:$AB$100,22,FALSE),"")</f>
        <v>0.51574803149606296</v>
      </c>
      <c r="M13" s="446">
        <f>IFERROR(VLOOKUP($B13,'LEGEND&amp;DATA'!$F$20:$AE$100,26,FALSE),"")</f>
        <v>0.80333333333333334</v>
      </c>
    </row>
    <row r="14" spans="1:13" ht="18" customHeight="1" x14ac:dyDescent="0.35">
      <c r="A14" s="425">
        <v>5</v>
      </c>
      <c r="B14" s="447" t="str">
        <f>VLOOKUP($A14,'LEGEND&amp;DATA'!$AF$92:$AG$100,2,FALSE)</f>
        <v>Texas</v>
      </c>
      <c r="C14" s="448">
        <f>IFERROR(VLOOKUP($B14,'LEGEND&amp;DATA'!$F$20:$AB$100,2,FALSE),"")</f>
        <v>1.0673035171515415</v>
      </c>
      <c r="D14" s="449">
        <f>IFERROR(VLOOKUP($B14,'LEGEND&amp;DATA'!$F$20:$AB$100,4,FALSE),"")</f>
        <v>1.2473347547974414</v>
      </c>
      <c r="E14" s="450">
        <f>IFERROR(VLOOKUP($B14,'LEGEND&amp;DATA'!$F$20:$AB$100,8,FALSE),"")</f>
        <v>1.7898089171974523</v>
      </c>
      <c r="F14" s="451">
        <f>IFERROR(VLOOKUP($B14,'LEGEND&amp;DATA'!$F$20:$AB$100,10,FALSE),"")</f>
        <v>0.82499999999999996</v>
      </c>
      <c r="G14" s="452">
        <f>IFERROR(VLOOKUP($B14,'LEGEND&amp;DATA'!$F$20:$AB$100,12,FALSE),"")</f>
        <v>0.12621737436696534</v>
      </c>
      <c r="H14" s="453">
        <f>IFERROR(VLOOKUP($B14,'LEGEND&amp;DATA'!$F$20:$AB$100,14,FALSE),"")</f>
        <v>0.17341040462427745</v>
      </c>
      <c r="I14" s="454">
        <f>IFERROR(VLOOKUP($B14,'LEGEND&amp;DATA'!$F$20:$AB$100,16,FALSE),"")</f>
        <v>0.76315789473684215</v>
      </c>
      <c r="J14" s="451" t="str">
        <f>IFERROR(VLOOKUP($B14,'LEGEND&amp;DATA'!$F$20:$AB$100,18,FALSE),"")</f>
        <v>-</v>
      </c>
      <c r="K14" s="453">
        <f>IFERROR(VLOOKUP($B14,'LEGEND&amp;DATA'!$F$20:$AB$100,20,FALSE),"")</f>
        <v>1.122466705269253</v>
      </c>
      <c r="L14" s="454">
        <f>IFERROR(VLOOKUP($B14,'LEGEND&amp;DATA'!$F$20:$AB$100,22,FALSE),"")</f>
        <v>0.51778496362166537</v>
      </c>
      <c r="M14" s="446">
        <f>IFERROR(VLOOKUP($B14,'LEGEND&amp;DATA'!$F$20:$AE$100,26,FALSE),"")</f>
        <v>0.79722488038277517</v>
      </c>
    </row>
    <row r="15" spans="1:13" ht="18" customHeight="1" x14ac:dyDescent="0.35">
      <c r="A15" s="425">
        <v>6</v>
      </c>
      <c r="B15" s="447" t="str">
        <f>VLOOKUP($A15,'LEGEND&amp;DATA'!$AF$92:$AG$100,2,FALSE)</f>
        <v>Northern California</v>
      </c>
      <c r="C15" s="448">
        <f>IFERROR(VLOOKUP($B15,'LEGEND&amp;DATA'!$F$20:$AB$100,2,FALSE),"")</f>
        <v>0.92901878914405012</v>
      </c>
      <c r="D15" s="449">
        <f>IFERROR(VLOOKUP($B15,'LEGEND&amp;DATA'!$F$20:$AB$100,4,FALSE),"")</f>
        <v>1.2254901960784315</v>
      </c>
      <c r="E15" s="450">
        <f>IFERROR(VLOOKUP($B15,'LEGEND&amp;DATA'!$F$20:$AB$100,8,FALSE),"")</f>
        <v>2.3131313131313131</v>
      </c>
      <c r="F15" s="451">
        <f>IFERROR(VLOOKUP($B15,'LEGEND&amp;DATA'!$F$20:$AB$100,10,FALSE),"")</f>
        <v>0.765625</v>
      </c>
      <c r="G15" s="452">
        <f>IFERROR(VLOOKUP($B15,'LEGEND&amp;DATA'!$F$20:$AB$100,12,FALSE),"")</f>
        <v>0.14230171073094869</v>
      </c>
      <c r="H15" s="453">
        <f>IFERROR(VLOOKUP($B15,'LEGEND&amp;DATA'!$F$20:$AB$100,14,FALSE),"")</f>
        <v>0.23669724770642203</v>
      </c>
      <c r="I15" s="454">
        <f>IFERROR(VLOOKUP($B15,'LEGEND&amp;DATA'!$F$20:$AB$100,16,FALSE),"")</f>
        <v>0.67149758454106279</v>
      </c>
      <c r="J15" s="451" t="str">
        <f>IFERROR(VLOOKUP($B15,'LEGEND&amp;DATA'!$F$20:$AB$100,18,FALSE),"")</f>
        <v>-</v>
      </c>
      <c r="K15" s="453">
        <f>IFERROR(VLOOKUP($B15,'LEGEND&amp;DATA'!$F$20:$AB$100,20,FALSE),"")</f>
        <v>1.0068870523415978</v>
      </c>
      <c r="L15" s="454">
        <f>IFERROR(VLOOKUP($B15,'LEGEND&amp;DATA'!$F$20:$AB$100,22,FALSE),"")</f>
        <v>0.53975200583515681</v>
      </c>
      <c r="M15" s="446">
        <f>IFERROR(VLOOKUP($B15,'LEGEND&amp;DATA'!$F$20:$AE$100,26,FALSE),"")</f>
        <v>0.78</v>
      </c>
    </row>
    <row r="16" spans="1:13" ht="18" customHeight="1" x14ac:dyDescent="0.35">
      <c r="A16" s="425">
        <v>7</v>
      </c>
      <c r="B16" s="447" t="str">
        <f>VLOOKUP($A16,'LEGEND&amp;DATA'!$AF$92:$AG$100,2,FALSE)</f>
        <v>Wisconsin</v>
      </c>
      <c r="C16" s="448">
        <f>IFERROR(VLOOKUP($B16,'LEGEND&amp;DATA'!$F$20:$AB$100,2,FALSE),"")</f>
        <v>1.1111111111111112</v>
      </c>
      <c r="D16" s="449">
        <f>IFERROR(VLOOKUP($B16,'LEGEND&amp;DATA'!$F$20:$AB$100,4,FALSE),"")</f>
        <v>2.3571428571428572</v>
      </c>
      <c r="E16" s="450">
        <f>IFERROR(VLOOKUP($B16,'LEGEND&amp;DATA'!$F$20:$AB$100,8,FALSE),"")</f>
        <v>1.1333333333333333</v>
      </c>
      <c r="F16" s="451">
        <f>IFERROR(VLOOKUP($B16,'LEGEND&amp;DATA'!$F$20:$AB$100,10,FALSE),"")</f>
        <v>0.875</v>
      </c>
      <c r="G16" s="452">
        <f>IFERROR(VLOOKUP($B16,'LEGEND&amp;DATA'!$F$20:$AB$100,12,FALSE),"")</f>
        <v>0.21612903225806451</v>
      </c>
      <c r="H16" s="453">
        <f>IFERROR(VLOOKUP($B16,'LEGEND&amp;DATA'!$F$20:$AB$100,14,FALSE),"")</f>
        <v>0.25388601036269431</v>
      </c>
      <c r="I16" s="454">
        <f>IFERROR(VLOOKUP($B16,'LEGEND&amp;DATA'!$F$20:$AB$100,16,FALSE),"")</f>
        <v>0.2857142857142857</v>
      </c>
      <c r="J16" s="451" t="str">
        <f>IFERROR(VLOOKUP($B16,'LEGEND&amp;DATA'!$F$20:$AB$100,18,FALSE),"")</f>
        <v>-</v>
      </c>
      <c r="K16" s="453">
        <f>IFERROR(VLOOKUP($B16,'LEGEND&amp;DATA'!$F$20:$AB$100,20,FALSE),"")</f>
        <v>0.87878787878787878</v>
      </c>
      <c r="L16" s="454">
        <f>IFERROR(VLOOKUP($B16,'LEGEND&amp;DATA'!$F$20:$AB$100,22,FALSE),"")</f>
        <v>0.47599999999999998</v>
      </c>
      <c r="M16" s="446">
        <f>IFERROR(VLOOKUP($B16,'LEGEND&amp;DATA'!$F$20:$AE$100,26,FALSE),"")</f>
        <v>0.77</v>
      </c>
    </row>
    <row r="17" spans="1:14" ht="18" customHeight="1" x14ac:dyDescent="0.35">
      <c r="A17" s="425">
        <v>8</v>
      </c>
      <c r="B17" s="447" t="str">
        <f>VLOOKUP($A17,'LEGEND&amp;DATA'!$AF$92:$AG$100,2,FALSE)</f>
        <v>Indiana</v>
      </c>
      <c r="C17" s="448">
        <f>IFERROR(VLOOKUP($B17,'LEGEND&amp;DATA'!$F$20:$AB$100,2,FALSE),"")</f>
        <v>0.84772370486656201</v>
      </c>
      <c r="D17" s="449">
        <f>IFERROR(VLOOKUP($B17,'LEGEND&amp;DATA'!$F$20:$AB$100,4,FALSE),"")</f>
        <v>0.67567567567567566</v>
      </c>
      <c r="E17" s="450">
        <f>IFERROR(VLOOKUP($B17,'LEGEND&amp;DATA'!$F$20:$AB$100,8,FALSE),"")</f>
        <v>0.6</v>
      </c>
      <c r="F17" s="451">
        <f>IFERROR(VLOOKUP($B17,'LEGEND&amp;DATA'!$F$20:$AB$100,10,FALSE),"")</f>
        <v>0.75</v>
      </c>
      <c r="G17" s="452">
        <f>IFERROR(VLOOKUP($B17,'LEGEND&amp;DATA'!$F$20:$AB$100,12,FALSE),"")</f>
        <v>0.19105199516324062</v>
      </c>
      <c r="H17" s="453">
        <f>IFERROR(VLOOKUP($B17,'LEGEND&amp;DATA'!$F$20:$AB$100,14,FALSE),"")</f>
        <v>0.24257425742574257</v>
      </c>
      <c r="I17" s="454">
        <f>IFERROR(VLOOKUP($B17,'LEGEND&amp;DATA'!$F$20:$AB$100,16,FALSE),"")</f>
        <v>0.61728395061728392</v>
      </c>
      <c r="J17" s="451" t="str">
        <f>IFERROR(VLOOKUP($B17,'LEGEND&amp;DATA'!$F$20:$AB$100,18,FALSE),"")</f>
        <v>-</v>
      </c>
      <c r="K17" s="453">
        <f>IFERROR(VLOOKUP($B17,'LEGEND&amp;DATA'!$F$20:$AB$100,20,FALSE),"")</f>
        <v>0.74805194805194808</v>
      </c>
      <c r="L17" s="454">
        <f>IFERROR(VLOOKUP($B17,'LEGEND&amp;DATA'!$F$20:$AB$100,22,FALSE),"")</f>
        <v>0.47155963302752296</v>
      </c>
      <c r="M17" s="446">
        <f>IFERROR(VLOOKUP($B17,'LEGEND&amp;DATA'!$F$20:$AE$100,26,FALSE),"")</f>
        <v>0.58499999999999996</v>
      </c>
    </row>
    <row r="18" spans="1:14" ht="18" hidden="1" customHeight="1" x14ac:dyDescent="0.35">
      <c r="A18" s="425">
        <v>9</v>
      </c>
      <c r="B18" s="121" t="str">
        <f>IFERROR(VLOOKUP($A18,'LEGEND&amp;DATA'!$AF$92:$AG$100,2,FALSE),"")</f>
        <v/>
      </c>
      <c r="C18" s="122" t="str">
        <f>IFERROR(VLOOKUP($B18,'LEGEND&amp;DATA'!$F$20:$AB$100,2,FALSE),"")</f>
        <v/>
      </c>
      <c r="D18" s="301" t="str">
        <f>IFERROR(VLOOKUP($B18,'LEGEND&amp;DATA'!$F$20:$AB$100,4,FALSE),"")</f>
        <v/>
      </c>
      <c r="E18" s="123" t="str">
        <f>IFERROR(VLOOKUP($B18,'LEGEND&amp;DATA'!$F$20:$AB$100,8,FALSE),"")</f>
        <v/>
      </c>
      <c r="F18" s="307" t="str">
        <f>IFERROR(VLOOKUP($B18,'LEGEND&amp;DATA'!$F$20:$AB$100,10,FALSE),"")</f>
        <v/>
      </c>
      <c r="G18" s="124" t="str">
        <f>IFERROR(VLOOKUP($B18,'LEGEND&amp;DATA'!$F$20:$AB$100,12,FALSE),"")</f>
        <v/>
      </c>
      <c r="H18" s="314" t="str">
        <f>IFERROR(VLOOKUP($B18,'LEGEND&amp;DATA'!$F$20:$AB$100,14,FALSE),"")</f>
        <v/>
      </c>
      <c r="I18" s="125" t="str">
        <f>IFERROR(VLOOKUP($B18,'LEGEND&amp;DATA'!$F$20:$AB$100,16,FALSE),"")</f>
        <v/>
      </c>
      <c r="J18" s="307" t="str">
        <f>IFERROR(VLOOKUP($B18,'LEGEND&amp;DATA'!$F$20:$AB$100,18,FALSE),"")</f>
        <v>-</v>
      </c>
      <c r="K18" s="314" t="str">
        <f>IFERROR(VLOOKUP($B18,'LEGEND&amp;DATA'!$F$20:$AB$100,20,FALSE),"")</f>
        <v/>
      </c>
      <c r="L18" s="125" t="str">
        <f>IFERROR(VLOOKUP($B18,'LEGEND&amp;DATA'!$F$20:$AB$100,22,FALSE),"")</f>
        <v/>
      </c>
      <c r="M18" s="126" t="str">
        <f>IFERROR(VLOOKUP($B18,'LEGEND&amp;DATA'!$F$20:$AE$100,26,FALSE),"")</f>
        <v/>
      </c>
    </row>
    <row r="19" spans="1:14" ht="5.15" customHeight="1" x14ac:dyDescent="0.35">
      <c r="A19" s="425"/>
      <c r="B19" s="135"/>
      <c r="C19" s="137"/>
      <c r="D19" s="302"/>
      <c r="E19" s="139"/>
      <c r="F19" s="302"/>
      <c r="G19" s="137"/>
      <c r="H19" s="315"/>
      <c r="I19" s="138"/>
      <c r="J19" s="302"/>
      <c r="K19" s="315"/>
      <c r="L19" s="138"/>
      <c r="M19" s="140"/>
    </row>
    <row r="20" spans="1:14" ht="5.15" customHeight="1" x14ac:dyDescent="0.35">
      <c r="A20" s="425"/>
      <c r="B20" s="136"/>
      <c r="C20" s="141"/>
      <c r="D20" s="303"/>
      <c r="E20" s="143"/>
      <c r="F20" s="303"/>
      <c r="G20" s="141"/>
      <c r="H20" s="316"/>
      <c r="I20" s="142"/>
      <c r="J20" s="303"/>
      <c r="K20" s="316"/>
      <c r="L20" s="142"/>
      <c r="M20" s="144"/>
    </row>
    <row r="21" spans="1:14" ht="16" customHeight="1" x14ac:dyDescent="0.35">
      <c r="A21" s="423">
        <v>1</v>
      </c>
      <c r="B21" s="455" t="str">
        <f>IF($A21&gt;KEY!$B$2,"",IFERROR(VLOOKUP($A21,'LEGEND&amp;DATA'!$E$20:$F$90,2,FALSE),""))</f>
        <v>Bentley Scottsdale</v>
      </c>
      <c r="C21" s="456">
        <f>IFERROR(VLOOKUP($B21,'LEGEND&amp;DATA'!$F$20:$AB$90,2,FALSE),"")</f>
        <v>1.173913043478261</v>
      </c>
      <c r="D21" s="457">
        <f>IFERROR(VLOOKUP($B21,'LEGEND&amp;DATA'!$F$20:$AB$90,4,FALSE),"")</f>
        <v>1</v>
      </c>
      <c r="E21" s="458">
        <f>IFERROR(VLOOKUP($B21,'LEGEND&amp;DATA'!$F$20:$AB$90,8,FALSE),"")</f>
        <v>2</v>
      </c>
      <c r="F21" s="459">
        <f>IFERROR(VLOOKUP($B21,'LEGEND&amp;DATA'!$F$20:$AB$90,10,FALSE),"")</f>
        <v>1</v>
      </c>
      <c r="G21" s="460">
        <f>IFERROR(VLOOKUP($B21,'LEGEND&amp;DATA'!$F$20:$AB$90,12,FALSE),"")</f>
        <v>0.19444444444444445</v>
      </c>
      <c r="H21" s="461">
        <f>IFERROR(VLOOKUP($B21,'LEGEND&amp;DATA'!$F$20:$AB$90,14,FALSE),"")</f>
        <v>0.43478260869565216</v>
      </c>
      <c r="I21" s="462" t="str">
        <f>IFERROR(VLOOKUP($B21,'LEGEND&amp;DATA'!$F$20:$AB$90,16,FALSE),"")</f>
        <v>N/A</v>
      </c>
      <c r="J21" s="459" t="str">
        <f>IFERROR(VLOOKUP($B21,'LEGEND&amp;DATA'!$F$20:$AB$90,18,FALSE),"")</f>
        <v>-</v>
      </c>
      <c r="K21" s="461">
        <f>IFERROR(VLOOKUP($B21,'LEGEND&amp;DATA'!$F$20:$AB$90,20,FALSE),"")</f>
        <v>2.6666666666666665</v>
      </c>
      <c r="L21" s="462">
        <f>IFERROR(VLOOKUP($B21,'LEGEND&amp;DATA'!$F$20:$AB$90,22,FALSE),"")</f>
        <v>0.5714285714285714</v>
      </c>
      <c r="M21" s="463">
        <f>IFERROR(VLOOKUP($B21,'LEGEND&amp;DATA'!$F$20:$AE$90,26,FALSE),"")</f>
        <v>1</v>
      </c>
      <c r="N21" s="9"/>
    </row>
    <row r="22" spans="1:14" ht="16" customHeight="1" x14ac:dyDescent="0.35">
      <c r="A22" s="423">
        <v>2</v>
      </c>
      <c r="B22" s="455" t="str">
        <f>IF($A22&gt;KEY!$B$2,"",IFERROR(VLOOKUP($A22,'LEGEND&amp;DATA'!$E$20:$F$90,2,FALSE),""))</f>
        <v>BMW of San Diego</v>
      </c>
      <c r="C22" s="456">
        <f>IFERROR(VLOOKUP($B22,'LEGEND&amp;DATA'!$F$20:$AB$90,2,FALSE),"")</f>
        <v>1.0472727272727274</v>
      </c>
      <c r="D22" s="457">
        <f>IFERROR(VLOOKUP($B22,'LEGEND&amp;DATA'!$F$20:$AB$90,4,FALSE),"")</f>
        <v>1.7999999999999998</v>
      </c>
      <c r="E22" s="458">
        <f>IFERROR(VLOOKUP($B22,'LEGEND&amp;DATA'!$F$20:$AB$90,8,FALSE),"")</f>
        <v>2.7826086956521738</v>
      </c>
      <c r="F22" s="459">
        <f>IFERROR(VLOOKUP($B22,'LEGEND&amp;DATA'!$F$20:$AB$90,10,FALSE),"")</f>
        <v>0.88</v>
      </c>
      <c r="G22" s="460">
        <f>IFERROR(VLOOKUP($B22,'LEGEND&amp;DATA'!$F$20:$AB$90,12,FALSE),"")</f>
        <v>0.18289085545722714</v>
      </c>
      <c r="H22" s="461">
        <f>IFERROR(VLOOKUP($B22,'LEGEND&amp;DATA'!$F$20:$AB$90,14,FALSE),"")</f>
        <v>0.25925925925925924</v>
      </c>
      <c r="I22" s="462">
        <f>IFERROR(VLOOKUP($B22,'LEGEND&amp;DATA'!$F$20:$AB$90,16,FALSE),"")</f>
        <v>0.82</v>
      </c>
      <c r="J22" s="459" t="str">
        <f>IFERROR(VLOOKUP($B22,'LEGEND&amp;DATA'!$F$20:$AB$90,18,FALSE),"")</f>
        <v>-</v>
      </c>
      <c r="K22" s="461">
        <f>IFERROR(VLOOKUP($B22,'LEGEND&amp;DATA'!$F$20:$AB$90,20,FALSE),"")</f>
        <v>0.96047430830039526</v>
      </c>
      <c r="L22" s="462">
        <f>IFERROR(VLOOKUP($B22,'LEGEND&amp;DATA'!$F$20:$AB$90,22,FALSE),"")</f>
        <v>0.64827586206896548</v>
      </c>
      <c r="M22" s="463">
        <f>IFERROR(VLOOKUP($B22,'LEGEND&amp;DATA'!$F$20:$AE$90,26,FALSE),"")</f>
        <v>0.99</v>
      </c>
      <c r="N22" s="9"/>
    </row>
    <row r="23" spans="1:14" ht="16" customHeight="1" x14ac:dyDescent="0.35">
      <c r="A23" s="423">
        <v>3</v>
      </c>
      <c r="B23" s="455" t="str">
        <f>IF($A23&gt;KEY!$B$2,"",IFERROR(VLOOKUP($A23,'LEGEND&amp;DATA'!$E$20:$F$90,2,FALSE),""))</f>
        <v>Lexus San Diego</v>
      </c>
      <c r="C23" s="456">
        <f>IFERROR(VLOOKUP($B23,'LEGEND&amp;DATA'!$F$20:$AB$90,2,FALSE),"")</f>
        <v>1.4364406779661016</v>
      </c>
      <c r="D23" s="457">
        <f>IFERROR(VLOOKUP($B23,'LEGEND&amp;DATA'!$F$20:$AB$90,4,FALSE),"")</f>
        <v>2.8536585365853662</v>
      </c>
      <c r="E23" s="458">
        <f>IFERROR(VLOOKUP($B23,'LEGEND&amp;DATA'!$F$20:$AB$90,8,FALSE),"")</f>
        <v>2.4117647058823528</v>
      </c>
      <c r="F23" s="459">
        <f>IFERROR(VLOOKUP($B23,'LEGEND&amp;DATA'!$F$20:$AB$90,10,FALSE),"")</f>
        <v>0.875</v>
      </c>
      <c r="G23" s="460">
        <f>IFERROR(VLOOKUP($B23,'LEGEND&amp;DATA'!$F$20:$AB$90,12,FALSE),"")</f>
        <v>0.15807560137457044</v>
      </c>
      <c r="H23" s="461">
        <f>IFERROR(VLOOKUP($B23,'LEGEND&amp;DATA'!$F$20:$AB$90,14,FALSE),"")</f>
        <v>0.26530612244897961</v>
      </c>
      <c r="I23" s="462">
        <f>IFERROR(VLOOKUP($B23,'LEGEND&amp;DATA'!$F$20:$AB$90,16,FALSE),"")</f>
        <v>0.75</v>
      </c>
      <c r="J23" s="459" t="str">
        <f>IFERROR(VLOOKUP($B23,'LEGEND&amp;DATA'!$F$20:$AB$90,18,FALSE),"")</f>
        <v>-</v>
      </c>
      <c r="K23" s="461">
        <f>IFERROR(VLOOKUP($B23,'LEGEND&amp;DATA'!$F$20:$AB$90,20,FALSE),"")</f>
        <v>1.5267379679144386</v>
      </c>
      <c r="L23" s="462">
        <f>IFERROR(VLOOKUP($B23,'LEGEND&amp;DATA'!$F$20:$AB$90,22,FALSE),"")</f>
        <v>0.55294117647058827</v>
      </c>
      <c r="M23" s="463">
        <f>IFERROR(VLOOKUP($B23,'LEGEND&amp;DATA'!$F$20:$AE$90,26,FALSE),"")</f>
        <v>0.99</v>
      </c>
      <c r="N23" s="9"/>
    </row>
    <row r="24" spans="1:14" ht="16" customHeight="1" x14ac:dyDescent="0.35">
      <c r="A24" s="423">
        <v>4</v>
      </c>
      <c r="B24" s="455" t="str">
        <f>IF($A24&gt;KEY!$B$2,"",IFERROR(VLOOKUP($A24,'LEGEND&amp;DATA'!$E$20:$F$90,2,FALSE),""))</f>
        <v>Mercedes-Benz of North Scottsdale</v>
      </c>
      <c r="C24" s="456">
        <f>IFERROR(VLOOKUP($B24,'LEGEND&amp;DATA'!$F$20:$AB$90,2,FALSE),"")</f>
        <v>0.95986622073578598</v>
      </c>
      <c r="D24" s="457">
        <f>IFERROR(VLOOKUP($B24,'LEGEND&amp;DATA'!$F$20:$AB$90,4,FALSE),"")</f>
        <v>3.3684210526315788</v>
      </c>
      <c r="E24" s="458">
        <f>IFERROR(VLOOKUP($B24,'LEGEND&amp;DATA'!$F$20:$AB$90,8,FALSE),"")</f>
        <v>2.8333333333333335</v>
      </c>
      <c r="F24" s="459">
        <f>IFERROR(VLOOKUP($B24,'LEGEND&amp;DATA'!$F$20:$AB$90,10,FALSE),"")</f>
        <v>1</v>
      </c>
      <c r="G24" s="460">
        <f>IFERROR(VLOOKUP($B24,'LEGEND&amp;DATA'!$F$20:$AB$90,12,FALSE),"")</f>
        <v>0.14285714285714285</v>
      </c>
      <c r="H24" s="461">
        <f>IFERROR(VLOOKUP($B24,'LEGEND&amp;DATA'!$F$20:$AB$90,14,FALSE),"")</f>
        <v>0.28440366972477066</v>
      </c>
      <c r="I24" s="462">
        <f>IFERROR(VLOOKUP($B24,'LEGEND&amp;DATA'!$F$20:$AB$90,16,FALSE),"")</f>
        <v>0.8125</v>
      </c>
      <c r="J24" s="459" t="str">
        <f>IFERROR(VLOOKUP($B24,'LEGEND&amp;DATA'!$F$20:$AB$90,18,FALSE),"")</f>
        <v>-</v>
      </c>
      <c r="K24" s="461">
        <f>IFERROR(VLOOKUP($B24,'LEGEND&amp;DATA'!$F$20:$AB$90,20,FALSE),"")</f>
        <v>0.89393939393939392</v>
      </c>
      <c r="L24" s="462">
        <f>IFERROR(VLOOKUP($B24,'LEGEND&amp;DATA'!$F$20:$AB$90,22,FALSE),"")</f>
        <v>0.64451827242524917</v>
      </c>
      <c r="M24" s="463">
        <f>IFERROR(VLOOKUP($B24,'LEGEND&amp;DATA'!$F$20:$AE$90,26,FALSE),"")</f>
        <v>0.96</v>
      </c>
      <c r="N24" s="9"/>
    </row>
    <row r="25" spans="1:14" ht="16" customHeight="1" x14ac:dyDescent="0.35">
      <c r="A25" s="423">
        <v>5</v>
      </c>
      <c r="B25" s="455" t="str">
        <f>IF($A25&gt;KEY!$B$2,"",IFERROR(VLOOKUP($A25,'LEGEND&amp;DATA'!$E$20:$F$90,2,FALSE),""))</f>
        <v>Toyota of Surprise</v>
      </c>
      <c r="C25" s="456">
        <f>IFERROR(VLOOKUP($B25,'LEGEND&amp;DATA'!$F$20:$AB$90,2,FALSE),"")</f>
        <v>0.95962732919254656</v>
      </c>
      <c r="D25" s="457">
        <f>IFERROR(VLOOKUP($B25,'LEGEND&amp;DATA'!$F$20:$AB$90,4,FALSE),"")</f>
        <v>3</v>
      </c>
      <c r="E25" s="458">
        <f>IFERROR(VLOOKUP($B25,'LEGEND&amp;DATA'!$F$20:$AB$90,8,FALSE),"")</f>
        <v>2.6</v>
      </c>
      <c r="F25" s="459">
        <f>IFERROR(VLOOKUP($B25,'LEGEND&amp;DATA'!$F$20:$AB$90,10,FALSE),"")</f>
        <v>1</v>
      </c>
      <c r="G25" s="460">
        <f>IFERROR(VLOOKUP($B25,'LEGEND&amp;DATA'!$F$20:$AB$90,12,FALSE),"")</f>
        <v>0.14532019704433496</v>
      </c>
      <c r="H25" s="461">
        <f>IFERROR(VLOOKUP($B25,'LEGEND&amp;DATA'!$F$20:$AB$90,14,FALSE),"")</f>
        <v>0.32758620689655171</v>
      </c>
      <c r="I25" s="462">
        <f>IFERROR(VLOOKUP($B25,'LEGEND&amp;DATA'!$F$20:$AB$90,16,FALSE),"")</f>
        <v>1</v>
      </c>
      <c r="J25" s="459" t="str">
        <f>IFERROR(VLOOKUP($B25,'LEGEND&amp;DATA'!$F$20:$AB$90,18,FALSE),"")</f>
        <v>-</v>
      </c>
      <c r="K25" s="461">
        <f>IFERROR(VLOOKUP($B25,'LEGEND&amp;DATA'!$F$20:$AB$90,20,FALSE),"")</f>
        <v>0.86136363636363633</v>
      </c>
      <c r="L25" s="462">
        <f>IFERROR(VLOOKUP($B25,'LEGEND&amp;DATA'!$F$20:$AB$90,22,FALSE),"")</f>
        <v>0.50613496932515334</v>
      </c>
      <c r="M25" s="463">
        <f>IFERROR(VLOOKUP($B25,'LEGEND&amp;DATA'!$F$20:$AE$90,26,FALSE),"")</f>
        <v>0.96</v>
      </c>
      <c r="N25" s="9"/>
    </row>
    <row r="26" spans="1:14" ht="16" customHeight="1" x14ac:dyDescent="0.35">
      <c r="A26" s="423">
        <v>6</v>
      </c>
      <c r="B26" s="455" t="str">
        <f>IF($A26&gt;KEY!$B$2,"",IFERROR(VLOOKUP($A26,'LEGEND&amp;DATA'!$E$20:$F$90,2,FALSE),""))</f>
        <v>Crevier BMW</v>
      </c>
      <c r="C26" s="456">
        <f>IFERROR(VLOOKUP($B26,'LEGEND&amp;DATA'!$F$20:$AB$90,2,FALSE),"")</f>
        <v>0.86875000000000002</v>
      </c>
      <c r="D26" s="457">
        <f>IFERROR(VLOOKUP($B26,'LEGEND&amp;DATA'!$F$20:$AB$90,4,FALSE),"")</f>
        <v>1.6265060240963856</v>
      </c>
      <c r="E26" s="458">
        <f>IFERROR(VLOOKUP($B26,'LEGEND&amp;DATA'!$F$20:$AB$90,8,FALSE),"")</f>
        <v>3.6603773584905661</v>
      </c>
      <c r="F26" s="459">
        <f>IFERROR(VLOOKUP($B26,'LEGEND&amp;DATA'!$F$20:$AB$90,10,FALSE),"")</f>
        <v>1</v>
      </c>
      <c r="G26" s="460">
        <f>IFERROR(VLOOKUP($B26,'LEGEND&amp;DATA'!$F$20:$AB$90,12,FALSE),"")</f>
        <v>0.20079260237780713</v>
      </c>
      <c r="H26" s="461">
        <f>IFERROR(VLOOKUP($B26,'LEGEND&amp;DATA'!$F$20:$AB$90,14,FALSE),"")</f>
        <v>0.32794457274826788</v>
      </c>
      <c r="I26" s="462">
        <f>IFERROR(VLOOKUP($B26,'LEGEND&amp;DATA'!$F$20:$AB$90,16,FALSE),"")</f>
        <v>0.72619047619047616</v>
      </c>
      <c r="J26" s="459" t="str">
        <f>IFERROR(VLOOKUP($B26,'LEGEND&amp;DATA'!$F$20:$AB$90,18,FALSE),"")</f>
        <v>-</v>
      </c>
      <c r="K26" s="461">
        <f>IFERROR(VLOOKUP($B26,'LEGEND&amp;DATA'!$F$20:$AB$90,20,FALSE),"")</f>
        <v>1.4871355060034306</v>
      </c>
      <c r="L26" s="462">
        <f>IFERROR(VLOOKUP($B26,'LEGEND&amp;DATA'!$F$20:$AB$90,22,FALSE),"")</f>
        <v>0.60071301247771836</v>
      </c>
      <c r="M26" s="463">
        <f>IFERROR(VLOOKUP($B26,'LEGEND&amp;DATA'!$F$20:$AE$90,26,FALSE),"")</f>
        <v>0.95</v>
      </c>
      <c r="N26" s="9"/>
    </row>
    <row r="27" spans="1:14" ht="16" customHeight="1" x14ac:dyDescent="0.35">
      <c r="A27" s="423">
        <v>7</v>
      </c>
      <c r="B27" s="455" t="str">
        <f>IF($A27&gt;KEY!$B$2,"",IFERROR(VLOOKUP($A27,'LEGEND&amp;DATA'!$E$20:$F$90,2,FALSE),""))</f>
        <v>Mazda of Escondido</v>
      </c>
      <c r="C27" s="456">
        <f>IFERROR(VLOOKUP($B27,'LEGEND&amp;DATA'!$F$20:$AB$90,2,FALSE),"")</f>
        <v>0.9285714285714286</v>
      </c>
      <c r="D27" s="457">
        <f>IFERROR(VLOOKUP($B27,'LEGEND&amp;DATA'!$F$20:$AB$90,4,FALSE),"")</f>
        <v>1.3333333333333333</v>
      </c>
      <c r="E27" s="458">
        <f>IFERROR(VLOOKUP($B27,'LEGEND&amp;DATA'!$F$20:$AB$90,8,FALSE),"")</f>
        <v>4.333333333333333</v>
      </c>
      <c r="F27" s="459">
        <f>IFERROR(VLOOKUP($B27,'LEGEND&amp;DATA'!$F$20:$AB$90,10,FALSE),"")</f>
        <v>0.75</v>
      </c>
      <c r="G27" s="460">
        <f>IFERROR(VLOOKUP($B27,'LEGEND&amp;DATA'!$F$20:$AB$90,12,FALSE),"")</f>
        <v>0.19892473118279569</v>
      </c>
      <c r="H27" s="461">
        <f>IFERROR(VLOOKUP($B27,'LEGEND&amp;DATA'!$F$20:$AB$90,14,FALSE),"")</f>
        <v>0.30555555555555558</v>
      </c>
      <c r="I27" s="462">
        <f>IFERROR(VLOOKUP($B27,'LEGEND&amp;DATA'!$F$20:$AB$90,16,FALSE),"")</f>
        <v>0.70588235294117652</v>
      </c>
      <c r="J27" s="459" t="str">
        <f>IFERROR(VLOOKUP($B27,'LEGEND&amp;DATA'!$F$20:$AB$90,18,FALSE),"")</f>
        <v>-</v>
      </c>
      <c r="K27" s="461">
        <f>IFERROR(VLOOKUP($B27,'LEGEND&amp;DATA'!$F$20:$AB$90,20,FALSE),"")</f>
        <v>1.106060606060606</v>
      </c>
      <c r="L27" s="462">
        <f>IFERROR(VLOOKUP($B27,'LEGEND&amp;DATA'!$F$20:$AB$90,22,FALSE),"")</f>
        <v>0.97826086956521741</v>
      </c>
      <c r="M27" s="463">
        <f>IFERROR(VLOOKUP($B27,'LEGEND&amp;DATA'!$F$20:$AE$90,26,FALSE),"")</f>
        <v>0.95</v>
      </c>
      <c r="N27" s="9"/>
    </row>
    <row r="28" spans="1:14" ht="16" customHeight="1" x14ac:dyDescent="0.35">
      <c r="A28" s="423">
        <v>8</v>
      </c>
      <c r="B28" s="455" t="str">
        <f>IF($A28&gt;KEY!$B$2,"",IFERROR(VLOOKUP($A28,'LEGEND&amp;DATA'!$E$20:$F$90,2,FALSE),""))</f>
        <v>Porsche Stevens Creek</v>
      </c>
      <c r="C28" s="456">
        <f>IFERROR(VLOOKUP($B28,'LEGEND&amp;DATA'!$F$20:$AB$90,2,FALSE),"")</f>
        <v>1.0507246376811594</v>
      </c>
      <c r="D28" s="457">
        <f>IFERROR(VLOOKUP($B28,'LEGEND&amp;DATA'!$F$20:$AB$90,4,FALSE),"")</f>
        <v>1.9285714285714284</v>
      </c>
      <c r="E28" s="458">
        <f>IFERROR(VLOOKUP($B28,'LEGEND&amp;DATA'!$F$20:$AB$90,8,FALSE),"")</f>
        <v>3.7777777777777777</v>
      </c>
      <c r="F28" s="459">
        <f>IFERROR(VLOOKUP($B28,'LEGEND&amp;DATA'!$F$20:$AB$90,10,FALSE),"")</f>
        <v>0.875</v>
      </c>
      <c r="G28" s="460">
        <f>IFERROR(VLOOKUP($B28,'LEGEND&amp;DATA'!$F$20:$AB$90,12,FALSE),"")</f>
        <v>0.14560439560439561</v>
      </c>
      <c r="H28" s="461">
        <f>IFERROR(VLOOKUP($B28,'LEGEND&amp;DATA'!$F$20:$AB$90,14,FALSE),"")</f>
        <v>0.21714285714285714</v>
      </c>
      <c r="I28" s="462">
        <f>IFERROR(VLOOKUP($B28,'LEGEND&amp;DATA'!$F$20:$AB$90,16,FALSE),"")</f>
        <v>0.66666666666666663</v>
      </c>
      <c r="J28" s="459" t="str">
        <f>IFERROR(VLOOKUP($B28,'LEGEND&amp;DATA'!$F$20:$AB$90,18,FALSE),"")</f>
        <v>-</v>
      </c>
      <c r="K28" s="461">
        <f>IFERROR(VLOOKUP($B28,'LEGEND&amp;DATA'!$F$20:$AB$90,20,FALSE),"")</f>
        <v>1.4444444444444444</v>
      </c>
      <c r="L28" s="462">
        <f>IFERROR(VLOOKUP($B28,'LEGEND&amp;DATA'!$F$20:$AB$90,22,FALSE),"")</f>
        <v>0.55102040816326525</v>
      </c>
      <c r="M28" s="463">
        <f>IFERROR(VLOOKUP($B28,'LEGEND&amp;DATA'!$F$20:$AE$90,26,FALSE),"")</f>
        <v>0.95</v>
      </c>
      <c r="N28" s="9"/>
    </row>
    <row r="29" spans="1:14" ht="16" customHeight="1" x14ac:dyDescent="0.35">
      <c r="A29" s="423">
        <v>9</v>
      </c>
      <c r="B29" s="455" t="str">
        <f>IF($A29&gt;KEY!$B$2,"",IFERROR(VLOOKUP($A29,'LEGEND&amp;DATA'!$E$20:$F$90,2,FALSE),""))</f>
        <v>Honda Leander</v>
      </c>
      <c r="C29" s="456">
        <f>IFERROR(VLOOKUP($B29,'LEGEND&amp;DATA'!$F$20:$AB$90,2,FALSE),"")</f>
        <v>1.0909090909090908</v>
      </c>
      <c r="D29" s="457">
        <f>IFERROR(VLOOKUP($B29,'LEGEND&amp;DATA'!$F$20:$AB$90,4,FALSE),"")</f>
        <v>2.9285714285714284</v>
      </c>
      <c r="E29" s="458">
        <f>IFERROR(VLOOKUP($B29,'LEGEND&amp;DATA'!$F$20:$AB$90,8,FALSE),"")</f>
        <v>2.0714285714285716</v>
      </c>
      <c r="F29" s="459">
        <f>IFERROR(VLOOKUP($B29,'LEGEND&amp;DATA'!$F$20:$AB$90,10,FALSE),"")</f>
        <v>1</v>
      </c>
      <c r="G29" s="460">
        <f>IFERROR(VLOOKUP($B29,'LEGEND&amp;DATA'!$F$20:$AB$90,12,FALSE),"")</f>
        <v>0.13364055299539171</v>
      </c>
      <c r="H29" s="461">
        <f>IFERROR(VLOOKUP($B29,'LEGEND&amp;DATA'!$F$20:$AB$90,14,FALSE),"")</f>
        <v>0.21383647798742139</v>
      </c>
      <c r="I29" s="462">
        <f>IFERROR(VLOOKUP($B29,'LEGEND&amp;DATA'!$F$20:$AB$90,16,FALSE),"")</f>
        <v>0.625</v>
      </c>
      <c r="J29" s="459" t="str">
        <f>IFERROR(VLOOKUP($B29,'LEGEND&amp;DATA'!$F$20:$AB$90,18,FALSE),"")</f>
        <v>-</v>
      </c>
      <c r="K29" s="461">
        <f>IFERROR(VLOOKUP($B29,'LEGEND&amp;DATA'!$F$20:$AB$90,20,FALSE),"")</f>
        <v>1.2402597402597402</v>
      </c>
      <c r="L29" s="462">
        <f>IFERROR(VLOOKUP($B29,'LEGEND&amp;DATA'!$F$20:$AB$90,22,FALSE),"")</f>
        <v>0.51152073732718895</v>
      </c>
      <c r="M29" s="463">
        <f>IFERROR(VLOOKUP($B29,'LEGEND&amp;DATA'!$F$20:$AE$90,26,FALSE),"")</f>
        <v>0.94</v>
      </c>
      <c r="N29" s="9"/>
    </row>
    <row r="30" spans="1:14" ht="16" customHeight="1" x14ac:dyDescent="0.35">
      <c r="A30" s="423">
        <v>10</v>
      </c>
      <c r="B30" s="455" t="str">
        <f>IF($A30&gt;KEY!$B$2,"",IFERROR(VLOOKUP($A30,'LEGEND&amp;DATA'!$E$20:$F$90,2,FALSE),""))</f>
        <v>Lexus of Lakeway</v>
      </c>
      <c r="C30" s="456">
        <f>IFERROR(VLOOKUP($B30,'LEGEND&amp;DATA'!$F$20:$AB$90,2,FALSE),"")</f>
        <v>0.88557213930348255</v>
      </c>
      <c r="D30" s="457">
        <f>IFERROR(VLOOKUP($B30,'LEGEND&amp;DATA'!$F$20:$AB$90,4,FALSE),"")</f>
        <v>1.6</v>
      </c>
      <c r="E30" s="458">
        <f>IFERROR(VLOOKUP($B30,'LEGEND&amp;DATA'!$F$20:$AB$90,8,FALSE),"")</f>
        <v>2.8</v>
      </c>
      <c r="F30" s="459">
        <f>IFERROR(VLOOKUP($B30,'LEGEND&amp;DATA'!$F$20:$AB$90,10,FALSE),"")</f>
        <v>0.875</v>
      </c>
      <c r="G30" s="460">
        <f>IFERROR(VLOOKUP($B30,'LEGEND&amp;DATA'!$F$20:$AB$90,12,FALSE),"")</f>
        <v>0.16599190283400811</v>
      </c>
      <c r="H30" s="461">
        <f>IFERROR(VLOOKUP($B30,'LEGEND&amp;DATA'!$F$20:$AB$90,14,FALSE),"")</f>
        <v>0.29813664596273293</v>
      </c>
      <c r="I30" s="462">
        <f>IFERROR(VLOOKUP($B30,'LEGEND&amp;DATA'!$F$20:$AB$90,16,FALSE),"")</f>
        <v>0.9</v>
      </c>
      <c r="J30" s="459" t="str">
        <f>IFERROR(VLOOKUP($B30,'LEGEND&amp;DATA'!$F$20:$AB$90,18,FALSE),"")</f>
        <v>-</v>
      </c>
      <c r="K30" s="461">
        <f>IFERROR(VLOOKUP($B30,'LEGEND&amp;DATA'!$F$20:$AB$90,20,FALSE),"")</f>
        <v>1.3318181818181818</v>
      </c>
      <c r="L30" s="462">
        <f>IFERROR(VLOOKUP($B30,'LEGEND&amp;DATA'!$F$20:$AB$90,22,FALSE),"")</f>
        <v>0.62146892655367236</v>
      </c>
      <c r="M30" s="463">
        <f>IFERROR(VLOOKUP($B30,'LEGEND&amp;DATA'!$F$20:$AE$90,26,FALSE),"")</f>
        <v>0.94</v>
      </c>
      <c r="N30" s="9"/>
    </row>
    <row r="31" spans="1:14" ht="16" customHeight="1" x14ac:dyDescent="0.35">
      <c r="A31" s="423">
        <v>11</v>
      </c>
      <c r="B31" s="455" t="str">
        <f>IF($A31&gt;KEY!$B$2,"",IFERROR(VLOOKUP($A31,'LEGEND&amp;DATA'!$E$20:$F$90,2,FALSE),""))</f>
        <v>Peter Pan BMW</v>
      </c>
      <c r="C31" s="456">
        <f>IFERROR(VLOOKUP($B31,'LEGEND&amp;DATA'!$F$20:$AB$90,2,FALSE),"")</f>
        <v>0.94262295081967218</v>
      </c>
      <c r="D31" s="457">
        <f>IFERROR(VLOOKUP($B31,'LEGEND&amp;DATA'!$F$20:$AB$90,4,FALSE),"")</f>
        <v>1.9459459459459458</v>
      </c>
      <c r="E31" s="458">
        <f>IFERROR(VLOOKUP($B31,'LEGEND&amp;DATA'!$F$20:$AB$90,8,FALSE),"")</f>
        <v>4.2307692307692308</v>
      </c>
      <c r="F31" s="459">
        <f>IFERROR(VLOOKUP($B31,'LEGEND&amp;DATA'!$F$20:$AB$90,10,FALSE),"")</f>
        <v>0.625</v>
      </c>
      <c r="G31" s="460">
        <f>IFERROR(VLOOKUP($B31,'LEGEND&amp;DATA'!$F$20:$AB$90,12,FALSE),"")</f>
        <v>0.21693121693121692</v>
      </c>
      <c r="H31" s="461">
        <f>IFERROR(VLOOKUP($B31,'LEGEND&amp;DATA'!$F$20:$AB$90,14,FALSE),"")</f>
        <v>0.31213872832369943</v>
      </c>
      <c r="I31" s="462">
        <f>IFERROR(VLOOKUP($B31,'LEGEND&amp;DATA'!$F$20:$AB$90,16,FALSE),"")</f>
        <v>0.70270270270270274</v>
      </c>
      <c r="J31" s="459" t="str">
        <f>IFERROR(VLOOKUP($B31,'LEGEND&amp;DATA'!$F$20:$AB$90,18,FALSE),"")</f>
        <v>-</v>
      </c>
      <c r="K31" s="461">
        <f>IFERROR(VLOOKUP($B31,'LEGEND&amp;DATA'!$F$20:$AB$90,20,FALSE),"")</f>
        <v>1.5629370629370629</v>
      </c>
      <c r="L31" s="462">
        <f>IFERROR(VLOOKUP($B31,'LEGEND&amp;DATA'!$F$20:$AB$90,22,FALSE),"")</f>
        <v>0.81659388646288211</v>
      </c>
      <c r="M31" s="463">
        <f>IFERROR(VLOOKUP($B31,'LEGEND&amp;DATA'!$F$20:$AE$90,26,FALSE),"")</f>
        <v>0.94</v>
      </c>
      <c r="N31" s="9"/>
    </row>
    <row r="32" spans="1:14" ht="16" customHeight="1" x14ac:dyDescent="0.35">
      <c r="A32" s="423">
        <v>12</v>
      </c>
      <c r="B32" s="455" t="str">
        <f>IF($A32&gt;KEY!$B$2,"",IFERROR(VLOOKUP($A32,'LEGEND&amp;DATA'!$E$20:$F$90,2,FALSE),""))</f>
        <v>Porsche North Scottsdale</v>
      </c>
      <c r="C32" s="456">
        <f>IFERROR(VLOOKUP($B32,'LEGEND&amp;DATA'!$F$20:$AB$90,2,FALSE),"")</f>
        <v>1.1764705882352942</v>
      </c>
      <c r="D32" s="457">
        <f>IFERROR(VLOOKUP($B32,'LEGEND&amp;DATA'!$F$20:$AB$90,4,FALSE),"")</f>
        <v>2.8536585365853662</v>
      </c>
      <c r="E32" s="458">
        <f>IFERROR(VLOOKUP($B32,'LEGEND&amp;DATA'!$F$20:$AB$90,8,FALSE),"")</f>
        <v>4.5</v>
      </c>
      <c r="F32" s="459">
        <f>IFERROR(VLOOKUP($B32,'LEGEND&amp;DATA'!$F$20:$AB$90,10,FALSE),"")</f>
        <v>1</v>
      </c>
      <c r="G32" s="460">
        <f>IFERROR(VLOOKUP($B32,'LEGEND&amp;DATA'!$F$20:$AB$90,12,FALSE),"")</f>
        <v>0.17277486910994763</v>
      </c>
      <c r="H32" s="461">
        <f>IFERROR(VLOOKUP($B32,'LEGEND&amp;DATA'!$F$20:$AB$90,14,FALSE),"")</f>
        <v>0.1553398058252427</v>
      </c>
      <c r="I32" s="462">
        <f>IFERROR(VLOOKUP($B32,'LEGEND&amp;DATA'!$F$20:$AB$90,16,FALSE),"")</f>
        <v>0.75</v>
      </c>
      <c r="J32" s="459" t="str">
        <f>IFERROR(VLOOKUP($B32,'LEGEND&amp;DATA'!$F$20:$AB$90,18,FALSE),"")</f>
        <v>-</v>
      </c>
      <c r="K32" s="461">
        <f>IFERROR(VLOOKUP($B32,'LEGEND&amp;DATA'!$F$20:$AB$90,20,FALSE),"")</f>
        <v>1.4053030303030303</v>
      </c>
      <c r="L32" s="462">
        <f>IFERROR(VLOOKUP($B32,'LEGEND&amp;DATA'!$F$20:$AB$90,22,FALSE),"")</f>
        <v>0.62264150943396224</v>
      </c>
      <c r="M32" s="463">
        <f>IFERROR(VLOOKUP($B32,'LEGEND&amp;DATA'!$F$20:$AE$90,26,FALSE),"")</f>
        <v>0.94</v>
      </c>
      <c r="N32" s="9"/>
    </row>
    <row r="33" spans="1:14" ht="16" customHeight="1" x14ac:dyDescent="0.35">
      <c r="A33" s="423">
        <v>13</v>
      </c>
      <c r="B33" s="455" t="str">
        <f>IF($A33&gt;KEY!$B$2,"",IFERROR(VLOOKUP($A33,'LEGEND&amp;DATA'!$E$20:$F$90,2,FALSE),""))</f>
        <v>Capitol Acura</v>
      </c>
      <c r="C33" s="456">
        <f>IFERROR(VLOOKUP($B33,'LEGEND&amp;DATA'!$F$20:$AB$90,2,FALSE),"")</f>
        <v>1.0169491525423728</v>
      </c>
      <c r="D33" s="457">
        <f>IFERROR(VLOOKUP($B33,'LEGEND&amp;DATA'!$F$20:$AB$90,4,FALSE),"")</f>
        <v>2.2000000000000002</v>
      </c>
      <c r="E33" s="458">
        <f>IFERROR(VLOOKUP($B33,'LEGEND&amp;DATA'!$F$20:$AB$90,8,FALSE),"")</f>
        <v>1.5</v>
      </c>
      <c r="F33" s="459">
        <f>IFERROR(VLOOKUP($B33,'LEGEND&amp;DATA'!$F$20:$AB$90,10,FALSE),"")</f>
        <v>0.75</v>
      </c>
      <c r="G33" s="460">
        <f>IFERROR(VLOOKUP($B33,'LEGEND&amp;DATA'!$F$20:$AB$90,12,FALSE),"")</f>
        <v>0.11267605633802817</v>
      </c>
      <c r="H33" s="461">
        <f>IFERROR(VLOOKUP($B33,'LEGEND&amp;DATA'!$F$20:$AB$90,14,FALSE),"")</f>
        <v>0.34285714285714286</v>
      </c>
      <c r="I33" s="462">
        <f>IFERROR(VLOOKUP($B33,'LEGEND&amp;DATA'!$F$20:$AB$90,16,FALSE),"")</f>
        <v>0.88888888888888884</v>
      </c>
      <c r="J33" s="459" t="str">
        <f>IFERROR(VLOOKUP($B33,'LEGEND&amp;DATA'!$F$20:$AB$90,18,FALSE),"")</f>
        <v>-</v>
      </c>
      <c r="K33" s="461">
        <f>IFERROR(VLOOKUP($B33,'LEGEND&amp;DATA'!$F$20:$AB$90,20,FALSE),"")</f>
        <v>0.99242424242424243</v>
      </c>
      <c r="L33" s="462">
        <f>IFERROR(VLOOKUP($B33,'LEGEND&amp;DATA'!$F$20:$AB$90,22,FALSE),"")</f>
        <v>0.53333333333333333</v>
      </c>
      <c r="M33" s="463">
        <f>IFERROR(VLOOKUP($B33,'LEGEND&amp;DATA'!$F$20:$AE$90,26,FALSE),"")</f>
        <v>0.93</v>
      </c>
      <c r="N33" s="9"/>
    </row>
    <row r="34" spans="1:14" ht="16" customHeight="1" x14ac:dyDescent="0.35">
      <c r="A34" s="423">
        <v>14</v>
      </c>
      <c r="B34" s="455" t="str">
        <f>IF($A34&gt;KEY!$B$2,"",IFERROR(VLOOKUP($A34,'LEGEND&amp;DATA'!$E$20:$F$90,2,FALSE),""))</f>
        <v>BMW of Ontario</v>
      </c>
      <c r="C34" s="456">
        <f>IFERROR(VLOOKUP($B34,'LEGEND&amp;DATA'!$F$20:$AB$90,2,FALSE),"")</f>
        <v>1.0027777777777778</v>
      </c>
      <c r="D34" s="457">
        <f>IFERROR(VLOOKUP($B34,'LEGEND&amp;DATA'!$F$20:$AB$90,4,FALSE),"")</f>
        <v>1.6909090909090909</v>
      </c>
      <c r="E34" s="458">
        <f>IFERROR(VLOOKUP($B34,'LEGEND&amp;DATA'!$F$20:$AB$90,8,FALSE),"")</f>
        <v>2</v>
      </c>
      <c r="F34" s="459">
        <f>IFERROR(VLOOKUP($B34,'LEGEND&amp;DATA'!$F$20:$AB$90,10,FALSE),"")</f>
        <v>1</v>
      </c>
      <c r="G34" s="460" t="str">
        <f>IFERROR(VLOOKUP($B34,'LEGEND&amp;DATA'!$F$20:$AB$90,12,FALSE),"")</f>
        <v>N/A</v>
      </c>
      <c r="H34" s="461" t="str">
        <f>IFERROR(VLOOKUP($B34,'LEGEND&amp;DATA'!$F$20:$AB$90,14,FALSE),"")</f>
        <v>N/A</v>
      </c>
      <c r="I34" s="462">
        <f>IFERROR(VLOOKUP($B34,'LEGEND&amp;DATA'!$F$20:$AB$90,16,FALSE),"")</f>
        <v>0.54838709677419351</v>
      </c>
      <c r="J34" s="459" t="str">
        <f>IFERROR(VLOOKUP($B34,'LEGEND&amp;DATA'!$F$20:$AB$90,18,FALSE),"")</f>
        <v>-</v>
      </c>
      <c r="K34" s="461">
        <f>IFERROR(VLOOKUP($B34,'LEGEND&amp;DATA'!$F$20:$AB$90,20,FALSE),"")</f>
        <v>1.1318181818181818</v>
      </c>
      <c r="L34" s="462">
        <f>IFERROR(VLOOKUP($B34,'LEGEND&amp;DATA'!$F$20:$AB$90,22,FALSE),"")</f>
        <v>0.75609756097560976</v>
      </c>
      <c r="M34" s="463">
        <f>IFERROR(VLOOKUP($B34,'LEGEND&amp;DATA'!$F$20:$AE$90,26,FALSE),"")</f>
        <v>0.92105263157894735</v>
      </c>
      <c r="N34" s="9"/>
    </row>
    <row r="35" spans="1:14" ht="16" customHeight="1" x14ac:dyDescent="0.35">
      <c r="A35" s="423">
        <v>15</v>
      </c>
      <c r="B35" s="455" t="str">
        <f>IF($A35&gt;KEY!$B$2,"",IFERROR(VLOOKUP($A35,'LEGEND&amp;DATA'!$E$20:$F$90,2,FALSE),""))</f>
        <v>MINI of San Diego</v>
      </c>
      <c r="C35" s="456">
        <f>IFERROR(VLOOKUP($B35,'LEGEND&amp;DATA'!$F$20:$AB$90,2,FALSE),"")</f>
        <v>1.1346153846153846</v>
      </c>
      <c r="D35" s="457">
        <f>IFERROR(VLOOKUP($B35,'LEGEND&amp;DATA'!$F$20:$AB$90,4,FALSE),"")</f>
        <v>6.5454545454545459</v>
      </c>
      <c r="E35" s="458">
        <f>IFERROR(VLOOKUP($B35,'LEGEND&amp;DATA'!$F$20:$AB$90,8,FALSE),"")</f>
        <v>4</v>
      </c>
      <c r="F35" s="459">
        <f>IFERROR(VLOOKUP($B35,'LEGEND&amp;DATA'!$F$20:$AB$90,10,FALSE),"")</f>
        <v>1</v>
      </c>
      <c r="G35" s="460">
        <f>IFERROR(VLOOKUP($B35,'LEGEND&amp;DATA'!$F$20:$AB$90,12,FALSE),"")</f>
        <v>0.2</v>
      </c>
      <c r="H35" s="461">
        <f>IFERROR(VLOOKUP($B35,'LEGEND&amp;DATA'!$F$20:$AB$90,14,FALSE),"")</f>
        <v>0.25</v>
      </c>
      <c r="I35" s="462">
        <f>IFERROR(VLOOKUP($B35,'LEGEND&amp;DATA'!$F$20:$AB$90,16,FALSE),"")</f>
        <v>0.5</v>
      </c>
      <c r="J35" s="459" t="str">
        <f>IFERROR(VLOOKUP($B35,'LEGEND&amp;DATA'!$F$20:$AB$90,18,FALSE),"")</f>
        <v>-</v>
      </c>
      <c r="K35" s="461">
        <f>IFERROR(VLOOKUP($B35,'LEGEND&amp;DATA'!$F$20:$AB$90,20,FALSE),"")</f>
        <v>0.97727272727272729</v>
      </c>
      <c r="L35" s="462">
        <f>IFERROR(VLOOKUP($B35,'LEGEND&amp;DATA'!$F$20:$AB$90,22,FALSE),"")</f>
        <v>0.57627118644067798</v>
      </c>
      <c r="M35" s="463">
        <f>IFERROR(VLOOKUP($B35,'LEGEND&amp;DATA'!$F$20:$AE$90,26,FALSE),"")</f>
        <v>0.92</v>
      </c>
      <c r="N35" s="9"/>
    </row>
    <row r="36" spans="1:14" ht="16" customHeight="1" x14ac:dyDescent="0.35">
      <c r="A36" s="423">
        <v>16</v>
      </c>
      <c r="B36" s="455" t="str">
        <f>IF($A36&gt;KEY!$B$2,"",IFERROR(VLOOKUP($A36,'LEGEND&amp;DATA'!$E$20:$F$90,2,FALSE),""))</f>
        <v>Mercedes-Benz of Chandler</v>
      </c>
      <c r="C36" s="456">
        <f>IFERROR(VLOOKUP($B36,'LEGEND&amp;DATA'!$F$20:$AB$90,2,FALSE),"")</f>
        <v>1.3246753246753247</v>
      </c>
      <c r="D36" s="457">
        <f>IFERROR(VLOOKUP($B36,'LEGEND&amp;DATA'!$F$20:$AB$90,4,FALSE),"")</f>
        <v>2.7692307692307696</v>
      </c>
      <c r="E36" s="458">
        <f>IFERROR(VLOOKUP($B36,'LEGEND&amp;DATA'!$F$20:$AB$90,8,FALSE),"")</f>
        <v>1.7777777777777777</v>
      </c>
      <c r="F36" s="459">
        <f>IFERROR(VLOOKUP($B36,'LEGEND&amp;DATA'!$F$20:$AB$90,10,FALSE),"")</f>
        <v>1</v>
      </c>
      <c r="G36" s="460">
        <f>IFERROR(VLOOKUP($B36,'LEGEND&amp;DATA'!$F$20:$AB$90,12,FALSE),"")</f>
        <v>0.13934426229508196</v>
      </c>
      <c r="H36" s="461">
        <f>IFERROR(VLOOKUP($B36,'LEGEND&amp;DATA'!$F$20:$AB$90,14,FALSE),"")</f>
        <v>0.2247191011235955</v>
      </c>
      <c r="I36" s="462">
        <f>IFERROR(VLOOKUP($B36,'LEGEND&amp;DATA'!$F$20:$AB$90,16,FALSE),"")</f>
        <v>0.66666666666666663</v>
      </c>
      <c r="J36" s="459" t="str">
        <f>IFERROR(VLOOKUP($B36,'LEGEND&amp;DATA'!$F$20:$AB$90,18,FALSE),"")</f>
        <v>-</v>
      </c>
      <c r="K36" s="461">
        <f>IFERROR(VLOOKUP($B36,'LEGEND&amp;DATA'!$F$20:$AB$90,20,FALSE),"")</f>
        <v>0.84848484848484851</v>
      </c>
      <c r="L36" s="462">
        <f>IFERROR(VLOOKUP($B36,'LEGEND&amp;DATA'!$F$20:$AB$90,22,FALSE),"")</f>
        <v>0.73076923076923073</v>
      </c>
      <c r="M36" s="463">
        <f>IFERROR(VLOOKUP($B36,'LEGEND&amp;DATA'!$F$20:$AE$90,26,FALSE),"")</f>
        <v>0.91</v>
      </c>
      <c r="N36" s="9"/>
    </row>
    <row r="37" spans="1:14" ht="16" customHeight="1" x14ac:dyDescent="0.35">
      <c r="A37" s="423">
        <v>17</v>
      </c>
      <c r="B37" s="455" t="str">
        <f>IF($A37&gt;KEY!$B$2,"",IFERROR(VLOOKUP($A37,'LEGEND&amp;DATA'!$E$20:$F$90,2,FALSE),""))</f>
        <v>MINI of Austin</v>
      </c>
      <c r="C37" s="456">
        <f>IFERROR(VLOOKUP($B37,'LEGEND&amp;DATA'!$F$20:$AB$90,2,FALSE),"")</f>
        <v>0.86363636363636365</v>
      </c>
      <c r="D37" s="457">
        <f>IFERROR(VLOOKUP($B37,'LEGEND&amp;DATA'!$F$20:$AB$90,4,FALSE),"")</f>
        <v>2.75</v>
      </c>
      <c r="E37" s="458">
        <f>IFERROR(VLOOKUP($B37,'LEGEND&amp;DATA'!$F$20:$AB$90,8,FALSE),"")</f>
        <v>2.25</v>
      </c>
      <c r="F37" s="459">
        <f>IFERROR(VLOOKUP($B37,'LEGEND&amp;DATA'!$F$20:$AB$90,10,FALSE),"")</f>
        <v>1</v>
      </c>
      <c r="G37" s="460">
        <f>IFERROR(VLOOKUP($B37,'LEGEND&amp;DATA'!$F$20:$AB$90,12,FALSE),"")</f>
        <v>0.17391304347826086</v>
      </c>
      <c r="H37" s="461">
        <f>IFERROR(VLOOKUP($B37,'LEGEND&amp;DATA'!$F$20:$AB$90,14,FALSE),"")</f>
        <v>0.23076923076923078</v>
      </c>
      <c r="I37" s="462">
        <f>IFERROR(VLOOKUP($B37,'LEGEND&amp;DATA'!$F$20:$AB$90,16,FALSE),"")</f>
        <v>0.7142857142857143</v>
      </c>
      <c r="J37" s="459" t="str">
        <f>IFERROR(VLOOKUP($B37,'LEGEND&amp;DATA'!$F$20:$AB$90,18,FALSE),"")</f>
        <v>-</v>
      </c>
      <c r="K37" s="461">
        <f>IFERROR(VLOOKUP($B37,'LEGEND&amp;DATA'!$F$20:$AB$90,20,FALSE),"")</f>
        <v>0.82954545454545459</v>
      </c>
      <c r="L37" s="462">
        <f>IFERROR(VLOOKUP($B37,'LEGEND&amp;DATA'!$F$20:$AB$90,22,FALSE),"")</f>
        <v>1.0526315789473684</v>
      </c>
      <c r="M37" s="463">
        <f>IFERROR(VLOOKUP($B37,'LEGEND&amp;DATA'!$F$20:$AE$90,26,FALSE),"")</f>
        <v>0.91</v>
      </c>
      <c r="N37" s="9"/>
    </row>
    <row r="38" spans="1:14" ht="16" customHeight="1" x14ac:dyDescent="0.35">
      <c r="A38" s="423">
        <v>18</v>
      </c>
      <c r="B38" s="455" t="str">
        <f>IF($A38&gt;KEY!$B$2,"",IFERROR(VLOOKUP($A38,'LEGEND&amp;DATA'!$E$20:$F$90,2,FALSE),""))</f>
        <v>Motorwerks BMW</v>
      </c>
      <c r="C38" s="456">
        <f>IFERROR(VLOOKUP($B38,'LEGEND&amp;DATA'!$F$20:$AB$90,2,FALSE),"")</f>
        <v>0.86687306501547989</v>
      </c>
      <c r="D38" s="457">
        <f>IFERROR(VLOOKUP($B38,'LEGEND&amp;DATA'!$F$20:$AB$90,4,FALSE),"")</f>
        <v>2.6315789473684212</v>
      </c>
      <c r="E38" s="458">
        <f>IFERROR(VLOOKUP($B38,'LEGEND&amp;DATA'!$F$20:$AB$90,8,FALSE),"")</f>
        <v>3.5</v>
      </c>
      <c r="F38" s="459">
        <f>IFERROR(VLOOKUP($B38,'LEGEND&amp;DATA'!$F$20:$AB$90,10,FALSE),"")</f>
        <v>0.625</v>
      </c>
      <c r="G38" s="460">
        <f>IFERROR(VLOOKUP($B38,'LEGEND&amp;DATA'!$F$20:$AB$90,12,FALSE),"")</f>
        <v>0.19651741293532338</v>
      </c>
      <c r="H38" s="461">
        <f>IFERROR(VLOOKUP($B38,'LEGEND&amp;DATA'!$F$20:$AB$90,14,FALSE),"")</f>
        <v>0.29411764705882354</v>
      </c>
      <c r="I38" s="462">
        <f>IFERROR(VLOOKUP($B38,'LEGEND&amp;DATA'!$F$20:$AB$90,16,FALSE),"")</f>
        <v>0.875</v>
      </c>
      <c r="J38" s="459" t="str">
        <f>IFERROR(VLOOKUP($B38,'LEGEND&amp;DATA'!$F$20:$AB$90,18,FALSE),"")</f>
        <v>-</v>
      </c>
      <c r="K38" s="461">
        <f>IFERROR(VLOOKUP($B38,'LEGEND&amp;DATA'!$F$20:$AB$90,20,FALSE),"")</f>
        <v>0.99494949494949492</v>
      </c>
      <c r="L38" s="462">
        <f>IFERROR(VLOOKUP($B38,'LEGEND&amp;DATA'!$F$20:$AB$90,22,FALSE),"")</f>
        <v>0.49290780141843971</v>
      </c>
      <c r="M38" s="463">
        <f>IFERROR(VLOOKUP($B38,'LEGEND&amp;DATA'!$F$20:$AE$90,26,FALSE),"")</f>
        <v>0.9</v>
      </c>
      <c r="N38" s="9"/>
    </row>
    <row r="39" spans="1:14" ht="16" customHeight="1" x14ac:dyDescent="0.35">
      <c r="A39" s="423">
        <v>19</v>
      </c>
      <c r="B39" s="455" t="str">
        <f>IF($A39&gt;KEY!$B$2,"",IFERROR(VLOOKUP($A39,'LEGEND&amp;DATA'!$E$20:$F$90,2,FALSE),""))</f>
        <v>Audi Escondido</v>
      </c>
      <c r="C39" s="456">
        <f>IFERROR(VLOOKUP($B39,'LEGEND&amp;DATA'!$F$20:$AB$90,2,FALSE),"")</f>
        <v>1.1551724137931034</v>
      </c>
      <c r="D39" s="457">
        <f>IFERROR(VLOOKUP($B39,'LEGEND&amp;DATA'!$F$20:$AB$90,4,FALSE),"")</f>
        <v>3</v>
      </c>
      <c r="E39" s="458">
        <f>IFERROR(VLOOKUP($B39,'LEGEND&amp;DATA'!$F$20:$AB$90,8,FALSE),"")</f>
        <v>4</v>
      </c>
      <c r="F39" s="459">
        <f>IFERROR(VLOOKUP($B39,'LEGEND&amp;DATA'!$F$20:$AB$90,10,FALSE),"")</f>
        <v>0.875</v>
      </c>
      <c r="G39" s="460">
        <f>IFERROR(VLOOKUP($B39,'LEGEND&amp;DATA'!$F$20:$AB$90,12,FALSE),"")</f>
        <v>0.22535211267605634</v>
      </c>
      <c r="H39" s="461">
        <f>IFERROR(VLOOKUP($B39,'LEGEND&amp;DATA'!$F$20:$AB$90,14,FALSE),"")</f>
        <v>0.55172413793103448</v>
      </c>
      <c r="I39" s="462">
        <f>IFERROR(VLOOKUP($B39,'LEGEND&amp;DATA'!$F$20:$AB$90,16,FALSE),"")</f>
        <v>0.8</v>
      </c>
      <c r="J39" s="459" t="str">
        <f>IFERROR(VLOOKUP($B39,'LEGEND&amp;DATA'!$F$20:$AB$90,18,FALSE),"")</f>
        <v>-</v>
      </c>
      <c r="K39" s="461">
        <f>IFERROR(VLOOKUP($B39,'LEGEND&amp;DATA'!$F$20:$AB$90,20,FALSE),"")</f>
        <v>0.65454545454545454</v>
      </c>
      <c r="L39" s="462">
        <f>IFERROR(VLOOKUP($B39,'LEGEND&amp;DATA'!$F$20:$AB$90,22,FALSE),"")</f>
        <v>0.59701492537313428</v>
      </c>
      <c r="M39" s="463">
        <f>IFERROR(VLOOKUP($B39,'LEGEND&amp;DATA'!$F$20:$AE$90,26,FALSE),"")</f>
        <v>0.89</v>
      </c>
      <c r="N39" s="9"/>
    </row>
    <row r="40" spans="1:14" ht="16" customHeight="1" x14ac:dyDescent="0.35">
      <c r="A40" s="423">
        <v>20</v>
      </c>
      <c r="B40" s="455" t="str">
        <f>IF($A40&gt;KEY!$B$2,"",IFERROR(VLOOKUP($A40,'LEGEND&amp;DATA'!$E$20:$F$90,2,FALSE),""))</f>
        <v>Round Rock Hyundai</v>
      </c>
      <c r="C40" s="456">
        <f>IFERROR(VLOOKUP($B40,'LEGEND&amp;DATA'!$F$20:$AB$90,2,FALSE),"")</f>
        <v>0.952191235059761</v>
      </c>
      <c r="D40" s="457">
        <f>IFERROR(VLOOKUP($B40,'LEGEND&amp;DATA'!$F$20:$AB$90,4,FALSE),"")</f>
        <v>0.84782608695652173</v>
      </c>
      <c r="E40" s="458">
        <f>IFERROR(VLOOKUP($B40,'LEGEND&amp;DATA'!$F$20:$AB$90,8,FALSE),"")</f>
        <v>3</v>
      </c>
      <c r="F40" s="459">
        <f>IFERROR(VLOOKUP($B40,'LEGEND&amp;DATA'!$F$20:$AB$90,10,FALSE),"")</f>
        <v>0.75</v>
      </c>
      <c r="G40" s="460">
        <f>IFERROR(VLOOKUP($B40,'LEGEND&amp;DATA'!$F$20:$AB$90,12,FALSE),"")</f>
        <v>0.14603960396039603</v>
      </c>
      <c r="H40" s="461">
        <f>IFERROR(VLOOKUP($B40,'LEGEND&amp;DATA'!$F$20:$AB$90,14,FALSE),"")</f>
        <v>0.28497409326424872</v>
      </c>
      <c r="I40" s="462">
        <f>IFERROR(VLOOKUP($B40,'LEGEND&amp;DATA'!$F$20:$AB$90,16,FALSE),"")</f>
        <v>0.6</v>
      </c>
      <c r="J40" s="459" t="str">
        <f>IFERROR(VLOOKUP($B40,'LEGEND&amp;DATA'!$F$20:$AB$90,18,FALSE),"")</f>
        <v>-</v>
      </c>
      <c r="K40" s="461">
        <f>IFERROR(VLOOKUP($B40,'LEGEND&amp;DATA'!$F$20:$AB$90,20,FALSE),"")</f>
        <v>1.1666666666666667</v>
      </c>
      <c r="L40" s="462">
        <f>IFERROR(VLOOKUP($B40,'LEGEND&amp;DATA'!$F$20:$AB$90,22,FALSE),"")</f>
        <v>0.5829596412556054</v>
      </c>
      <c r="M40" s="463">
        <f>IFERROR(VLOOKUP($B40,'LEGEND&amp;DATA'!$F$20:$AE$90,26,FALSE),"")</f>
        <v>0.89</v>
      </c>
      <c r="N40" s="9"/>
    </row>
    <row r="41" spans="1:14" ht="16" customHeight="1" x14ac:dyDescent="0.35">
      <c r="A41" s="423">
        <v>21</v>
      </c>
      <c r="B41" s="455" t="str">
        <f>IF($A41&gt;KEY!$B$2,"",IFERROR(VLOOKUP($A41,'LEGEND&amp;DATA'!$E$20:$F$90,2,FALSE),""))</f>
        <v>Audi North Scottsdale</v>
      </c>
      <c r="C41" s="456">
        <f>IFERROR(VLOOKUP($B41,'LEGEND&amp;DATA'!$F$20:$AB$90,2,FALSE),"")</f>
        <v>1.0070422535211268</v>
      </c>
      <c r="D41" s="457">
        <f>IFERROR(VLOOKUP($B41,'LEGEND&amp;DATA'!$F$20:$AB$90,4,FALSE),"")</f>
        <v>0.9375</v>
      </c>
      <c r="E41" s="458">
        <f>IFERROR(VLOOKUP($B41,'LEGEND&amp;DATA'!$F$20:$AB$90,8,FALSE),"")</f>
        <v>2.5</v>
      </c>
      <c r="F41" s="459">
        <f>IFERROR(VLOOKUP($B41,'LEGEND&amp;DATA'!$F$20:$AB$90,10,FALSE),"")</f>
        <v>1</v>
      </c>
      <c r="G41" s="460">
        <f>IFERROR(VLOOKUP($B41,'LEGEND&amp;DATA'!$F$20:$AB$90,12,FALSE),"")</f>
        <v>0.13898305084745763</v>
      </c>
      <c r="H41" s="461">
        <f>IFERROR(VLOOKUP($B41,'LEGEND&amp;DATA'!$F$20:$AB$90,14,FALSE),"")</f>
        <v>0.18461538461538463</v>
      </c>
      <c r="I41" s="462">
        <f>IFERROR(VLOOKUP($B41,'LEGEND&amp;DATA'!$F$20:$AB$90,16,FALSE),"")</f>
        <v>0.5714285714285714</v>
      </c>
      <c r="J41" s="459" t="str">
        <f>IFERROR(VLOOKUP($B41,'LEGEND&amp;DATA'!$F$20:$AB$90,18,FALSE),"")</f>
        <v>-</v>
      </c>
      <c r="K41" s="461">
        <f>IFERROR(VLOOKUP($B41,'LEGEND&amp;DATA'!$F$20:$AB$90,20,FALSE),"")</f>
        <v>0.89090909090909087</v>
      </c>
      <c r="L41" s="462">
        <f>IFERROR(VLOOKUP($B41,'LEGEND&amp;DATA'!$F$20:$AB$90,22,FALSE),"")</f>
        <v>0.68531468531468531</v>
      </c>
      <c r="M41" s="463">
        <f>IFERROR(VLOOKUP($B41,'LEGEND&amp;DATA'!$F$20:$AE$90,26,FALSE),"")</f>
        <v>0.88</v>
      </c>
      <c r="N41" s="9"/>
    </row>
    <row r="42" spans="1:14" ht="16" customHeight="1" x14ac:dyDescent="0.35">
      <c r="A42" s="423">
        <v>22</v>
      </c>
      <c r="B42" s="455" t="str">
        <f>IF($A42&gt;KEY!$B$2,"",IFERROR(VLOOKUP($A42,'LEGEND&amp;DATA'!$E$20:$F$90,2,FALSE),""))</f>
        <v>Crevier MINI</v>
      </c>
      <c r="C42" s="456">
        <f>IFERROR(VLOOKUP($B42,'LEGEND&amp;DATA'!$F$20:$AB$90,2,FALSE),"")</f>
        <v>1.2619047619047619</v>
      </c>
      <c r="D42" s="457">
        <f>IFERROR(VLOOKUP($B42,'LEGEND&amp;DATA'!$F$20:$AB$90,4,FALSE),"")</f>
        <v>5.2941176470588234</v>
      </c>
      <c r="E42" s="458">
        <f>IFERROR(VLOOKUP($B42,'LEGEND&amp;DATA'!$F$20:$AB$90,8,FALSE),"")</f>
        <v>2</v>
      </c>
      <c r="F42" s="459">
        <f>IFERROR(VLOOKUP($B42,'LEGEND&amp;DATA'!$F$20:$AB$90,10,FALSE),"")</f>
        <v>1</v>
      </c>
      <c r="G42" s="460">
        <f>IFERROR(VLOOKUP($B42,'LEGEND&amp;DATA'!$F$20:$AB$90,12,FALSE),"")</f>
        <v>0.33333333333333331</v>
      </c>
      <c r="H42" s="461">
        <f>IFERROR(VLOOKUP($B42,'LEGEND&amp;DATA'!$F$20:$AB$90,14,FALSE),"")</f>
        <v>0.25</v>
      </c>
      <c r="I42" s="462">
        <f>IFERROR(VLOOKUP($B42,'LEGEND&amp;DATA'!$F$20:$AB$90,16,FALSE),"")</f>
        <v>0.36363636363636365</v>
      </c>
      <c r="J42" s="459" t="str">
        <f>IFERROR(VLOOKUP($B42,'LEGEND&amp;DATA'!$F$20:$AB$90,18,FALSE),"")</f>
        <v>-</v>
      </c>
      <c r="K42" s="461">
        <f>IFERROR(VLOOKUP($B42,'LEGEND&amp;DATA'!$F$20:$AB$90,20,FALSE),"")</f>
        <v>1.0649350649350648</v>
      </c>
      <c r="L42" s="462">
        <f>IFERROR(VLOOKUP($B42,'LEGEND&amp;DATA'!$F$20:$AB$90,22,FALSE),"")</f>
        <v>0.81481481481481477</v>
      </c>
      <c r="M42" s="463">
        <f>IFERROR(VLOOKUP($B42,'LEGEND&amp;DATA'!$F$20:$AE$90,26,FALSE),"")</f>
        <v>0.88</v>
      </c>
      <c r="N42" s="9"/>
    </row>
    <row r="43" spans="1:14" ht="16" customHeight="1" x14ac:dyDescent="0.35">
      <c r="A43" s="423">
        <v>23</v>
      </c>
      <c r="B43" s="455" t="str">
        <f>IF($A43&gt;KEY!$B$2,"",IFERROR(VLOOKUP($A43,'LEGEND&amp;DATA'!$E$20:$F$90,2,FALSE),""))</f>
        <v>Subaru Orange Coast</v>
      </c>
      <c r="C43" s="456">
        <f>IFERROR(VLOOKUP($B43,'LEGEND&amp;DATA'!$F$20:$AB$90,2,FALSE),"")</f>
        <v>0.5679012345679012</v>
      </c>
      <c r="D43" s="457">
        <f>IFERROR(VLOOKUP($B43,'LEGEND&amp;DATA'!$F$20:$AB$90,4,FALSE),"")</f>
        <v>2.52</v>
      </c>
      <c r="E43" s="458">
        <f>IFERROR(VLOOKUP($B43,'LEGEND&amp;DATA'!$F$20:$AB$90,8,FALSE),"")</f>
        <v>3.375</v>
      </c>
      <c r="F43" s="459">
        <f>IFERROR(VLOOKUP($B43,'LEGEND&amp;DATA'!$F$20:$AB$90,10,FALSE),"")</f>
        <v>0.875</v>
      </c>
      <c r="G43" s="460">
        <f>IFERROR(VLOOKUP($B43,'LEGEND&amp;DATA'!$F$20:$AB$90,12,FALSE),"")</f>
        <v>0.14285714285714285</v>
      </c>
      <c r="H43" s="461">
        <f>IFERROR(VLOOKUP($B43,'LEGEND&amp;DATA'!$F$20:$AB$90,14,FALSE),"")</f>
        <v>0.25</v>
      </c>
      <c r="I43" s="462">
        <f>IFERROR(VLOOKUP($B43,'LEGEND&amp;DATA'!$F$20:$AB$90,16,FALSE),"")</f>
        <v>0.75</v>
      </c>
      <c r="J43" s="459" t="str">
        <f>IFERROR(VLOOKUP($B43,'LEGEND&amp;DATA'!$F$20:$AB$90,18,FALSE),"")</f>
        <v>-</v>
      </c>
      <c r="K43" s="461">
        <f>IFERROR(VLOOKUP($B43,'LEGEND&amp;DATA'!$F$20:$AB$90,20,FALSE),"")</f>
        <v>1.125</v>
      </c>
      <c r="L43" s="462">
        <f>IFERROR(VLOOKUP($B43,'LEGEND&amp;DATA'!$F$20:$AB$90,22,FALSE),"")</f>
        <v>0.77173913043478259</v>
      </c>
      <c r="M43" s="463">
        <f>IFERROR(VLOOKUP($B43,'LEGEND&amp;DATA'!$F$20:$AE$90,26,FALSE),"")</f>
        <v>0.87</v>
      </c>
      <c r="N43" s="9"/>
    </row>
    <row r="44" spans="1:14" ht="16" customHeight="1" x14ac:dyDescent="0.35">
      <c r="A44" s="423">
        <v>24</v>
      </c>
      <c r="B44" s="455" t="str">
        <f>IF($A44&gt;KEY!$B$2,"",IFERROR(VLOOKUP($A44,'LEGEND&amp;DATA'!$E$20:$F$90,2,FALSE),""))</f>
        <v>Lexus of Chandler</v>
      </c>
      <c r="C44" s="456">
        <f>IFERROR(VLOOKUP($B44,'LEGEND&amp;DATA'!$F$20:$AB$90,2,FALSE),"")</f>
        <v>1.3364485981308412</v>
      </c>
      <c r="D44" s="457">
        <f>IFERROR(VLOOKUP($B44,'LEGEND&amp;DATA'!$F$20:$AB$90,4,FALSE),"")</f>
        <v>3.5454545454545454</v>
      </c>
      <c r="E44" s="458">
        <f>IFERROR(VLOOKUP($B44,'LEGEND&amp;DATA'!$F$20:$AB$90,8,FALSE),"")</f>
        <v>2</v>
      </c>
      <c r="F44" s="459">
        <f>IFERROR(VLOOKUP($B44,'LEGEND&amp;DATA'!$F$20:$AB$90,10,FALSE),"")</f>
        <v>0.5</v>
      </c>
      <c r="G44" s="460">
        <f>IFERROR(VLOOKUP($B44,'LEGEND&amp;DATA'!$F$20:$AB$90,12,FALSE),"")</f>
        <v>0.13680781758957655</v>
      </c>
      <c r="H44" s="461">
        <f>IFERROR(VLOOKUP($B44,'LEGEND&amp;DATA'!$F$20:$AB$90,14,FALSE),"")</f>
        <v>0.21379310344827587</v>
      </c>
      <c r="I44" s="462">
        <f>IFERROR(VLOOKUP($B44,'LEGEND&amp;DATA'!$F$20:$AB$90,16,FALSE),"")</f>
        <v>0.5</v>
      </c>
      <c r="J44" s="459" t="str">
        <f>IFERROR(VLOOKUP($B44,'LEGEND&amp;DATA'!$F$20:$AB$90,18,FALSE),"")</f>
        <v>-</v>
      </c>
      <c r="K44" s="461">
        <f>IFERROR(VLOOKUP($B44,'LEGEND&amp;DATA'!$F$20:$AB$90,20,FALSE),"")</f>
        <v>1.0656565656565657</v>
      </c>
      <c r="L44" s="462">
        <f>IFERROR(VLOOKUP($B44,'LEGEND&amp;DATA'!$F$20:$AB$90,22,FALSE),"")</f>
        <v>0.75</v>
      </c>
      <c r="M44" s="463">
        <f>IFERROR(VLOOKUP($B44,'LEGEND&amp;DATA'!$F$20:$AE$90,26,FALSE),"")</f>
        <v>0.86</v>
      </c>
      <c r="N44" s="9"/>
    </row>
    <row r="45" spans="1:14" ht="16" customHeight="1" x14ac:dyDescent="0.35">
      <c r="A45" s="423">
        <v>25</v>
      </c>
      <c r="B45" s="455" t="str">
        <f>IF($A45&gt;KEY!$B$2,"",IFERROR(VLOOKUP($A45,'LEGEND&amp;DATA'!$E$20:$F$90,2,FALSE),""))</f>
        <v>Mercedes-Benz of San Diego</v>
      </c>
      <c r="C45" s="456">
        <f>IFERROR(VLOOKUP($B45,'LEGEND&amp;DATA'!$F$20:$AB$90,2,FALSE),"")</f>
        <v>0.80082987551867224</v>
      </c>
      <c r="D45" s="457">
        <f>IFERROR(VLOOKUP($B45,'LEGEND&amp;DATA'!$F$20:$AB$90,4,FALSE),"")</f>
        <v>4.7058823529411766</v>
      </c>
      <c r="E45" s="458">
        <f>IFERROR(VLOOKUP($B45,'LEGEND&amp;DATA'!$F$20:$AB$90,8,FALSE),"")</f>
        <v>3.5625</v>
      </c>
      <c r="F45" s="459">
        <f>IFERROR(VLOOKUP($B45,'LEGEND&amp;DATA'!$F$20:$AB$90,10,FALSE),"")</f>
        <v>1</v>
      </c>
      <c r="G45" s="460">
        <f>IFERROR(VLOOKUP($B45,'LEGEND&amp;DATA'!$F$20:$AB$90,12,FALSE),"")</f>
        <v>0.1238390092879257</v>
      </c>
      <c r="H45" s="461">
        <f>IFERROR(VLOOKUP($B45,'LEGEND&amp;DATA'!$F$20:$AB$90,14,FALSE),"")</f>
        <v>0.234375</v>
      </c>
      <c r="I45" s="462">
        <f>IFERROR(VLOOKUP($B45,'LEGEND&amp;DATA'!$F$20:$AB$90,16,FALSE),"")</f>
        <v>0.625</v>
      </c>
      <c r="J45" s="459" t="str">
        <f>IFERROR(VLOOKUP($B45,'LEGEND&amp;DATA'!$F$20:$AB$90,18,FALSE),"")</f>
        <v>-</v>
      </c>
      <c r="K45" s="461">
        <f>IFERROR(VLOOKUP($B45,'LEGEND&amp;DATA'!$F$20:$AB$90,20,FALSE),"")</f>
        <v>0.86647727272727271</v>
      </c>
      <c r="L45" s="462">
        <f>IFERROR(VLOOKUP($B45,'LEGEND&amp;DATA'!$F$20:$AB$90,22,FALSE),"")</f>
        <v>0.6262626262626263</v>
      </c>
      <c r="M45" s="463">
        <f>IFERROR(VLOOKUP($B45,'LEGEND&amp;DATA'!$F$20:$AE$90,26,FALSE),"")</f>
        <v>0.85</v>
      </c>
      <c r="N45" s="9"/>
    </row>
    <row r="46" spans="1:14" ht="16" customHeight="1" x14ac:dyDescent="0.35">
      <c r="A46" s="423">
        <v>26</v>
      </c>
      <c r="B46" s="455" t="str">
        <f>IF($A46&gt;KEY!$B$2,"",IFERROR(VLOOKUP($A46,'LEGEND&amp;DATA'!$E$20:$F$90,2,FALSE),""))</f>
        <v>Volkswagen North Scottsdale</v>
      </c>
      <c r="C46" s="456">
        <f>IFERROR(VLOOKUP($B46,'LEGEND&amp;DATA'!$F$20:$AB$90,2,FALSE),"")</f>
        <v>0.91139240506329111</v>
      </c>
      <c r="D46" s="457">
        <f>IFERROR(VLOOKUP($B46,'LEGEND&amp;DATA'!$F$20:$AB$90,4,FALSE),"")</f>
        <v>1.736842105263158</v>
      </c>
      <c r="E46" s="458">
        <f>IFERROR(VLOOKUP($B46,'LEGEND&amp;DATA'!$F$20:$AB$90,8,FALSE),"")</f>
        <v>2.1666666666666665</v>
      </c>
      <c r="F46" s="459">
        <f>IFERROR(VLOOKUP($B46,'LEGEND&amp;DATA'!$F$20:$AB$90,10,FALSE),"")</f>
        <v>0.5</v>
      </c>
      <c r="G46" s="460">
        <f>IFERROR(VLOOKUP($B46,'LEGEND&amp;DATA'!$F$20:$AB$90,12,FALSE),"")</f>
        <v>0.15217391304347827</v>
      </c>
      <c r="H46" s="461">
        <f>IFERROR(VLOOKUP($B46,'LEGEND&amp;DATA'!$F$20:$AB$90,14,FALSE),"")</f>
        <v>0.28888888888888886</v>
      </c>
      <c r="I46" s="462">
        <f>IFERROR(VLOOKUP($B46,'LEGEND&amp;DATA'!$F$20:$AB$90,16,FALSE),"")</f>
        <v>1</v>
      </c>
      <c r="J46" s="459" t="str">
        <f>IFERROR(VLOOKUP($B46,'LEGEND&amp;DATA'!$F$20:$AB$90,18,FALSE),"")</f>
        <v>-</v>
      </c>
      <c r="K46" s="461">
        <f>IFERROR(VLOOKUP($B46,'LEGEND&amp;DATA'!$F$20:$AB$90,20,FALSE),"")</f>
        <v>0.71969696969696972</v>
      </c>
      <c r="L46" s="462">
        <f>IFERROR(VLOOKUP($B46,'LEGEND&amp;DATA'!$F$20:$AB$90,22,FALSE),"")</f>
        <v>0.72602739726027399</v>
      </c>
      <c r="M46" s="463">
        <f>IFERROR(VLOOKUP($B46,'LEGEND&amp;DATA'!$F$20:$AE$90,26,FALSE),"")</f>
        <v>0.85</v>
      </c>
      <c r="N46" s="9"/>
    </row>
    <row r="47" spans="1:14" ht="16" customHeight="1" x14ac:dyDescent="0.35">
      <c r="A47" s="423">
        <v>27</v>
      </c>
      <c r="B47" s="455" t="str">
        <f>IF($A47&gt;KEY!$B$2,"",IFERROR(VLOOKUP($A47,'LEGEND&amp;DATA'!$E$20:$F$90,2,FALSE),""))</f>
        <v>Toyota of Clovis</v>
      </c>
      <c r="C47" s="456">
        <f>IFERROR(VLOOKUP($B47,'LEGEND&amp;DATA'!$F$20:$AB$90,2,FALSE),"")</f>
        <v>1.0471380471380471</v>
      </c>
      <c r="D47" s="457">
        <f>IFERROR(VLOOKUP($B47,'LEGEND&amp;DATA'!$F$20:$AB$90,4,FALSE),"")</f>
        <v>1.1129032258064515</v>
      </c>
      <c r="E47" s="458">
        <f>IFERROR(VLOOKUP($B47,'LEGEND&amp;DATA'!$F$20:$AB$90,8,FALSE),"")</f>
        <v>2.65</v>
      </c>
      <c r="F47" s="459">
        <f>IFERROR(VLOOKUP($B47,'LEGEND&amp;DATA'!$F$20:$AB$90,10,FALSE),"")</f>
        <v>1</v>
      </c>
      <c r="G47" s="460">
        <f>IFERROR(VLOOKUP($B47,'LEGEND&amp;DATA'!$F$20:$AB$90,12,FALSE),"")</f>
        <v>0.13958810068649885</v>
      </c>
      <c r="H47" s="461">
        <f>IFERROR(VLOOKUP($B47,'LEGEND&amp;DATA'!$F$20:$AB$90,14,FALSE),"")</f>
        <v>0.23394495412844038</v>
      </c>
      <c r="I47" s="462">
        <f>IFERROR(VLOOKUP($B47,'LEGEND&amp;DATA'!$F$20:$AB$90,16,FALSE),"")</f>
        <v>1</v>
      </c>
      <c r="J47" s="459" t="str">
        <f>IFERROR(VLOOKUP($B47,'LEGEND&amp;DATA'!$F$20:$AB$90,18,FALSE),"")</f>
        <v>-</v>
      </c>
      <c r="K47" s="461">
        <f>IFERROR(VLOOKUP($B47,'LEGEND&amp;DATA'!$F$20:$AB$90,20,FALSE),"")</f>
        <v>0.73863636363636365</v>
      </c>
      <c r="L47" s="462">
        <f>IFERROR(VLOOKUP($B47,'LEGEND&amp;DATA'!$F$20:$AB$90,22,FALSE),"")</f>
        <v>0.31858407079646017</v>
      </c>
      <c r="M47" s="463">
        <f>IFERROR(VLOOKUP($B47,'LEGEND&amp;DATA'!$F$20:$AE$90,26,FALSE),"")</f>
        <v>0.84</v>
      </c>
      <c r="N47" s="9"/>
    </row>
    <row r="48" spans="1:14" ht="16" customHeight="1" x14ac:dyDescent="0.35">
      <c r="A48" s="423">
        <v>28</v>
      </c>
      <c r="B48" s="455" t="str">
        <f>IF($A48&gt;KEY!$B$2,"",IFERROR(VLOOKUP($A48,'LEGEND&amp;DATA'!$E$20:$F$90,2,FALSE),""))</f>
        <v>Acura North Scottsdale</v>
      </c>
      <c r="C48" s="456">
        <f>IFERROR(VLOOKUP($B48,'LEGEND&amp;DATA'!$F$20:$AB$90,2,FALSE),"")</f>
        <v>0.91566265060240959</v>
      </c>
      <c r="D48" s="457">
        <f>IFERROR(VLOOKUP($B48,'LEGEND&amp;DATA'!$F$20:$AB$90,4,FALSE),"")</f>
        <v>2.125</v>
      </c>
      <c r="E48" s="458">
        <f>IFERROR(VLOOKUP($B48,'LEGEND&amp;DATA'!$F$20:$AB$90,8,FALSE),"")</f>
        <v>2.5714285714285716</v>
      </c>
      <c r="F48" s="459">
        <f>IFERROR(VLOOKUP($B48,'LEGEND&amp;DATA'!$F$20:$AB$90,10,FALSE),"")</f>
        <v>0.75</v>
      </c>
      <c r="G48" s="460">
        <f>IFERROR(VLOOKUP($B48,'LEGEND&amp;DATA'!$F$20:$AB$90,12,FALSE),"")</f>
        <v>0.15753424657534246</v>
      </c>
      <c r="H48" s="461">
        <f>IFERROR(VLOOKUP($B48,'LEGEND&amp;DATA'!$F$20:$AB$90,14,FALSE),"")</f>
        <v>0.19480519480519481</v>
      </c>
      <c r="I48" s="462">
        <f>IFERROR(VLOOKUP($B48,'LEGEND&amp;DATA'!$F$20:$AB$90,16,FALSE),"")</f>
        <v>0.63636363636363635</v>
      </c>
      <c r="J48" s="459" t="str">
        <f>IFERROR(VLOOKUP($B48,'LEGEND&amp;DATA'!$F$20:$AB$90,18,FALSE),"")</f>
        <v>-</v>
      </c>
      <c r="K48" s="461">
        <f>IFERROR(VLOOKUP($B48,'LEGEND&amp;DATA'!$F$20:$AB$90,20,FALSE),"")</f>
        <v>0.79870129870129869</v>
      </c>
      <c r="L48" s="462">
        <f>IFERROR(VLOOKUP($B48,'LEGEND&amp;DATA'!$F$20:$AB$90,22,FALSE),"")</f>
        <v>0.81578947368421051</v>
      </c>
      <c r="M48" s="463">
        <f>IFERROR(VLOOKUP($B48,'LEGEND&amp;DATA'!$F$20:$AE$90,26,FALSE),"")</f>
        <v>0.83</v>
      </c>
      <c r="N48" s="9"/>
    </row>
    <row r="49" spans="1:14" ht="16" customHeight="1" x14ac:dyDescent="0.35">
      <c r="A49" s="423">
        <v>29</v>
      </c>
      <c r="B49" s="455" t="str">
        <f>IF($A49&gt;KEY!$B$2,"",IFERROR(VLOOKUP($A49,'LEGEND&amp;DATA'!$E$20:$F$90,2,FALSE),""))</f>
        <v>Audi North OC</v>
      </c>
      <c r="C49" s="456">
        <f>IFERROR(VLOOKUP($B49,'LEGEND&amp;DATA'!$F$20:$AB$90,2,FALSE),"")</f>
        <v>1.2857142857142858</v>
      </c>
      <c r="D49" s="457">
        <f>IFERROR(VLOOKUP($B49,'LEGEND&amp;DATA'!$F$20:$AB$90,4,FALSE),"")</f>
        <v>3</v>
      </c>
      <c r="E49" s="458">
        <f>IFERROR(VLOOKUP($B49,'LEGEND&amp;DATA'!$F$20:$AB$90,8,FALSE),"")</f>
        <v>1.8</v>
      </c>
      <c r="F49" s="459">
        <f>IFERROR(VLOOKUP($B49,'LEGEND&amp;DATA'!$F$20:$AB$90,10,FALSE),"")</f>
        <v>1</v>
      </c>
      <c r="G49" s="460">
        <f>IFERROR(VLOOKUP($B49,'LEGEND&amp;DATA'!$F$20:$AB$90,12,FALSE),"")</f>
        <v>0.23232323232323232</v>
      </c>
      <c r="H49" s="461">
        <f>IFERROR(VLOOKUP($B49,'LEGEND&amp;DATA'!$F$20:$AB$90,14,FALSE),"")</f>
        <v>0.34375</v>
      </c>
      <c r="I49" s="462">
        <f>IFERROR(VLOOKUP($B49,'LEGEND&amp;DATA'!$F$20:$AB$90,16,FALSE),"")</f>
        <v>0.5</v>
      </c>
      <c r="J49" s="459" t="str">
        <f>IFERROR(VLOOKUP($B49,'LEGEND&amp;DATA'!$F$20:$AB$90,18,FALSE),"")</f>
        <v>-</v>
      </c>
      <c r="K49" s="461">
        <f>IFERROR(VLOOKUP($B49,'LEGEND&amp;DATA'!$F$20:$AB$90,20,FALSE),"")</f>
        <v>0.78181818181818186</v>
      </c>
      <c r="L49" s="462">
        <f>IFERROR(VLOOKUP($B49,'LEGEND&amp;DATA'!$F$20:$AB$90,22,FALSE),"")</f>
        <v>0.8571428571428571</v>
      </c>
      <c r="M49" s="463">
        <f>IFERROR(VLOOKUP($B49,'LEGEND&amp;DATA'!$F$20:$AE$90,26,FALSE),"")</f>
        <v>0.83</v>
      </c>
      <c r="N49" s="9"/>
    </row>
    <row r="50" spans="1:14" ht="16" customHeight="1" x14ac:dyDescent="0.35">
      <c r="A50" s="423">
        <v>30</v>
      </c>
      <c r="B50" s="455" t="str">
        <f>IF($A50&gt;KEY!$B$2,"",IFERROR(VLOOKUP($A50,'LEGEND&amp;DATA'!$E$20:$F$90,2,FALSE),""))</f>
        <v>Lincoln South Coast</v>
      </c>
      <c r="C50" s="456">
        <f>IFERROR(VLOOKUP($B50,'LEGEND&amp;DATA'!$F$20:$AB$90,2,FALSE),"")</f>
        <v>1.125</v>
      </c>
      <c r="D50" s="457">
        <f>IFERROR(VLOOKUP($B50,'LEGEND&amp;DATA'!$F$20:$AB$90,4,FALSE),"")</f>
        <v>3.2727272727272729</v>
      </c>
      <c r="E50" s="458">
        <f>IFERROR(VLOOKUP($B50,'LEGEND&amp;DATA'!$F$20:$AB$90,8,FALSE),"")</f>
        <v>1.5</v>
      </c>
      <c r="F50" s="459">
        <f>IFERROR(VLOOKUP($B50,'LEGEND&amp;DATA'!$F$20:$AB$90,10,FALSE),"")</f>
        <v>1</v>
      </c>
      <c r="G50" s="460">
        <f>IFERROR(VLOOKUP($B50,'LEGEND&amp;DATA'!$F$20:$AB$90,12,FALSE),"")</f>
        <v>0.14563106796116504</v>
      </c>
      <c r="H50" s="461">
        <f>IFERROR(VLOOKUP($B50,'LEGEND&amp;DATA'!$F$20:$AB$90,14,FALSE),"")</f>
        <v>0.2</v>
      </c>
      <c r="I50" s="462">
        <f>IFERROR(VLOOKUP($B50,'LEGEND&amp;DATA'!$F$20:$AB$90,16,FALSE),"")</f>
        <v>0.42857142857142855</v>
      </c>
      <c r="J50" s="459" t="str">
        <f>IFERROR(VLOOKUP($B50,'LEGEND&amp;DATA'!$F$20:$AB$90,18,FALSE),"")</f>
        <v>-</v>
      </c>
      <c r="K50" s="461">
        <f>IFERROR(VLOOKUP($B50,'LEGEND&amp;DATA'!$F$20:$AB$90,20,FALSE),"")</f>
        <v>0.96590909090909094</v>
      </c>
      <c r="L50" s="462">
        <f>IFERROR(VLOOKUP($B50,'LEGEND&amp;DATA'!$F$20:$AB$90,22,FALSE),"")</f>
        <v>0.71111111111111114</v>
      </c>
      <c r="M50" s="463">
        <f>IFERROR(VLOOKUP($B50,'LEGEND&amp;DATA'!$F$20:$AE$90,26,FALSE),"")</f>
        <v>0.83</v>
      </c>
      <c r="N50" s="9"/>
    </row>
    <row r="51" spans="1:14" ht="16" customHeight="1" x14ac:dyDescent="0.35">
      <c r="A51" s="423">
        <v>31</v>
      </c>
      <c r="B51" s="455" t="str">
        <f>IF($A51&gt;KEY!$B$2,"",IFERROR(VLOOKUP($A51,'LEGEND&amp;DATA'!$E$20:$F$90,2,FALSE),""))</f>
        <v>MINI North Scottsdale</v>
      </c>
      <c r="C51" s="456">
        <f>IFERROR(VLOOKUP($B51,'LEGEND&amp;DATA'!$F$20:$AB$90,2,FALSE),"")</f>
        <v>1.4516129032258065</v>
      </c>
      <c r="D51" s="457">
        <f>IFERROR(VLOOKUP($B51,'LEGEND&amp;DATA'!$F$20:$AB$90,4,FALSE),"")</f>
        <v>11.25</v>
      </c>
      <c r="E51" s="458">
        <f>IFERROR(VLOOKUP($B51,'LEGEND&amp;DATA'!$F$20:$AB$90,8,FALSE),"")</f>
        <v>1.75</v>
      </c>
      <c r="F51" s="459">
        <f>IFERROR(VLOOKUP($B51,'LEGEND&amp;DATA'!$F$20:$AB$90,10,FALSE),"")</f>
        <v>1</v>
      </c>
      <c r="G51" s="460">
        <f>IFERROR(VLOOKUP($B51,'LEGEND&amp;DATA'!$F$20:$AB$90,12,FALSE),"")</f>
        <v>0.13793103448275862</v>
      </c>
      <c r="H51" s="461">
        <f>IFERROR(VLOOKUP($B51,'LEGEND&amp;DATA'!$F$20:$AB$90,14,FALSE),"")</f>
        <v>0.13636363636363635</v>
      </c>
      <c r="I51" s="462">
        <f>IFERROR(VLOOKUP($B51,'LEGEND&amp;DATA'!$F$20:$AB$90,16,FALSE),"")</f>
        <v>0.5</v>
      </c>
      <c r="J51" s="459" t="str">
        <f>IFERROR(VLOOKUP($B51,'LEGEND&amp;DATA'!$F$20:$AB$90,18,FALSE),"")</f>
        <v>-</v>
      </c>
      <c r="K51" s="461">
        <f>IFERROR(VLOOKUP($B51,'LEGEND&amp;DATA'!$F$20:$AB$90,20,FALSE),"")</f>
        <v>0.97727272727272729</v>
      </c>
      <c r="L51" s="462">
        <f>IFERROR(VLOOKUP($B51,'LEGEND&amp;DATA'!$F$20:$AB$90,22,FALSE),"")</f>
        <v>0.73913043478260865</v>
      </c>
      <c r="M51" s="463">
        <f>IFERROR(VLOOKUP($B51,'LEGEND&amp;DATA'!$F$20:$AE$90,26,FALSE),"")</f>
        <v>0.83</v>
      </c>
      <c r="N51" s="9"/>
    </row>
    <row r="52" spans="1:14" ht="16" customHeight="1" x14ac:dyDescent="0.35">
      <c r="A52" s="423">
        <v>32</v>
      </c>
      <c r="B52" s="455" t="str">
        <f>IF($A52&gt;KEY!$B$2,"",IFERROR(VLOOKUP($A52,'LEGEND&amp;DATA'!$E$20:$F$90,2,FALSE),""))</f>
        <v>Motorwerks MINI</v>
      </c>
      <c r="C52" s="456">
        <f>IFERROR(VLOOKUP($B52,'LEGEND&amp;DATA'!$F$20:$AB$90,2,FALSE),"")</f>
        <v>1.3541666666666667</v>
      </c>
      <c r="D52" s="457">
        <f>IFERROR(VLOOKUP($B52,'LEGEND&amp;DATA'!$F$20:$AB$90,4,FALSE),"")</f>
        <v>5.6470588235294112</v>
      </c>
      <c r="E52" s="458">
        <f>IFERROR(VLOOKUP($B52,'LEGEND&amp;DATA'!$F$20:$AB$90,8,FALSE),"")</f>
        <v>2.2000000000000002</v>
      </c>
      <c r="F52" s="459">
        <f>IFERROR(VLOOKUP($B52,'LEGEND&amp;DATA'!$F$20:$AB$90,10,FALSE),"")</f>
        <v>0.875</v>
      </c>
      <c r="G52" s="460">
        <f>IFERROR(VLOOKUP($B52,'LEGEND&amp;DATA'!$F$20:$AB$90,12,FALSE),"")</f>
        <v>0.17886178861788618</v>
      </c>
      <c r="H52" s="461">
        <f>IFERROR(VLOOKUP($B52,'LEGEND&amp;DATA'!$F$20:$AB$90,14,FALSE),"")</f>
        <v>0.2857142857142857</v>
      </c>
      <c r="I52" s="462">
        <f>IFERROR(VLOOKUP($B52,'LEGEND&amp;DATA'!$F$20:$AB$90,16,FALSE),"")</f>
        <v>0</v>
      </c>
      <c r="J52" s="459" t="str">
        <f>IFERROR(VLOOKUP($B52,'LEGEND&amp;DATA'!$F$20:$AB$90,18,FALSE),"")</f>
        <v>-</v>
      </c>
      <c r="K52" s="461">
        <f>IFERROR(VLOOKUP($B52,'LEGEND&amp;DATA'!$F$20:$AB$90,20,FALSE),"")</f>
        <v>0.81818181818181823</v>
      </c>
      <c r="L52" s="462">
        <f>IFERROR(VLOOKUP($B52,'LEGEND&amp;DATA'!$F$20:$AB$90,22,FALSE),"")</f>
        <v>0.59701492537313428</v>
      </c>
      <c r="M52" s="463">
        <f>IFERROR(VLOOKUP($B52,'LEGEND&amp;DATA'!$F$20:$AE$90,26,FALSE),"")</f>
        <v>0.83</v>
      </c>
      <c r="N52" s="9"/>
    </row>
    <row r="53" spans="1:14" ht="16" customHeight="1" x14ac:dyDescent="0.35">
      <c r="A53" s="423">
        <v>33</v>
      </c>
      <c r="B53" s="455" t="str">
        <f>IF($A53&gt;KEY!$B$2,"",IFERROR(VLOOKUP($A53,'LEGEND&amp;DATA'!$E$20:$F$90,2,FALSE),""))</f>
        <v>Tempe Honda</v>
      </c>
      <c r="C53" s="456">
        <f>IFERROR(VLOOKUP($B53,'LEGEND&amp;DATA'!$F$20:$AB$90,2,FALSE),"")</f>
        <v>0.8883248730964467</v>
      </c>
      <c r="D53" s="457">
        <f>IFERROR(VLOOKUP($B53,'LEGEND&amp;DATA'!$F$20:$AB$90,4,FALSE),"")</f>
        <v>0.890625</v>
      </c>
      <c r="E53" s="458">
        <f>IFERROR(VLOOKUP($B53,'LEGEND&amp;DATA'!$F$20:$AB$90,8,FALSE),"")</f>
        <v>2.3199999999999998</v>
      </c>
      <c r="F53" s="459">
        <f>IFERROR(VLOOKUP($B53,'LEGEND&amp;DATA'!$F$20:$AB$90,10,FALSE),"")</f>
        <v>1</v>
      </c>
      <c r="G53" s="460">
        <f>IFERROR(VLOOKUP($B53,'LEGEND&amp;DATA'!$F$20:$AB$90,12,FALSE),"")</f>
        <v>0.24635036496350365</v>
      </c>
      <c r="H53" s="461">
        <f>IFERROR(VLOOKUP($B53,'LEGEND&amp;DATA'!$F$20:$AB$90,14,FALSE),"")</f>
        <v>0.20657276995305165</v>
      </c>
      <c r="I53" s="462">
        <f>IFERROR(VLOOKUP($B53,'LEGEND&amp;DATA'!$F$20:$AB$90,16,FALSE),"")</f>
        <v>0.5</v>
      </c>
      <c r="J53" s="459" t="str">
        <f>IFERROR(VLOOKUP($B53,'LEGEND&amp;DATA'!$F$20:$AB$90,18,FALSE),"")</f>
        <v>-</v>
      </c>
      <c r="K53" s="461">
        <f>IFERROR(VLOOKUP($B53,'LEGEND&amp;DATA'!$F$20:$AB$90,20,FALSE),"")</f>
        <v>0.94545454545454544</v>
      </c>
      <c r="L53" s="462">
        <f>IFERROR(VLOOKUP($B53,'LEGEND&amp;DATA'!$F$20:$AB$90,22,FALSE),"")</f>
        <v>0.6458923512747875</v>
      </c>
      <c r="M53" s="463">
        <f>IFERROR(VLOOKUP($B53,'LEGEND&amp;DATA'!$F$20:$AE$90,26,FALSE),"")</f>
        <v>0.83</v>
      </c>
      <c r="N53" s="9"/>
    </row>
    <row r="54" spans="1:14" ht="16" customHeight="1" x14ac:dyDescent="0.35">
      <c r="A54" s="423">
        <v>34</v>
      </c>
      <c r="B54" s="455" t="str">
        <f>IF($A54&gt;KEY!$B$2,"",IFERROR(VLOOKUP($A54,'LEGEND&amp;DATA'!$E$20:$F$90,2,FALSE),""))</f>
        <v>Lamborghini North Scottsdale</v>
      </c>
      <c r="C54" s="456">
        <f>IFERROR(VLOOKUP($B54,'LEGEND&amp;DATA'!$F$20:$AB$90,2,FALSE),"")</f>
        <v>1.4615384615384615</v>
      </c>
      <c r="D54" s="457">
        <f>IFERROR(VLOOKUP($B54,'LEGEND&amp;DATA'!$F$20:$AB$90,4,FALSE),"")</f>
        <v>6</v>
      </c>
      <c r="E54" s="458">
        <f>IFERROR(VLOOKUP($B54,'LEGEND&amp;DATA'!$F$20:$AB$90,8,FALSE),"")</f>
        <v>4</v>
      </c>
      <c r="F54" s="459">
        <f>IFERROR(VLOOKUP($B54,'LEGEND&amp;DATA'!$F$20:$AB$90,10,FALSE),"")</f>
        <v>0.625</v>
      </c>
      <c r="G54" s="460">
        <f>IFERROR(VLOOKUP($B54,'LEGEND&amp;DATA'!$F$20:$AB$90,12,FALSE),"")</f>
        <v>0.23076923076923078</v>
      </c>
      <c r="H54" s="461">
        <f>IFERROR(VLOOKUP($B54,'LEGEND&amp;DATA'!$F$20:$AB$90,14,FALSE),"")</f>
        <v>0.32142857142857145</v>
      </c>
      <c r="I54" s="462" t="str">
        <f>IFERROR(VLOOKUP($B54,'LEGEND&amp;DATA'!$F$20:$AB$90,16,FALSE),"")</f>
        <v>N/A</v>
      </c>
      <c r="J54" s="459" t="str">
        <f>IFERROR(VLOOKUP($B54,'LEGEND&amp;DATA'!$F$20:$AB$90,18,FALSE),"")</f>
        <v>-</v>
      </c>
      <c r="K54" s="461">
        <f>IFERROR(VLOOKUP($B54,'LEGEND&amp;DATA'!$F$20:$AB$90,20,FALSE),"")</f>
        <v>2.75</v>
      </c>
      <c r="L54" s="462">
        <f>IFERROR(VLOOKUP($B54,'LEGEND&amp;DATA'!$F$20:$AB$90,22,FALSE),"")</f>
        <v>0.25</v>
      </c>
      <c r="M54" s="463">
        <f>IFERROR(VLOOKUP($B54,'LEGEND&amp;DATA'!$F$20:$AE$90,26,FALSE),"")</f>
        <v>0.82954545454545459</v>
      </c>
      <c r="N54" s="9"/>
    </row>
    <row r="55" spans="1:14" ht="16" customHeight="1" x14ac:dyDescent="0.35">
      <c r="A55" s="423">
        <v>35</v>
      </c>
      <c r="B55" s="455" t="str">
        <f>IF($A55&gt;KEY!$B$2,"",IFERROR(VLOOKUP($A55,'LEGEND&amp;DATA'!$E$20:$F$90,2,FALSE),""))</f>
        <v>Audi Chandler</v>
      </c>
      <c r="C55" s="456">
        <f>IFERROR(VLOOKUP($B55,'LEGEND&amp;DATA'!$F$20:$AB$90,2,FALSE),"")</f>
        <v>0.9285714285714286</v>
      </c>
      <c r="D55" s="457">
        <f>IFERROR(VLOOKUP($B55,'LEGEND&amp;DATA'!$F$20:$AB$90,4,FALSE),"")</f>
        <v>2.8333333333333335</v>
      </c>
      <c r="E55" s="458">
        <f>IFERROR(VLOOKUP($B55,'LEGEND&amp;DATA'!$F$20:$AB$90,8,FALSE),"")</f>
        <v>1.3333333333333333</v>
      </c>
      <c r="F55" s="459">
        <f>IFERROR(VLOOKUP($B55,'LEGEND&amp;DATA'!$F$20:$AB$90,10,FALSE),"")</f>
        <v>0.625</v>
      </c>
      <c r="G55" s="460">
        <f>IFERROR(VLOOKUP($B55,'LEGEND&amp;DATA'!$F$20:$AB$90,12,FALSE),"")</f>
        <v>0.15107913669064749</v>
      </c>
      <c r="H55" s="461">
        <f>IFERROR(VLOOKUP($B55,'LEGEND&amp;DATA'!$F$20:$AB$90,14,FALSE),"")</f>
        <v>0.29545454545454547</v>
      </c>
      <c r="I55" s="462">
        <f>IFERROR(VLOOKUP($B55,'LEGEND&amp;DATA'!$F$20:$AB$90,16,FALSE),"")</f>
        <v>0.5714285714285714</v>
      </c>
      <c r="J55" s="459" t="str">
        <f>IFERROR(VLOOKUP($B55,'LEGEND&amp;DATA'!$F$20:$AB$90,18,FALSE),"")</f>
        <v>-</v>
      </c>
      <c r="K55" s="461">
        <f>IFERROR(VLOOKUP($B55,'LEGEND&amp;DATA'!$F$20:$AB$90,20,FALSE),"")</f>
        <v>1.1742424242424243</v>
      </c>
      <c r="L55" s="462">
        <f>IFERROR(VLOOKUP($B55,'LEGEND&amp;DATA'!$F$20:$AB$90,22,FALSE),"")</f>
        <v>0.98750000000000004</v>
      </c>
      <c r="M55" s="463">
        <f>IFERROR(VLOOKUP($B55,'LEGEND&amp;DATA'!$F$20:$AE$90,26,FALSE),"")</f>
        <v>0.82</v>
      </c>
      <c r="N55" s="9"/>
    </row>
    <row r="56" spans="1:14" ht="16" customHeight="1" x14ac:dyDescent="0.35">
      <c r="A56" s="423">
        <v>36</v>
      </c>
      <c r="B56" s="455" t="str">
        <f>IF($A56&gt;KEY!$B$2,"",IFERROR(VLOOKUP($A56,'LEGEND&amp;DATA'!$E$20:$F$90,2,FALSE),""))</f>
        <v>Kearny Mesa Toyota</v>
      </c>
      <c r="C56" s="456">
        <f>IFERROR(VLOOKUP($B56,'LEGEND&amp;DATA'!$F$20:$AB$90,2,FALSE),"")</f>
        <v>0.89669421487603307</v>
      </c>
      <c r="D56" s="457">
        <f>IFERROR(VLOOKUP($B56,'LEGEND&amp;DATA'!$F$20:$AB$90,4,FALSE),"")</f>
        <v>6.5217391304347824E-2</v>
      </c>
      <c r="E56" s="458">
        <f>IFERROR(VLOOKUP($B56,'LEGEND&amp;DATA'!$F$20:$AB$90,8,FALSE),"")</f>
        <v>1.736842105263158</v>
      </c>
      <c r="F56" s="459">
        <f>IFERROR(VLOOKUP($B56,'LEGEND&amp;DATA'!$F$20:$AB$90,10,FALSE),"")</f>
        <v>1</v>
      </c>
      <c r="G56" s="460">
        <f>IFERROR(VLOOKUP($B56,'LEGEND&amp;DATA'!$F$20:$AB$90,12,FALSE),"")</f>
        <v>0.13818181818181818</v>
      </c>
      <c r="H56" s="461">
        <f>IFERROR(VLOOKUP($B56,'LEGEND&amp;DATA'!$F$20:$AB$90,14,FALSE),"")</f>
        <v>0.24398625429553264</v>
      </c>
      <c r="I56" s="462">
        <f>IFERROR(VLOOKUP($B56,'LEGEND&amp;DATA'!$F$20:$AB$90,16,FALSE),"")</f>
        <v>0.7</v>
      </c>
      <c r="J56" s="459" t="str">
        <f>IFERROR(VLOOKUP($B56,'LEGEND&amp;DATA'!$F$20:$AB$90,18,FALSE),"")</f>
        <v>-</v>
      </c>
      <c r="K56" s="461">
        <f>IFERROR(VLOOKUP($B56,'LEGEND&amp;DATA'!$F$20:$AB$90,20,FALSE),"")</f>
        <v>1.1937799043062201</v>
      </c>
      <c r="L56" s="462">
        <f>IFERROR(VLOOKUP($B56,'LEGEND&amp;DATA'!$F$20:$AB$90,22,FALSE),"")</f>
        <v>0.53917050691244239</v>
      </c>
      <c r="M56" s="463">
        <f>IFERROR(VLOOKUP($B56,'LEGEND&amp;DATA'!$F$20:$AE$90,26,FALSE),"")</f>
        <v>0.82</v>
      </c>
      <c r="N56" s="9"/>
    </row>
    <row r="57" spans="1:14" ht="16" customHeight="1" x14ac:dyDescent="0.35">
      <c r="A57" s="423">
        <v>37</v>
      </c>
      <c r="B57" s="455" t="str">
        <f>IF($A57&gt;KEY!$B$2,"",IFERROR(VLOOKUP($A57,'LEGEND&amp;DATA'!$E$20:$F$90,2,FALSE),""))</f>
        <v>Lexus of Austin</v>
      </c>
      <c r="C57" s="456">
        <f>IFERROR(VLOOKUP($B57,'LEGEND&amp;DATA'!$F$20:$AB$90,2,FALSE),"")</f>
        <v>0.95911949685534592</v>
      </c>
      <c r="D57" s="457">
        <f>IFERROR(VLOOKUP($B57,'LEGEND&amp;DATA'!$F$20:$AB$90,4,FALSE),"")</f>
        <v>0.6875</v>
      </c>
      <c r="E57" s="458">
        <f>IFERROR(VLOOKUP($B57,'LEGEND&amp;DATA'!$F$20:$AB$90,8,FALSE),"")</f>
        <v>2.3125</v>
      </c>
      <c r="F57" s="459">
        <f>IFERROR(VLOOKUP($B57,'LEGEND&amp;DATA'!$F$20:$AB$90,10,FALSE),"")</f>
        <v>0.875</v>
      </c>
      <c r="G57" s="460">
        <f>IFERROR(VLOOKUP($B57,'LEGEND&amp;DATA'!$F$20:$AB$90,12,FALSE),"")</f>
        <v>0.14236706689536879</v>
      </c>
      <c r="H57" s="461">
        <f>IFERROR(VLOOKUP($B57,'LEGEND&amp;DATA'!$F$20:$AB$90,14,FALSE),"")</f>
        <v>0.12672176308539945</v>
      </c>
      <c r="I57" s="462">
        <f>IFERROR(VLOOKUP($B57,'LEGEND&amp;DATA'!$F$20:$AB$90,16,FALSE),"")</f>
        <v>0.7857142857142857</v>
      </c>
      <c r="J57" s="459" t="str">
        <f>IFERROR(VLOOKUP($B57,'LEGEND&amp;DATA'!$F$20:$AB$90,18,FALSE),"")</f>
        <v>-</v>
      </c>
      <c r="K57" s="461">
        <f>IFERROR(VLOOKUP($B57,'LEGEND&amp;DATA'!$F$20:$AB$90,20,FALSE),"")</f>
        <v>1.4744318181818181</v>
      </c>
      <c r="L57" s="462">
        <f>IFERROR(VLOOKUP($B57,'LEGEND&amp;DATA'!$F$20:$AB$90,22,FALSE),"")</f>
        <v>0.6485623003194888</v>
      </c>
      <c r="M57" s="463">
        <f>IFERROR(VLOOKUP($B57,'LEGEND&amp;DATA'!$F$20:$AE$90,26,FALSE),"")</f>
        <v>0.82</v>
      </c>
      <c r="N57" s="9"/>
    </row>
    <row r="58" spans="1:14" ht="16" customHeight="1" x14ac:dyDescent="0.35">
      <c r="A58" s="423">
        <v>38</v>
      </c>
      <c r="B58" s="455" t="str">
        <f>IF($A58&gt;KEY!$B$2,"",IFERROR(VLOOKUP($A58,'LEGEND&amp;DATA'!$E$20:$F$90,2,FALSE),""))</f>
        <v>Land Rover Chandler</v>
      </c>
      <c r="C58" s="456">
        <f>IFERROR(VLOOKUP($B58,'LEGEND&amp;DATA'!$F$20:$AB$90,2,FALSE),"")</f>
        <v>0.55555555555555558</v>
      </c>
      <c r="D58" s="457">
        <f>IFERROR(VLOOKUP($B58,'LEGEND&amp;DATA'!$F$20:$AB$90,4,FALSE),"")</f>
        <v>1.5</v>
      </c>
      <c r="E58" s="458">
        <f>IFERROR(VLOOKUP($B58,'LEGEND&amp;DATA'!$F$20:$AB$90,8,FALSE),"")</f>
        <v>2.6</v>
      </c>
      <c r="F58" s="459">
        <f>IFERROR(VLOOKUP($B58,'LEGEND&amp;DATA'!$F$20:$AB$90,10,FALSE),"")</f>
        <v>1</v>
      </c>
      <c r="G58" s="460">
        <f>IFERROR(VLOOKUP($B58,'LEGEND&amp;DATA'!$F$20:$AB$90,12,FALSE),"")</f>
        <v>0.14473684210526316</v>
      </c>
      <c r="H58" s="461">
        <f>IFERROR(VLOOKUP($B58,'LEGEND&amp;DATA'!$F$20:$AB$90,14,FALSE),"")</f>
        <v>0.19565217391304349</v>
      </c>
      <c r="I58" s="462">
        <f>IFERROR(VLOOKUP($B58,'LEGEND&amp;DATA'!$F$20:$AB$90,16,FALSE),"")</f>
        <v>1</v>
      </c>
      <c r="J58" s="459" t="str">
        <f>IFERROR(VLOOKUP($B58,'LEGEND&amp;DATA'!$F$20:$AB$90,18,FALSE),"")</f>
        <v>-</v>
      </c>
      <c r="K58" s="461">
        <f>IFERROR(VLOOKUP($B58,'LEGEND&amp;DATA'!$F$20:$AB$90,20,FALSE),"")</f>
        <v>0.76363636363636367</v>
      </c>
      <c r="L58" s="462">
        <f>IFERROR(VLOOKUP($B58,'LEGEND&amp;DATA'!$F$20:$AB$90,22,FALSE),"")</f>
        <v>0.91666666666666663</v>
      </c>
      <c r="M58" s="463">
        <f>IFERROR(VLOOKUP($B58,'LEGEND&amp;DATA'!$F$20:$AE$90,26,FALSE),"")</f>
        <v>0.8</v>
      </c>
      <c r="N58" s="9"/>
    </row>
    <row r="59" spans="1:14" ht="16" customHeight="1" x14ac:dyDescent="0.35">
      <c r="A59" s="423">
        <v>39</v>
      </c>
      <c r="B59" s="455" t="str">
        <f>IF($A59&gt;KEY!$B$2,"",IFERROR(VLOOKUP($A59,'LEGEND&amp;DATA'!$E$20:$F$90,2,FALSE),""))</f>
        <v>Land Rover North Scottsdale</v>
      </c>
      <c r="C59" s="456">
        <f>IFERROR(VLOOKUP($B59,'LEGEND&amp;DATA'!$F$20:$AB$90,2,FALSE),"")</f>
        <v>0.69343065693430661</v>
      </c>
      <c r="D59" s="457">
        <f>IFERROR(VLOOKUP($B59,'LEGEND&amp;DATA'!$F$20:$AB$90,4,FALSE),"")</f>
        <v>1.588235294117647</v>
      </c>
      <c r="E59" s="458">
        <f>IFERROR(VLOOKUP($B59,'LEGEND&amp;DATA'!$F$20:$AB$90,8,FALSE),"")</f>
        <v>1.7777777777777777</v>
      </c>
      <c r="F59" s="459">
        <f>IFERROR(VLOOKUP($B59,'LEGEND&amp;DATA'!$F$20:$AB$90,10,FALSE),"")</f>
        <v>0.625</v>
      </c>
      <c r="G59" s="460">
        <f>IFERROR(VLOOKUP($B59,'LEGEND&amp;DATA'!$F$20:$AB$90,12,FALSE),"")</f>
        <v>0.13513513513513514</v>
      </c>
      <c r="H59" s="461">
        <f>IFERROR(VLOOKUP($B59,'LEGEND&amp;DATA'!$F$20:$AB$90,14,FALSE),"")</f>
        <v>0.2087912087912088</v>
      </c>
      <c r="I59" s="462">
        <f>IFERROR(VLOOKUP($B59,'LEGEND&amp;DATA'!$F$20:$AB$90,16,FALSE),"")</f>
        <v>0.75</v>
      </c>
      <c r="J59" s="459" t="str">
        <f>IFERROR(VLOOKUP($B59,'LEGEND&amp;DATA'!$F$20:$AB$90,18,FALSE),"")</f>
        <v>-</v>
      </c>
      <c r="K59" s="461">
        <f>IFERROR(VLOOKUP($B59,'LEGEND&amp;DATA'!$F$20:$AB$90,20,FALSE),"")</f>
        <v>1.0353535353535352</v>
      </c>
      <c r="L59" s="462">
        <f>IFERROR(VLOOKUP($B59,'LEGEND&amp;DATA'!$F$20:$AB$90,22,FALSE),"")</f>
        <v>0.76288659793814428</v>
      </c>
      <c r="M59" s="463">
        <f>IFERROR(VLOOKUP($B59,'LEGEND&amp;DATA'!$F$20:$AE$90,26,FALSE),"")</f>
        <v>0.8</v>
      </c>
      <c r="N59" s="9"/>
    </row>
    <row r="60" spans="1:14" ht="16" customHeight="1" x14ac:dyDescent="0.35">
      <c r="A60" s="423">
        <v>40</v>
      </c>
      <c r="B60" s="455" t="str">
        <f>IF($A60&gt;KEY!$B$2,"",IFERROR(VLOOKUP($A60,'LEGEND&amp;DATA'!$E$20:$F$90,2,FALSE),""))</f>
        <v>Audi South Coast</v>
      </c>
      <c r="C60" s="456">
        <f>IFERROR(VLOOKUP($B60,'LEGEND&amp;DATA'!$F$20:$AB$90,2,FALSE),"")</f>
        <v>0.7927927927927928</v>
      </c>
      <c r="D60" s="457">
        <f>IFERROR(VLOOKUP($B60,'LEGEND&amp;DATA'!$F$20:$AB$90,4,FALSE),"")</f>
        <v>3.1578947368421053</v>
      </c>
      <c r="E60" s="458">
        <f>IFERROR(VLOOKUP($B60,'LEGEND&amp;DATA'!$F$20:$AB$90,8,FALSE),"")</f>
        <v>2.6666666666666665</v>
      </c>
      <c r="F60" s="459">
        <f>IFERROR(VLOOKUP($B60,'LEGEND&amp;DATA'!$F$20:$AB$90,10,FALSE),"")</f>
        <v>0.75</v>
      </c>
      <c r="G60" s="460">
        <f>IFERROR(VLOOKUP($B60,'LEGEND&amp;DATA'!$F$20:$AB$90,12,FALSE),"")</f>
        <v>0.16923076923076924</v>
      </c>
      <c r="H60" s="461">
        <f>IFERROR(VLOOKUP($B60,'LEGEND&amp;DATA'!$F$20:$AB$90,14,FALSE),"")</f>
        <v>0.26666666666666666</v>
      </c>
      <c r="I60" s="462">
        <f>IFERROR(VLOOKUP($B60,'LEGEND&amp;DATA'!$F$20:$AB$90,16,FALSE),"")</f>
        <v>0.50980392156862742</v>
      </c>
      <c r="J60" s="459" t="str">
        <f>IFERROR(VLOOKUP($B60,'LEGEND&amp;DATA'!$F$20:$AB$90,18,FALSE),"")</f>
        <v>-</v>
      </c>
      <c r="K60" s="461">
        <f>IFERROR(VLOOKUP($B60,'LEGEND&amp;DATA'!$F$20:$AB$90,20,FALSE),"")</f>
        <v>0.99242424242424243</v>
      </c>
      <c r="L60" s="462">
        <f>IFERROR(VLOOKUP($B60,'LEGEND&amp;DATA'!$F$20:$AB$90,22,FALSE),"")</f>
        <v>0.78409090909090906</v>
      </c>
      <c r="M60" s="463">
        <f>IFERROR(VLOOKUP($B60,'LEGEND&amp;DATA'!$F$20:$AE$90,26,FALSE),"")</f>
        <v>0.78</v>
      </c>
      <c r="N60" s="9"/>
    </row>
    <row r="61" spans="1:14" ht="16" customHeight="1" x14ac:dyDescent="0.35">
      <c r="A61" s="423">
        <v>41</v>
      </c>
      <c r="B61" s="455" t="str">
        <f>IF($A61&gt;KEY!$B$2,"",IFERROR(VLOOKUP($A61,'LEGEND&amp;DATA'!$E$20:$F$90,2,FALSE),""))</f>
        <v>Round Rock Toyota</v>
      </c>
      <c r="C61" s="456">
        <f>IFERROR(VLOOKUP($B61,'LEGEND&amp;DATA'!$F$20:$AB$90,2,FALSE),"")</f>
        <v>1.3346613545816732</v>
      </c>
      <c r="D61" s="457">
        <f>IFERROR(VLOOKUP($B61,'LEGEND&amp;DATA'!$F$20:$AB$90,4,FALSE),"")</f>
        <v>0.83333333333333337</v>
      </c>
      <c r="E61" s="458">
        <f>IFERROR(VLOOKUP($B61,'LEGEND&amp;DATA'!$F$20:$AB$90,8,FALSE),"")</f>
        <v>1.5238095238095237</v>
      </c>
      <c r="F61" s="459">
        <f>IFERROR(VLOOKUP($B61,'LEGEND&amp;DATA'!$F$20:$AB$90,10,FALSE),"")</f>
        <v>0.75</v>
      </c>
      <c r="G61" s="460">
        <f>IFERROR(VLOOKUP($B61,'LEGEND&amp;DATA'!$F$20:$AB$90,12,FALSE),"")</f>
        <v>0.1028999064546305</v>
      </c>
      <c r="H61" s="461">
        <f>IFERROR(VLOOKUP($B61,'LEGEND&amp;DATA'!$F$20:$AB$90,14,FALSE),"")</f>
        <v>0.14789915966386555</v>
      </c>
      <c r="I61" s="462">
        <f>IFERROR(VLOOKUP($B61,'LEGEND&amp;DATA'!$F$20:$AB$90,16,FALSE),"")</f>
        <v>1</v>
      </c>
      <c r="J61" s="459" t="str">
        <f>IFERROR(VLOOKUP($B61,'LEGEND&amp;DATA'!$F$20:$AB$90,18,FALSE),"")</f>
        <v>-</v>
      </c>
      <c r="K61" s="461">
        <f>IFERROR(VLOOKUP($B61,'LEGEND&amp;DATA'!$F$20:$AB$90,20,FALSE),"")</f>
        <v>1.2283549783549783</v>
      </c>
      <c r="L61" s="462">
        <f>IFERROR(VLOOKUP($B61,'LEGEND&amp;DATA'!$F$20:$AB$90,22,FALSE),"")</f>
        <v>0.43235294117647061</v>
      </c>
      <c r="M61" s="463">
        <f>IFERROR(VLOOKUP($B61,'LEGEND&amp;DATA'!$F$20:$AE$90,26,FALSE),"")</f>
        <v>0.78</v>
      </c>
      <c r="N61" s="9"/>
    </row>
    <row r="62" spans="1:14" ht="16" customHeight="1" x14ac:dyDescent="0.35">
      <c r="A62" s="423">
        <v>42</v>
      </c>
      <c r="B62" s="455" t="str">
        <f>IF($A62&gt;KEY!$B$2,"",IFERROR(VLOOKUP($A62,'LEGEND&amp;DATA'!$E$20:$F$90,2,FALSE),""))</f>
        <v>BMW of Austin</v>
      </c>
      <c r="C62" s="456">
        <f>IFERROR(VLOOKUP($B62,'LEGEND&amp;DATA'!$F$20:$AB$90,2,FALSE),"")</f>
        <v>0.92835820895522392</v>
      </c>
      <c r="D62" s="457">
        <f>IFERROR(VLOOKUP($B62,'LEGEND&amp;DATA'!$F$20:$AB$90,4,FALSE),"")</f>
        <v>0.86956521739130432</v>
      </c>
      <c r="E62" s="458">
        <f>IFERROR(VLOOKUP($B62,'LEGEND&amp;DATA'!$F$20:$AB$90,8,FALSE),"")</f>
        <v>1.375</v>
      </c>
      <c r="F62" s="459">
        <f>IFERROR(VLOOKUP($B62,'LEGEND&amp;DATA'!$F$20:$AB$90,10,FALSE),"")</f>
        <v>0.875</v>
      </c>
      <c r="G62" s="460">
        <f>IFERROR(VLOOKUP($B62,'LEGEND&amp;DATA'!$F$20:$AB$90,12,FALSE),"")</f>
        <v>0.17721518987341772</v>
      </c>
      <c r="H62" s="461">
        <f>IFERROR(VLOOKUP($B62,'LEGEND&amp;DATA'!$F$20:$AB$90,14,FALSE),"")</f>
        <v>0.14963503649635038</v>
      </c>
      <c r="I62" s="462">
        <f>IFERROR(VLOOKUP($B62,'LEGEND&amp;DATA'!$F$20:$AB$90,16,FALSE),"")</f>
        <v>0.8</v>
      </c>
      <c r="J62" s="459" t="str">
        <f>IFERROR(VLOOKUP($B62,'LEGEND&amp;DATA'!$F$20:$AB$90,18,FALSE),"")</f>
        <v>-</v>
      </c>
      <c r="K62" s="461">
        <f>IFERROR(VLOOKUP($B62,'LEGEND&amp;DATA'!$F$20:$AB$90,20,FALSE),"")</f>
        <v>0.83901515151515149</v>
      </c>
      <c r="L62" s="462">
        <f>IFERROR(VLOOKUP($B62,'LEGEND&amp;DATA'!$F$20:$AB$90,22,FALSE),"")</f>
        <v>0.50961538461538458</v>
      </c>
      <c r="M62" s="463">
        <f>IFERROR(VLOOKUP($B62,'LEGEND&amp;DATA'!$F$20:$AE$90,26,FALSE),"")</f>
        <v>0.77</v>
      </c>
      <c r="N62" s="9"/>
    </row>
    <row r="63" spans="1:14" ht="16" customHeight="1" x14ac:dyDescent="0.35">
      <c r="A63" s="423">
        <v>43</v>
      </c>
      <c r="B63" s="455" t="str">
        <f>IF($A63&gt;KEY!$B$2,"",IFERROR(VLOOKUP($A63,'LEGEND&amp;DATA'!$E$20:$F$90,2,FALSE),""))</f>
        <v>East Madison Toyota</v>
      </c>
      <c r="C63" s="456">
        <f>IFERROR(VLOOKUP($B63,'LEGEND&amp;DATA'!$F$20:$AB$90,2,FALSE),"")</f>
        <v>1.1111111111111112</v>
      </c>
      <c r="D63" s="457">
        <f>IFERROR(VLOOKUP($B63,'LEGEND&amp;DATA'!$F$20:$AB$90,4,FALSE),"")</f>
        <v>2.3571428571428572</v>
      </c>
      <c r="E63" s="458">
        <f>IFERROR(VLOOKUP($B63,'LEGEND&amp;DATA'!$F$20:$AB$90,8,FALSE),"")</f>
        <v>1.1333333333333333</v>
      </c>
      <c r="F63" s="459">
        <f>IFERROR(VLOOKUP($B63,'LEGEND&amp;DATA'!$F$20:$AB$90,10,FALSE),"")</f>
        <v>0.875</v>
      </c>
      <c r="G63" s="460">
        <f>IFERROR(VLOOKUP($B63,'LEGEND&amp;DATA'!$F$20:$AB$90,12,FALSE),"")</f>
        <v>0.21612903225806451</v>
      </c>
      <c r="H63" s="461">
        <f>IFERROR(VLOOKUP($B63,'LEGEND&amp;DATA'!$F$20:$AB$90,14,FALSE),"")</f>
        <v>0.25388601036269431</v>
      </c>
      <c r="I63" s="462">
        <f>IFERROR(VLOOKUP($B63,'LEGEND&amp;DATA'!$F$20:$AB$90,16,FALSE),"")</f>
        <v>0.2857142857142857</v>
      </c>
      <c r="J63" s="459" t="str">
        <f>IFERROR(VLOOKUP($B63,'LEGEND&amp;DATA'!$F$20:$AB$90,18,FALSE),"")</f>
        <v>-</v>
      </c>
      <c r="K63" s="461">
        <f>IFERROR(VLOOKUP($B63,'LEGEND&amp;DATA'!$F$20:$AB$90,20,FALSE),"")</f>
        <v>0.87878787878787878</v>
      </c>
      <c r="L63" s="462">
        <f>IFERROR(VLOOKUP($B63,'LEGEND&amp;DATA'!$F$20:$AB$90,22,FALSE),"")</f>
        <v>0.47599999999999998</v>
      </c>
      <c r="M63" s="463">
        <f>IFERROR(VLOOKUP($B63,'LEGEND&amp;DATA'!$F$20:$AE$90,26,FALSE),"")</f>
        <v>0.77</v>
      </c>
      <c r="N63" s="9"/>
    </row>
    <row r="64" spans="1:14" ht="16" customHeight="1" x14ac:dyDescent="0.35">
      <c r="A64" s="423">
        <v>44</v>
      </c>
      <c r="B64" s="455" t="str">
        <f>IF($A64&gt;KEY!$B$2,"",IFERROR(VLOOKUP($A64,'LEGEND&amp;DATA'!$E$20:$F$90,2,FALSE),""))</f>
        <v>BMW North Scottsdale</v>
      </c>
      <c r="C64" s="456">
        <f>IFERROR(VLOOKUP($B64,'LEGEND&amp;DATA'!$F$20:$AB$90,2,FALSE),"")</f>
        <v>0.93006993006993011</v>
      </c>
      <c r="D64" s="457">
        <f>IFERROR(VLOOKUP($B64,'LEGEND&amp;DATA'!$F$20:$AB$90,4,FALSE),"")</f>
        <v>0.5</v>
      </c>
      <c r="E64" s="458">
        <f>IFERROR(VLOOKUP($B64,'LEGEND&amp;DATA'!$F$20:$AB$90,8,FALSE),"")</f>
        <v>2.8928571428571428</v>
      </c>
      <c r="F64" s="459">
        <f>IFERROR(VLOOKUP($B64,'LEGEND&amp;DATA'!$F$20:$AB$90,10,FALSE),"")</f>
        <v>0.625</v>
      </c>
      <c r="G64" s="460">
        <f>IFERROR(VLOOKUP($B64,'LEGEND&amp;DATA'!$F$20:$AB$90,12,FALSE),"")</f>
        <v>0.15745393634840871</v>
      </c>
      <c r="H64" s="461">
        <f>IFERROR(VLOOKUP($B64,'LEGEND&amp;DATA'!$F$20:$AB$90,14,FALSE),"")</f>
        <v>0.15857605177993528</v>
      </c>
      <c r="I64" s="462">
        <f>IFERROR(VLOOKUP($B64,'LEGEND&amp;DATA'!$F$20:$AB$90,16,FALSE),"")</f>
        <v>0.77358490566037741</v>
      </c>
      <c r="J64" s="459" t="str">
        <f>IFERROR(VLOOKUP($B64,'LEGEND&amp;DATA'!$F$20:$AB$90,18,FALSE),"")</f>
        <v>-</v>
      </c>
      <c r="K64" s="461">
        <f>IFERROR(VLOOKUP($B64,'LEGEND&amp;DATA'!$F$20:$AB$90,20,FALSE),"")</f>
        <v>0.93831168831168832</v>
      </c>
      <c r="L64" s="462">
        <f>IFERROR(VLOOKUP($B64,'LEGEND&amp;DATA'!$F$20:$AB$90,22,FALSE),"")</f>
        <v>0.60847880299251866</v>
      </c>
      <c r="M64" s="463">
        <f>IFERROR(VLOOKUP($B64,'LEGEND&amp;DATA'!$F$20:$AE$90,26,FALSE),"")</f>
        <v>0.75</v>
      </c>
      <c r="N64" s="9"/>
    </row>
    <row r="65" spans="1:14" ht="16" customHeight="1" x14ac:dyDescent="0.35">
      <c r="A65" s="423">
        <v>45</v>
      </c>
      <c r="B65" s="455" t="str">
        <f>IF($A65&gt;KEY!$B$2,"",IFERROR(VLOOKUP($A65,'LEGEND&amp;DATA'!$E$20:$F$90,2,FALSE),""))</f>
        <v>Round Rock Honda</v>
      </c>
      <c r="C65" s="456">
        <f>IFERROR(VLOOKUP($B65,'LEGEND&amp;DATA'!$F$20:$AB$90,2,FALSE),"")</f>
        <v>0.7372654155495979</v>
      </c>
      <c r="D65" s="457">
        <f>IFERROR(VLOOKUP($B65,'LEGEND&amp;DATA'!$F$20:$AB$90,4,FALSE),"")</f>
        <v>1.9411764705882353</v>
      </c>
      <c r="E65" s="458">
        <f>IFERROR(VLOOKUP($B65,'LEGEND&amp;DATA'!$F$20:$AB$90,8,FALSE),"")</f>
        <v>1.826086956521739</v>
      </c>
      <c r="F65" s="459">
        <f>IFERROR(VLOOKUP($B65,'LEGEND&amp;DATA'!$F$20:$AB$90,10,FALSE),"")</f>
        <v>0.75</v>
      </c>
      <c r="G65" s="460">
        <f>IFERROR(VLOOKUP($B65,'LEGEND&amp;DATA'!$F$20:$AB$90,12,FALSE),"")</f>
        <v>9.6842105263157896E-2</v>
      </c>
      <c r="H65" s="461">
        <f>IFERROR(VLOOKUP($B65,'LEGEND&amp;DATA'!$F$20:$AB$90,14,FALSE),"")</f>
        <v>0.19583333333333333</v>
      </c>
      <c r="I65" s="462">
        <f>IFERROR(VLOOKUP($B65,'LEGEND&amp;DATA'!$F$20:$AB$90,16,FALSE),"")</f>
        <v>0.70370370370370372</v>
      </c>
      <c r="J65" s="459" t="str">
        <f>IFERROR(VLOOKUP($B65,'LEGEND&amp;DATA'!$F$20:$AB$90,18,FALSE),"")</f>
        <v>-</v>
      </c>
      <c r="K65" s="461">
        <f>IFERROR(VLOOKUP($B65,'LEGEND&amp;DATA'!$F$20:$AB$90,20,FALSE),"")</f>
        <v>0.8675889328063241</v>
      </c>
      <c r="L65" s="462">
        <f>IFERROR(VLOOKUP($B65,'LEGEND&amp;DATA'!$F$20:$AB$90,22,FALSE),"")</f>
        <v>0.49820788530465948</v>
      </c>
      <c r="M65" s="463">
        <f>IFERROR(VLOOKUP($B65,'LEGEND&amp;DATA'!$F$20:$AE$90,26,FALSE),"")</f>
        <v>0.75</v>
      </c>
      <c r="N65" s="9"/>
    </row>
    <row r="66" spans="1:14" ht="16" customHeight="1" x14ac:dyDescent="0.35">
      <c r="A66" s="423">
        <v>46</v>
      </c>
      <c r="B66" s="455" t="str">
        <f>IF($A66&gt;KEY!$B$2,"",IFERROR(VLOOKUP($A66,'LEGEND&amp;DATA'!$E$20:$F$90,2,FALSE),""))</f>
        <v>MINI of Ontario</v>
      </c>
      <c r="C66" s="456" t="str">
        <f>IFERROR(VLOOKUP($B66,'LEGEND&amp;DATA'!$F$20:$AB$90,2,FALSE),"")</f>
        <v>N/A</v>
      </c>
      <c r="D66" s="457">
        <f>IFERROR(VLOOKUP($B66,'LEGEND&amp;DATA'!$F$20:$AB$90,4,FALSE),"")</f>
        <v>3</v>
      </c>
      <c r="E66" s="458">
        <f>IFERROR(VLOOKUP($B66,'LEGEND&amp;DATA'!$F$20:$AB$90,8,FALSE),"")</f>
        <v>0.66666666666666663</v>
      </c>
      <c r="F66" s="459">
        <f>IFERROR(VLOOKUP($B66,'LEGEND&amp;DATA'!$F$20:$AB$90,10,FALSE),"")</f>
        <v>0.875</v>
      </c>
      <c r="G66" s="460">
        <f>IFERROR(VLOOKUP($B66,'LEGEND&amp;DATA'!$F$20:$AB$90,12,FALSE),"")</f>
        <v>0.20930232558139536</v>
      </c>
      <c r="H66" s="461">
        <f>IFERROR(VLOOKUP($B66,'LEGEND&amp;DATA'!$F$20:$AB$90,14,FALSE),"")</f>
        <v>0.26666666666666666</v>
      </c>
      <c r="I66" s="462" t="str">
        <f>IFERROR(VLOOKUP($B66,'LEGEND&amp;DATA'!$F$20:$AB$90,16,FALSE),"")</f>
        <v>N/A</v>
      </c>
      <c r="J66" s="459" t="str">
        <f>IFERROR(VLOOKUP($B66,'LEGEND&amp;DATA'!$F$20:$AB$90,18,FALSE),"")</f>
        <v>-</v>
      </c>
      <c r="K66" s="461">
        <f>IFERROR(VLOOKUP($B66,'LEGEND&amp;DATA'!$F$20:$AB$90,20,FALSE),"")</f>
        <v>0.66666666666666663</v>
      </c>
      <c r="L66" s="462">
        <f>IFERROR(VLOOKUP($B66,'LEGEND&amp;DATA'!$F$20:$AB$90,22,FALSE),"")</f>
        <v>0.51851851851851849</v>
      </c>
      <c r="M66" s="463">
        <f>IFERROR(VLOOKUP($B66,'LEGEND&amp;DATA'!$F$20:$AE$90,26,FALSE),"")</f>
        <v>0.73684210526315785</v>
      </c>
      <c r="N66" s="9"/>
    </row>
    <row r="67" spans="1:14" ht="16" customHeight="1" x14ac:dyDescent="0.35">
      <c r="A67" s="423">
        <v>47</v>
      </c>
      <c r="B67" s="455" t="str">
        <f>IF($A67&gt;KEY!$B$2,"",IFERROR(VLOOKUP($A67,'LEGEND&amp;DATA'!$E$20:$F$90,2,FALSE),""))</f>
        <v>Acura of Escondido</v>
      </c>
      <c r="C67" s="456">
        <f>IFERROR(VLOOKUP($B67,'LEGEND&amp;DATA'!$F$20:$AB$90,2,FALSE),"")</f>
        <v>0.89090909090909087</v>
      </c>
      <c r="D67" s="457">
        <f>IFERROR(VLOOKUP($B67,'LEGEND&amp;DATA'!$F$20:$AB$90,4,FALSE),"")</f>
        <v>1.75</v>
      </c>
      <c r="E67" s="458">
        <f>IFERROR(VLOOKUP($B67,'LEGEND&amp;DATA'!$F$20:$AB$90,8,FALSE),"")</f>
        <v>1</v>
      </c>
      <c r="F67" s="459">
        <f>IFERROR(VLOOKUP($B67,'LEGEND&amp;DATA'!$F$20:$AB$90,10,FALSE),"")</f>
        <v>0.875</v>
      </c>
      <c r="G67" s="460">
        <f>IFERROR(VLOOKUP($B67,'LEGEND&amp;DATA'!$F$20:$AB$90,12,FALSE),"")</f>
        <v>0.13861386138613863</v>
      </c>
      <c r="H67" s="461">
        <f>IFERROR(VLOOKUP($B67,'LEGEND&amp;DATA'!$F$20:$AB$90,14,FALSE),"")</f>
        <v>0.27500000000000002</v>
      </c>
      <c r="I67" s="462">
        <f>IFERROR(VLOOKUP($B67,'LEGEND&amp;DATA'!$F$20:$AB$90,16,FALSE),"")</f>
        <v>0.44444444444444442</v>
      </c>
      <c r="J67" s="459" t="str">
        <f>IFERROR(VLOOKUP($B67,'LEGEND&amp;DATA'!$F$20:$AB$90,18,FALSE),"")</f>
        <v>-</v>
      </c>
      <c r="K67" s="461">
        <f>IFERROR(VLOOKUP($B67,'LEGEND&amp;DATA'!$F$20:$AB$90,20,FALSE),"")</f>
        <v>0.77272727272727271</v>
      </c>
      <c r="L67" s="462">
        <f>IFERROR(VLOOKUP($B67,'LEGEND&amp;DATA'!$F$20:$AB$90,22,FALSE),"")</f>
        <v>0.83673469387755106</v>
      </c>
      <c r="M67" s="463">
        <f>IFERROR(VLOOKUP($B67,'LEGEND&amp;DATA'!$F$20:$AE$90,26,FALSE),"")</f>
        <v>0.7</v>
      </c>
      <c r="N67" s="9"/>
    </row>
    <row r="68" spans="1:14" ht="16" customHeight="1" x14ac:dyDescent="0.35">
      <c r="A68" s="423">
        <v>48</v>
      </c>
      <c r="B68" s="455" t="str">
        <f>IF($A68&gt;KEY!$B$2,"",IFERROR(VLOOKUP($A68,'LEGEND&amp;DATA'!$E$20:$F$90,2,FALSE),""))</f>
        <v>MINI of Marin</v>
      </c>
      <c r="C68" s="456">
        <f>IFERROR(VLOOKUP($B68,'LEGEND&amp;DATA'!$F$20:$AB$90,2,FALSE),"")</f>
        <v>0.81632653061224492</v>
      </c>
      <c r="D68" s="457">
        <f>IFERROR(VLOOKUP($B68,'LEGEND&amp;DATA'!$F$20:$AB$90,4,FALSE),"")</f>
        <v>4.75</v>
      </c>
      <c r="E68" s="458">
        <f>IFERROR(VLOOKUP($B68,'LEGEND&amp;DATA'!$F$20:$AB$90,8,FALSE),"")</f>
        <v>2.5</v>
      </c>
      <c r="F68" s="459">
        <f>IFERROR(VLOOKUP($B68,'LEGEND&amp;DATA'!$F$20:$AB$90,10,FALSE),"")</f>
        <v>0.375</v>
      </c>
      <c r="G68" s="460">
        <f>IFERROR(VLOOKUP($B68,'LEGEND&amp;DATA'!$F$20:$AB$90,12,FALSE),"")</f>
        <v>0.11818181818181818</v>
      </c>
      <c r="H68" s="461">
        <f>IFERROR(VLOOKUP($B68,'LEGEND&amp;DATA'!$F$20:$AB$90,14,FALSE),"")</f>
        <v>0.11764705882352941</v>
      </c>
      <c r="I68" s="462">
        <f>IFERROR(VLOOKUP($B68,'LEGEND&amp;DATA'!$F$20:$AB$90,16,FALSE),"")</f>
        <v>0.5</v>
      </c>
      <c r="J68" s="459" t="str">
        <f>IFERROR(VLOOKUP($B68,'LEGEND&amp;DATA'!$F$20:$AB$90,18,FALSE),"")</f>
        <v>-</v>
      </c>
      <c r="K68" s="461">
        <f>IFERROR(VLOOKUP($B68,'LEGEND&amp;DATA'!$F$20:$AB$90,20,FALSE),"")</f>
        <v>0.86363636363636365</v>
      </c>
      <c r="L68" s="462">
        <f>IFERROR(VLOOKUP($B68,'LEGEND&amp;DATA'!$F$20:$AB$90,22,FALSE),"")</f>
        <v>0.77500000000000002</v>
      </c>
      <c r="M68" s="463">
        <f>IFERROR(VLOOKUP($B68,'LEGEND&amp;DATA'!$F$20:$AE$90,26,FALSE),"")</f>
        <v>0.69</v>
      </c>
      <c r="N68" s="9"/>
    </row>
    <row r="69" spans="1:14" ht="16" customHeight="1" x14ac:dyDescent="0.35">
      <c r="A69" s="423">
        <v>49</v>
      </c>
      <c r="B69" s="455" t="str">
        <f>IF($A69&gt;KEY!$B$2,"",IFERROR(VLOOKUP($A69,'LEGEND&amp;DATA'!$E$20:$F$90,2,FALSE),""))</f>
        <v>Volkswagen South Coast</v>
      </c>
      <c r="C69" s="456">
        <f>IFERROR(VLOOKUP($B69,'LEGEND&amp;DATA'!$F$20:$AB$90,2,FALSE),"")</f>
        <v>0.83544303797468356</v>
      </c>
      <c r="D69" s="457">
        <f>IFERROR(VLOOKUP($B69,'LEGEND&amp;DATA'!$F$20:$AB$90,4,FALSE),"")</f>
        <v>3</v>
      </c>
      <c r="E69" s="458">
        <f>IFERROR(VLOOKUP($B69,'LEGEND&amp;DATA'!$F$20:$AB$90,8,FALSE),"")</f>
        <v>2</v>
      </c>
      <c r="F69" s="459">
        <f>IFERROR(VLOOKUP($B69,'LEGEND&amp;DATA'!$F$20:$AB$90,10,FALSE),"")</f>
        <v>0.75</v>
      </c>
      <c r="G69" s="460">
        <f>IFERROR(VLOOKUP($B69,'LEGEND&amp;DATA'!$F$20:$AB$90,12,FALSE),"")</f>
        <v>9.3617021276595741E-2</v>
      </c>
      <c r="H69" s="461">
        <f>IFERROR(VLOOKUP($B69,'LEGEND&amp;DATA'!$F$20:$AB$90,14,FALSE),"")</f>
        <v>0.18181818181818182</v>
      </c>
      <c r="I69" s="462">
        <f>IFERROR(VLOOKUP($B69,'LEGEND&amp;DATA'!$F$20:$AB$90,16,FALSE),"")</f>
        <v>0.375</v>
      </c>
      <c r="J69" s="459" t="str">
        <f>IFERROR(VLOOKUP($B69,'LEGEND&amp;DATA'!$F$20:$AB$90,18,FALSE),"")</f>
        <v>-</v>
      </c>
      <c r="K69" s="461">
        <f>IFERROR(VLOOKUP($B69,'LEGEND&amp;DATA'!$F$20:$AB$90,20,FALSE),"")</f>
        <v>0.97272727272727277</v>
      </c>
      <c r="L69" s="462">
        <f>IFERROR(VLOOKUP($B69,'LEGEND&amp;DATA'!$F$20:$AB$90,22,FALSE),"")</f>
        <v>0.78787878787878785</v>
      </c>
      <c r="M69" s="463">
        <f>IFERROR(VLOOKUP($B69,'LEGEND&amp;DATA'!$F$20:$AE$90,26,FALSE),"")</f>
        <v>0.69</v>
      </c>
      <c r="N69" s="9"/>
    </row>
    <row r="70" spans="1:14" ht="16" customHeight="1" x14ac:dyDescent="0.35">
      <c r="A70" s="423">
        <v>50</v>
      </c>
      <c r="B70" s="455" t="str">
        <f>IF($A70&gt;KEY!$B$2,"",IFERROR(VLOOKUP($A70,'LEGEND&amp;DATA'!$E$20:$F$90,2,FALSE),""))</f>
        <v>BMW of Bloomfield Hills</v>
      </c>
      <c r="C70" s="456">
        <f>IFERROR(VLOOKUP($B70,'LEGEND&amp;DATA'!$F$20:$AB$90,2,FALSE),"")</f>
        <v>1.0192307692307692</v>
      </c>
      <c r="D70" s="457">
        <f>IFERROR(VLOOKUP($B70,'LEGEND&amp;DATA'!$F$20:$AB$90,4,FALSE),"")</f>
        <v>5.0909090909090908</v>
      </c>
      <c r="E70" s="458">
        <f>IFERROR(VLOOKUP($B70,'LEGEND&amp;DATA'!$F$20:$AB$90,8,FALSE),"")</f>
        <v>0.66666666666666663</v>
      </c>
      <c r="F70" s="459">
        <f>IFERROR(VLOOKUP($B70,'LEGEND&amp;DATA'!$F$20:$AB$90,10,FALSE),"")</f>
        <v>0.375</v>
      </c>
      <c r="G70" s="460">
        <f>IFERROR(VLOOKUP($B70,'LEGEND&amp;DATA'!$F$20:$AB$90,12,FALSE),"")</f>
        <v>0.16245487364620939</v>
      </c>
      <c r="H70" s="461">
        <f>IFERROR(VLOOKUP($B70,'LEGEND&amp;DATA'!$F$20:$AB$90,14,FALSE),"")</f>
        <v>0.15675675675675677</v>
      </c>
      <c r="I70" s="462">
        <f>IFERROR(VLOOKUP($B70,'LEGEND&amp;DATA'!$F$20:$AB$90,16,FALSE),"")</f>
        <v>0</v>
      </c>
      <c r="J70" s="459" t="str">
        <f>IFERROR(VLOOKUP($B70,'LEGEND&amp;DATA'!$F$20:$AB$90,18,FALSE),"")</f>
        <v>-</v>
      </c>
      <c r="K70" s="461">
        <f>IFERROR(VLOOKUP($B70,'LEGEND&amp;DATA'!$F$20:$AB$90,20,FALSE),"")</f>
        <v>0.90151515151515149</v>
      </c>
      <c r="L70" s="462">
        <f>IFERROR(VLOOKUP($B70,'LEGEND&amp;DATA'!$F$20:$AB$90,22,FALSE),"")</f>
        <v>0.5220125786163522</v>
      </c>
      <c r="M70" s="463">
        <f>IFERROR(VLOOKUP($B70,'LEGEND&amp;DATA'!$F$20:$AE$90,26,FALSE),"")</f>
        <v>0.68</v>
      </c>
      <c r="N70" s="9"/>
    </row>
    <row r="71" spans="1:14" ht="16" customHeight="1" x14ac:dyDescent="0.35">
      <c r="A71" s="423">
        <v>51</v>
      </c>
      <c r="B71" s="455" t="str">
        <f>IF($A71&gt;KEY!$B$2,"",IFERROR(VLOOKUP($A71,'LEGEND&amp;DATA'!$E$20:$F$90,2,FALSE),""))</f>
        <v>Honda North</v>
      </c>
      <c r="C71" s="456">
        <f>IFERROR(VLOOKUP($B71,'LEGEND&amp;DATA'!$F$20:$AB$90,2,FALSE),"")</f>
        <v>0.87027027027027026</v>
      </c>
      <c r="D71" s="457">
        <f>IFERROR(VLOOKUP($B71,'LEGEND&amp;DATA'!$F$20:$AB$90,4,FALSE),"")</f>
        <v>0</v>
      </c>
      <c r="E71" s="458">
        <f>IFERROR(VLOOKUP($B71,'LEGEND&amp;DATA'!$F$20:$AB$90,8,FALSE),"")</f>
        <v>2.5714285714285716</v>
      </c>
      <c r="F71" s="459">
        <f>IFERROR(VLOOKUP($B71,'LEGEND&amp;DATA'!$F$20:$AB$90,10,FALSE),"")</f>
        <v>0.875</v>
      </c>
      <c r="G71" s="460">
        <f>IFERROR(VLOOKUP($B71,'LEGEND&amp;DATA'!$F$20:$AB$90,12,FALSE),"")</f>
        <v>0.16949152542372881</v>
      </c>
      <c r="H71" s="461">
        <f>IFERROR(VLOOKUP($B71,'LEGEND&amp;DATA'!$F$20:$AB$90,14,FALSE),"")</f>
        <v>0.25675675675675674</v>
      </c>
      <c r="I71" s="462">
        <f>IFERROR(VLOOKUP($B71,'LEGEND&amp;DATA'!$F$20:$AB$90,16,FALSE),"")</f>
        <v>0.75</v>
      </c>
      <c r="J71" s="459" t="str">
        <f>IFERROR(VLOOKUP($B71,'LEGEND&amp;DATA'!$F$20:$AB$90,18,FALSE),"")</f>
        <v>-</v>
      </c>
      <c r="K71" s="461">
        <f>IFERROR(VLOOKUP($B71,'LEGEND&amp;DATA'!$F$20:$AB$90,20,FALSE),"")</f>
        <v>0.71103896103896103</v>
      </c>
      <c r="L71" s="462">
        <f>IFERROR(VLOOKUP($B71,'LEGEND&amp;DATA'!$F$20:$AB$90,22,FALSE),"")</f>
        <v>0.38650306748466257</v>
      </c>
      <c r="M71" s="463">
        <f>IFERROR(VLOOKUP($B71,'LEGEND&amp;DATA'!$F$20:$AE$90,26,FALSE),"")</f>
        <v>0.68</v>
      </c>
      <c r="N71" s="9"/>
    </row>
    <row r="72" spans="1:14" ht="16" customHeight="1" x14ac:dyDescent="0.35">
      <c r="A72" s="423">
        <v>52</v>
      </c>
      <c r="B72" s="455" t="str">
        <f>IF($A72&gt;KEY!$B$2,"",IFERROR(VLOOKUP($A72,'LEGEND&amp;DATA'!$E$20:$F$90,2,FALSE),""))</f>
        <v>Genesis of Round Rock</v>
      </c>
      <c r="C72" s="456">
        <f>IFERROR(VLOOKUP($B72,'LEGEND&amp;DATA'!$F$20:$AB$90,2,FALSE),"")</f>
        <v>1</v>
      </c>
      <c r="D72" s="457">
        <f>IFERROR(VLOOKUP($B72,'LEGEND&amp;DATA'!$F$20:$AB$90,4,FALSE),"")</f>
        <v>0</v>
      </c>
      <c r="E72" s="458">
        <f>IFERROR(VLOOKUP($B72,'LEGEND&amp;DATA'!$F$20:$AB$90,8,FALSE),"")</f>
        <v>0.6</v>
      </c>
      <c r="F72" s="459">
        <f>IFERROR(VLOOKUP($B72,'LEGEND&amp;DATA'!$F$20:$AB$90,10,FALSE),"")</f>
        <v>0.75</v>
      </c>
      <c r="G72" s="460">
        <f>IFERROR(VLOOKUP($B72,'LEGEND&amp;DATA'!$F$20:$AB$90,12,FALSE),"")</f>
        <v>0.11483253588516747</v>
      </c>
      <c r="H72" s="461">
        <f>IFERROR(VLOOKUP($B72,'LEGEND&amp;DATA'!$F$20:$AB$90,14,FALSE),"")</f>
        <v>0.17582417582417584</v>
      </c>
      <c r="I72" s="462" t="str">
        <f>IFERROR(VLOOKUP($B72,'LEGEND&amp;DATA'!$F$20:$AB$90,16,FALSE),"")</f>
        <v>N/A</v>
      </c>
      <c r="J72" s="459" t="str">
        <f>IFERROR(VLOOKUP($B72,'LEGEND&amp;DATA'!$F$20:$AB$90,18,FALSE),"")</f>
        <v>-</v>
      </c>
      <c r="K72" s="461">
        <f>IFERROR(VLOOKUP($B72,'LEGEND&amp;DATA'!$F$20:$AB$90,20,FALSE),"")</f>
        <v>0.9</v>
      </c>
      <c r="L72" s="462">
        <f>IFERROR(VLOOKUP($B72,'LEGEND&amp;DATA'!$F$20:$AB$90,22,FALSE),"")</f>
        <v>0.52380952380952384</v>
      </c>
      <c r="M72" s="463">
        <f>IFERROR(VLOOKUP($B72,'LEGEND&amp;DATA'!$F$20:$AE$90,26,FALSE),"")</f>
        <v>0.65909090909090906</v>
      </c>
      <c r="N72" s="9"/>
    </row>
    <row r="73" spans="1:14" ht="16" customHeight="1" x14ac:dyDescent="0.35">
      <c r="A73" s="423">
        <v>53</v>
      </c>
      <c r="B73" s="455" t="str">
        <f>IF($A73&gt;KEY!$B$2,"",IFERROR(VLOOKUP($A73,'LEGEND&amp;DATA'!$E$20:$F$90,2,FALSE),""))</f>
        <v>Audi San Jose</v>
      </c>
      <c r="C73" s="456">
        <f>IFERROR(VLOOKUP($B73,'LEGEND&amp;DATA'!$F$20:$AB$90,2,FALSE),"")</f>
        <v>0.77777777777777779</v>
      </c>
      <c r="D73" s="457">
        <f>IFERROR(VLOOKUP($B73,'LEGEND&amp;DATA'!$F$20:$AB$90,4,FALSE),"")</f>
        <v>1.2162162162162162</v>
      </c>
      <c r="E73" s="458">
        <f>IFERROR(VLOOKUP($B73,'LEGEND&amp;DATA'!$F$20:$AB$90,8,FALSE),"")</f>
        <v>0.4</v>
      </c>
      <c r="F73" s="459">
        <f>IFERROR(VLOOKUP($B73,'LEGEND&amp;DATA'!$F$20:$AB$90,10,FALSE),"")</f>
        <v>0.75</v>
      </c>
      <c r="G73" s="460">
        <f>IFERROR(VLOOKUP($B73,'LEGEND&amp;DATA'!$F$20:$AB$90,12,FALSE),"")</f>
        <v>0.12087912087912088</v>
      </c>
      <c r="H73" s="461">
        <f>IFERROR(VLOOKUP($B73,'LEGEND&amp;DATA'!$F$20:$AB$90,14,FALSE),"")</f>
        <v>0.20765027322404372</v>
      </c>
      <c r="I73" s="462">
        <f>IFERROR(VLOOKUP($B73,'LEGEND&amp;DATA'!$F$20:$AB$90,16,FALSE),"")</f>
        <v>0.47169811320754718</v>
      </c>
      <c r="J73" s="459" t="str">
        <f>IFERROR(VLOOKUP($B73,'LEGEND&amp;DATA'!$F$20:$AB$90,18,FALSE),"")</f>
        <v>-</v>
      </c>
      <c r="K73" s="461">
        <f>IFERROR(VLOOKUP($B73,'LEGEND&amp;DATA'!$F$20:$AB$90,20,FALSE),"")</f>
        <v>1.5545454545454545</v>
      </c>
      <c r="L73" s="462">
        <f>IFERROR(VLOOKUP($B73,'LEGEND&amp;DATA'!$F$20:$AB$90,22,FALSE),"")</f>
        <v>0.93827160493827155</v>
      </c>
      <c r="M73" s="463">
        <f>IFERROR(VLOOKUP($B73,'LEGEND&amp;DATA'!$F$20:$AE$90,26,FALSE),"")</f>
        <v>0.62</v>
      </c>
      <c r="N73" s="9"/>
    </row>
    <row r="74" spans="1:14" ht="16" customHeight="1" x14ac:dyDescent="0.35">
      <c r="A74" s="423">
        <v>54</v>
      </c>
      <c r="B74" s="455" t="str">
        <f>IF($A74&gt;KEY!$B$2,"",IFERROR(VLOOKUP($A74,'LEGEND&amp;DATA'!$E$20:$F$90,2,FALSE),""))</f>
        <v>Honda of Escondido</v>
      </c>
      <c r="C74" s="456">
        <f>IFERROR(VLOOKUP($B74,'LEGEND&amp;DATA'!$F$20:$AB$90,2,FALSE),"")</f>
        <v>0.875</v>
      </c>
      <c r="D74" s="457">
        <f>IFERROR(VLOOKUP($B74,'LEGEND&amp;DATA'!$F$20:$AB$90,4,FALSE),"")</f>
        <v>8.8235294117647051E-2</v>
      </c>
      <c r="E74" s="458">
        <f>IFERROR(VLOOKUP($B74,'LEGEND&amp;DATA'!$F$20:$AB$90,8,FALSE),"")</f>
        <v>1.3333333333333333</v>
      </c>
      <c r="F74" s="459">
        <f>IFERROR(VLOOKUP($B74,'LEGEND&amp;DATA'!$F$20:$AB$90,10,FALSE),"")</f>
        <v>0.875</v>
      </c>
      <c r="G74" s="460">
        <f>IFERROR(VLOOKUP($B74,'LEGEND&amp;DATA'!$F$20:$AB$90,12,FALSE),"")</f>
        <v>0.14663461538461539</v>
      </c>
      <c r="H74" s="461">
        <f>IFERROR(VLOOKUP($B74,'LEGEND&amp;DATA'!$F$20:$AB$90,14,FALSE),"")</f>
        <v>0.15723270440251572</v>
      </c>
      <c r="I74" s="462">
        <f>IFERROR(VLOOKUP($B74,'LEGEND&amp;DATA'!$F$20:$AB$90,16,FALSE),"")</f>
        <v>0.7857142857142857</v>
      </c>
      <c r="J74" s="459" t="str">
        <f>IFERROR(VLOOKUP($B74,'LEGEND&amp;DATA'!$F$20:$AB$90,18,FALSE),"")</f>
        <v>-</v>
      </c>
      <c r="K74" s="461">
        <f>IFERROR(VLOOKUP($B74,'LEGEND&amp;DATA'!$F$20:$AB$90,20,FALSE),"")</f>
        <v>0.77651515151515149</v>
      </c>
      <c r="L74" s="462">
        <f>IFERROR(VLOOKUP($B74,'LEGEND&amp;DATA'!$F$20:$AB$90,22,FALSE),"")</f>
        <v>0.48170731707317072</v>
      </c>
      <c r="M74" s="463">
        <f>IFERROR(VLOOKUP($B74,'LEGEND&amp;DATA'!$F$20:$AE$90,26,FALSE),"")</f>
        <v>0.62</v>
      </c>
      <c r="N74" s="9"/>
    </row>
    <row r="75" spans="1:14" ht="16" customHeight="1" x14ac:dyDescent="0.35">
      <c r="A75" s="423">
        <v>55</v>
      </c>
      <c r="B75" s="455" t="str">
        <f>IF($A75&gt;KEY!$B$2,"",IFERROR(VLOOKUP($A75,'LEGEND&amp;DATA'!$E$20:$F$90,2,FALSE),""))</f>
        <v>Capitol Honda</v>
      </c>
      <c r="C75" s="456">
        <f>IFERROR(VLOOKUP($B75,'LEGEND&amp;DATA'!$F$20:$AB$90,2,FALSE),"")</f>
        <v>0.87984496124031009</v>
      </c>
      <c r="D75" s="457">
        <f>IFERROR(VLOOKUP($B75,'LEGEND&amp;DATA'!$F$20:$AB$90,4,FALSE),"")</f>
        <v>0.67164179104477617</v>
      </c>
      <c r="E75" s="458">
        <f>IFERROR(VLOOKUP($B75,'LEGEND&amp;DATA'!$F$20:$AB$90,8,FALSE),"")</f>
        <v>1.2173913043478262</v>
      </c>
      <c r="F75" s="459">
        <f>IFERROR(VLOOKUP($B75,'LEGEND&amp;DATA'!$F$20:$AB$90,10,FALSE),"")</f>
        <v>0.875</v>
      </c>
      <c r="G75" s="460">
        <f>IFERROR(VLOOKUP($B75,'LEGEND&amp;DATA'!$F$20:$AB$90,12,FALSE),"")</f>
        <v>9.7510373443983403E-2</v>
      </c>
      <c r="H75" s="461">
        <f>IFERROR(VLOOKUP($B75,'LEGEND&amp;DATA'!$F$20:$AB$90,14,FALSE),"")</f>
        <v>0.18548387096774194</v>
      </c>
      <c r="I75" s="462">
        <f>IFERROR(VLOOKUP($B75,'LEGEND&amp;DATA'!$F$20:$AB$90,16,FALSE),"")</f>
        <v>0.90476190476190477</v>
      </c>
      <c r="J75" s="459" t="str">
        <f>IFERROR(VLOOKUP($B75,'LEGEND&amp;DATA'!$F$20:$AB$90,18,FALSE),"")</f>
        <v>-</v>
      </c>
      <c r="K75" s="461">
        <f>IFERROR(VLOOKUP($B75,'LEGEND&amp;DATA'!$F$20:$AB$90,20,FALSE),"")</f>
        <v>0.72529644268774707</v>
      </c>
      <c r="L75" s="462">
        <f>IFERROR(VLOOKUP($B75,'LEGEND&amp;DATA'!$F$20:$AB$90,22,FALSE),"")</f>
        <v>0.37229437229437229</v>
      </c>
      <c r="M75" s="463">
        <f>IFERROR(VLOOKUP($B75,'LEGEND&amp;DATA'!$F$20:$AE$90,26,FALSE),"")</f>
        <v>0.59</v>
      </c>
      <c r="N75" s="9"/>
    </row>
    <row r="76" spans="1:14" x14ac:dyDescent="0.35">
      <c r="A76" s="423">
        <v>56</v>
      </c>
      <c r="B76" s="455" t="str">
        <f>IF($A76&gt;KEY!$B$2,"",IFERROR(VLOOKUP($A76,'LEGEND&amp;DATA'!$E$20:$F$90,2,FALSE),""))</f>
        <v>MINI of Tempe</v>
      </c>
      <c r="C76" s="456">
        <f>IFERROR(VLOOKUP($B76,'LEGEND&amp;DATA'!$F$20:$AB$90,2,FALSE),"")</f>
        <v>0.51111111111111107</v>
      </c>
      <c r="D76" s="457">
        <f>IFERROR(VLOOKUP($B76,'LEGEND&amp;DATA'!$F$20:$AB$90,4,FALSE),"")</f>
        <v>8</v>
      </c>
      <c r="E76" s="458">
        <f>IFERROR(VLOOKUP($B76,'LEGEND&amp;DATA'!$F$20:$AB$90,8,FALSE),"")</f>
        <v>0.75</v>
      </c>
      <c r="F76" s="459">
        <f>IFERROR(VLOOKUP($B76,'LEGEND&amp;DATA'!$F$20:$AB$90,10,FALSE),"")</f>
        <v>1</v>
      </c>
      <c r="G76" s="460">
        <f>IFERROR(VLOOKUP($B76,'LEGEND&amp;DATA'!$F$20:$AB$90,12,FALSE),"")</f>
        <v>0.1702127659574468</v>
      </c>
      <c r="H76" s="461">
        <f>IFERROR(VLOOKUP($B76,'LEGEND&amp;DATA'!$F$20:$AB$90,14,FALSE),"")</f>
        <v>0.4</v>
      </c>
      <c r="I76" s="462">
        <f>IFERROR(VLOOKUP($B76,'LEGEND&amp;DATA'!$F$20:$AB$90,16,FALSE),"")</f>
        <v>0.5</v>
      </c>
      <c r="J76" s="459" t="str">
        <f>IFERROR(VLOOKUP($B76,'LEGEND&amp;DATA'!$F$20:$AB$90,18,FALSE),"")</f>
        <v>-</v>
      </c>
      <c r="K76" s="461">
        <f>IFERROR(VLOOKUP($B76,'LEGEND&amp;DATA'!$F$20:$AB$90,20,FALSE),"")</f>
        <v>0.57954545454545459</v>
      </c>
      <c r="L76" s="462">
        <f>IFERROR(VLOOKUP($B76,'LEGEND&amp;DATA'!$F$20:$AB$90,22,FALSE),"")</f>
        <v>1.173913043478261</v>
      </c>
      <c r="M76" s="463">
        <f>IFERROR(VLOOKUP($B76,'LEGEND&amp;DATA'!$F$20:$AE$90,26,FALSE),"")</f>
        <v>0.59</v>
      </c>
    </row>
    <row r="77" spans="1:14" x14ac:dyDescent="0.35">
      <c r="A77" s="423">
        <v>57</v>
      </c>
      <c r="B77" s="455" t="str">
        <f>IF($A77&gt;KEY!$B$2,"",IFERROR(VLOOKUP($A77,'LEGEND&amp;DATA'!$E$20:$F$90,2,FALSE),""))</f>
        <v>Penske Honda</v>
      </c>
      <c r="C77" s="456">
        <f>IFERROR(VLOOKUP($B77,'LEGEND&amp;DATA'!$F$20:$AB$90,2,FALSE),"")</f>
        <v>0.86345381526104414</v>
      </c>
      <c r="D77" s="457">
        <f>IFERROR(VLOOKUP($B77,'LEGEND&amp;DATA'!$F$20:$AB$90,4,FALSE),"")</f>
        <v>0.26923076923076922</v>
      </c>
      <c r="E77" s="458">
        <f>IFERROR(VLOOKUP($B77,'LEGEND&amp;DATA'!$F$20:$AB$90,8,FALSE),"")</f>
        <v>0.52</v>
      </c>
      <c r="F77" s="459">
        <f>IFERROR(VLOOKUP($B77,'LEGEND&amp;DATA'!$F$20:$AB$90,10,FALSE),"")</f>
        <v>0.625</v>
      </c>
      <c r="G77" s="460">
        <f>IFERROR(VLOOKUP($B77,'LEGEND&amp;DATA'!$F$20:$AB$90,12,FALSE),"")</f>
        <v>0.19198664440734559</v>
      </c>
      <c r="H77" s="461">
        <f>IFERROR(VLOOKUP($B77,'LEGEND&amp;DATA'!$F$20:$AB$90,14,FALSE),"")</f>
        <v>0.26845637583892618</v>
      </c>
      <c r="I77" s="462">
        <f>IFERROR(VLOOKUP($B77,'LEGEND&amp;DATA'!$F$20:$AB$90,16,FALSE),"")</f>
        <v>0.62857142857142856</v>
      </c>
      <c r="J77" s="459" t="str">
        <f>IFERROR(VLOOKUP($B77,'LEGEND&amp;DATA'!$F$20:$AB$90,18,FALSE),"")</f>
        <v>-</v>
      </c>
      <c r="K77" s="461">
        <f>IFERROR(VLOOKUP($B77,'LEGEND&amp;DATA'!$F$20:$AB$90,20,FALSE),"")</f>
        <v>0.75636363636363635</v>
      </c>
      <c r="L77" s="462">
        <f>IFERROR(VLOOKUP($B77,'LEGEND&amp;DATA'!$F$20:$AB$90,22,FALSE),"")</f>
        <v>0.47575057736720555</v>
      </c>
      <c r="M77" s="463">
        <f>IFERROR(VLOOKUP($B77,'LEGEND&amp;DATA'!$F$20:$AE$90,26,FALSE),"")</f>
        <v>0.59</v>
      </c>
    </row>
    <row r="78" spans="1:14" x14ac:dyDescent="0.35">
      <c r="A78" s="423">
        <v>58</v>
      </c>
      <c r="B78" s="455" t="str">
        <f>IF($A78&gt;KEY!$B$2,"",IFERROR(VLOOKUP($A78,'LEGEND&amp;DATA'!$E$20:$F$90,2,FALSE),""))</f>
        <v>Penske Chevrolet</v>
      </c>
      <c r="C78" s="456">
        <f>IFERROR(VLOOKUP($B78,'LEGEND&amp;DATA'!$F$20:$AB$90,2,FALSE),"")</f>
        <v>0.79136690647482011</v>
      </c>
      <c r="D78" s="457">
        <f>IFERROR(VLOOKUP($B78,'LEGEND&amp;DATA'!$F$20:$AB$90,4,FALSE),"")</f>
        <v>1.6363636363636365</v>
      </c>
      <c r="E78" s="458">
        <f>IFERROR(VLOOKUP($B78,'LEGEND&amp;DATA'!$F$20:$AB$90,8,FALSE),"")</f>
        <v>0.8</v>
      </c>
      <c r="F78" s="459">
        <f>IFERROR(VLOOKUP($B78,'LEGEND&amp;DATA'!$F$20:$AB$90,10,FALSE),"")</f>
        <v>0.875</v>
      </c>
      <c r="G78" s="460">
        <f>IFERROR(VLOOKUP($B78,'LEGEND&amp;DATA'!$F$20:$AB$90,12,FALSE),"")</f>
        <v>0.18859649122807018</v>
      </c>
      <c r="H78" s="461">
        <f>IFERROR(VLOOKUP($B78,'LEGEND&amp;DATA'!$F$20:$AB$90,14,FALSE),"")</f>
        <v>0.16981132075471697</v>
      </c>
      <c r="I78" s="462">
        <f>IFERROR(VLOOKUP($B78,'LEGEND&amp;DATA'!$F$20:$AB$90,16,FALSE),"")</f>
        <v>0.54545454545454541</v>
      </c>
      <c r="J78" s="459" t="str">
        <f>IFERROR(VLOOKUP($B78,'LEGEND&amp;DATA'!$F$20:$AB$90,18,FALSE),"")</f>
        <v>-</v>
      </c>
      <c r="K78" s="461">
        <f>IFERROR(VLOOKUP($B78,'LEGEND&amp;DATA'!$F$20:$AB$90,20,FALSE),"")</f>
        <v>0.72727272727272729</v>
      </c>
      <c r="L78" s="462">
        <f>IFERROR(VLOOKUP($B78,'LEGEND&amp;DATA'!$F$20:$AB$90,22,FALSE),"")</f>
        <v>0.45535714285714285</v>
      </c>
      <c r="M78" s="463">
        <f>IFERROR(VLOOKUP($B78,'LEGEND&amp;DATA'!$F$20:$AE$90,26,FALSE),"")</f>
        <v>0.57999999999999996</v>
      </c>
    </row>
    <row r="79" spans="1:14" x14ac:dyDescent="0.35">
      <c r="A79" s="423">
        <v>59</v>
      </c>
      <c r="B79" s="455" t="str">
        <f>IF($A79&gt;KEY!$B$2,"",IFERROR(VLOOKUP($A79,'LEGEND&amp;DATA'!$E$20:$F$90,2,FALSE),""))</f>
        <v>BMW/MINI of Escondido</v>
      </c>
      <c r="C79" s="456">
        <f>IFERROR(VLOOKUP($B79,'LEGEND&amp;DATA'!$F$20:$AB$90,2,FALSE),"")</f>
        <v>0.73267326732673266</v>
      </c>
      <c r="D79" s="457">
        <f>IFERROR(VLOOKUP($B79,'LEGEND&amp;DATA'!$F$20:$AB$90,4,FALSE),"")</f>
        <v>0.77777777777777779</v>
      </c>
      <c r="E79" s="458">
        <f>IFERROR(VLOOKUP($B79,'LEGEND&amp;DATA'!$F$20:$AB$90,8,FALSE),"")</f>
        <v>2.7777777777777777</v>
      </c>
      <c r="F79" s="459">
        <f>IFERROR(VLOOKUP($B79,'LEGEND&amp;DATA'!$F$20:$AB$90,10,FALSE),"")</f>
        <v>0.625</v>
      </c>
      <c r="G79" s="460">
        <f>IFERROR(VLOOKUP($B79,'LEGEND&amp;DATA'!$F$20:$AB$90,12,FALSE),"")</f>
        <v>7.3275862068965511E-2</v>
      </c>
      <c r="H79" s="461">
        <f>IFERROR(VLOOKUP($B79,'LEGEND&amp;DATA'!$F$20:$AB$90,14,FALSE),"")</f>
        <v>0.12</v>
      </c>
      <c r="I79" s="462">
        <f>IFERROR(VLOOKUP($B79,'LEGEND&amp;DATA'!$F$20:$AB$90,16,FALSE),"")</f>
        <v>0.46666666666666667</v>
      </c>
      <c r="J79" s="459" t="str">
        <f>IFERROR(VLOOKUP($B79,'LEGEND&amp;DATA'!$F$20:$AB$90,18,FALSE),"")</f>
        <v>-</v>
      </c>
      <c r="K79" s="461">
        <f>IFERROR(VLOOKUP($B79,'LEGEND&amp;DATA'!$F$20:$AB$90,20,FALSE),"")</f>
        <v>0.80808080808080807</v>
      </c>
      <c r="L79" s="462">
        <f>IFERROR(VLOOKUP($B79,'LEGEND&amp;DATA'!$F$20:$AB$90,22,FALSE),"")</f>
        <v>0.6</v>
      </c>
      <c r="M79" s="463">
        <f>IFERROR(VLOOKUP($B79,'LEGEND&amp;DATA'!$F$20:$AE$90,26,FALSE),"")</f>
        <v>0.52</v>
      </c>
    </row>
    <row r="80" spans="1:14" x14ac:dyDescent="0.35">
      <c r="A80" s="423">
        <v>60</v>
      </c>
      <c r="B80" s="455" t="str">
        <f>IF($A80&gt;KEY!$B$2,"",IFERROR(VLOOKUP($A80,'LEGEND&amp;DATA'!$E$20:$F$90,2,FALSE),""))</f>
        <v>Hyundai of Leander</v>
      </c>
      <c r="C80" s="456" t="str">
        <f>IFERROR(VLOOKUP($B80,'LEGEND&amp;DATA'!$F$20:$AB$90,2,FALSE),"")</f>
        <v>N/A</v>
      </c>
      <c r="D80" s="457">
        <f>IFERROR(VLOOKUP($B80,'LEGEND&amp;DATA'!$F$20:$AB$90,4,FALSE),"")</f>
        <v>1.125</v>
      </c>
      <c r="E80" s="458">
        <f>IFERROR(VLOOKUP($B80,'LEGEND&amp;DATA'!$F$20:$AB$90,8,FALSE),"")</f>
        <v>0</v>
      </c>
      <c r="F80" s="459">
        <f>IFERROR(VLOOKUP($B80,'LEGEND&amp;DATA'!$F$20:$AB$90,10,FALSE),"")</f>
        <v>0.625</v>
      </c>
      <c r="G80" s="460">
        <f>IFERROR(VLOOKUP($B80,'LEGEND&amp;DATA'!$F$20:$AB$90,12,FALSE),"")</f>
        <v>0.10526315789473684</v>
      </c>
      <c r="H80" s="461">
        <f>IFERROR(VLOOKUP($B80,'LEGEND&amp;DATA'!$F$20:$AB$90,14,FALSE),"")</f>
        <v>7.4999999999999997E-2</v>
      </c>
      <c r="I80" s="462" t="str">
        <f>IFERROR(VLOOKUP($B80,'LEGEND&amp;DATA'!$F$20:$AB$90,16,FALSE),"")</f>
        <v>N/A</v>
      </c>
      <c r="J80" s="459" t="str">
        <f>IFERROR(VLOOKUP($B80,'LEGEND&amp;DATA'!$F$20:$AB$90,18,FALSE),"")</f>
        <v>-</v>
      </c>
      <c r="K80" s="461">
        <f>IFERROR(VLOOKUP($B80,'LEGEND&amp;DATA'!$F$20:$AB$90,20,FALSE),"")</f>
        <v>1.2077922077922079</v>
      </c>
      <c r="L80" s="462">
        <f>IFERROR(VLOOKUP($B80,'LEGEND&amp;DATA'!$F$20:$AB$90,22,FALSE),"")</f>
        <v>0.33774834437086093</v>
      </c>
      <c r="M80" s="463">
        <f>IFERROR(VLOOKUP($B80,'LEGEND&amp;DATA'!$F$20:$AE$90,26,FALSE),"")</f>
        <v>0.51315789473684215</v>
      </c>
    </row>
    <row r="81" spans="1:13" x14ac:dyDescent="0.35">
      <c r="A81" s="423">
        <v>61</v>
      </c>
      <c r="B81" s="455" t="str">
        <f>IF($A81&gt;KEY!$B$2,"",IFERROR(VLOOKUP($A81,'LEGEND&amp;DATA'!$E$20:$F$90,2,FALSE),""))</f>
        <v>Scottsdale Ferrari Maserati</v>
      </c>
      <c r="C81" s="456">
        <f>IFERROR(VLOOKUP($B81,'LEGEND&amp;DATA'!$F$20:$AB$90,2,FALSE),"")</f>
        <v>1.0769230769230769</v>
      </c>
      <c r="D81" s="457">
        <f>IFERROR(VLOOKUP($B81,'LEGEND&amp;DATA'!$F$20:$AB$90,4,FALSE),"")</f>
        <v>1</v>
      </c>
      <c r="E81" s="458">
        <f>IFERROR(VLOOKUP($B81,'LEGEND&amp;DATA'!$F$20:$AB$90,8,FALSE),"")</f>
        <v>0.33333333333333331</v>
      </c>
      <c r="F81" s="459">
        <f>IFERROR(VLOOKUP($B81,'LEGEND&amp;DATA'!$F$20:$AB$90,10,FALSE),"")</f>
        <v>0.125</v>
      </c>
      <c r="G81" s="460">
        <f>IFERROR(VLOOKUP($B81,'LEGEND&amp;DATA'!$F$20:$AB$90,12,FALSE),"")</f>
        <v>7.6923076923076927E-2</v>
      </c>
      <c r="H81" s="461">
        <f>IFERROR(VLOOKUP($B81,'LEGEND&amp;DATA'!$F$20:$AB$90,14,FALSE),"")</f>
        <v>0.14285714285714285</v>
      </c>
      <c r="I81" s="462" t="str">
        <f>IFERROR(VLOOKUP($B81,'LEGEND&amp;DATA'!$F$20:$AB$90,16,FALSE),"")</f>
        <v>N/A</v>
      </c>
      <c r="J81" s="459" t="str">
        <f>IFERROR(VLOOKUP($B81,'LEGEND&amp;DATA'!$F$20:$AB$90,18,FALSE),"")</f>
        <v>-</v>
      </c>
      <c r="K81" s="461">
        <f>IFERROR(VLOOKUP($B81,'LEGEND&amp;DATA'!$F$20:$AB$90,20,FALSE),"")</f>
        <v>0.70833333333333337</v>
      </c>
      <c r="L81" s="462">
        <f>IFERROR(VLOOKUP($B81,'LEGEND&amp;DATA'!$F$20:$AB$90,22,FALSE),"")</f>
        <v>0.32142857142857145</v>
      </c>
      <c r="M81" s="463">
        <f>IFERROR(VLOOKUP($B81,'LEGEND&amp;DATA'!$F$20:$AE$90,26,FALSE),"")</f>
        <v>0.47727272727272729</v>
      </c>
    </row>
    <row r="82" spans="1:13" x14ac:dyDescent="0.35">
      <c r="A82" s="423">
        <v>62</v>
      </c>
      <c r="B82" s="455" t="str">
        <f>IF($A82&gt;KEY!$B$2,"",IFERROR(VLOOKUP($A82,'LEGEND&amp;DATA'!$E$20:$F$90,2,FALSE),""))</f>
        <v/>
      </c>
      <c r="C82" s="456" t="str">
        <f>IFERROR(VLOOKUP($B82,'LEGEND&amp;DATA'!$F$20:$AB$90,2,FALSE),"")</f>
        <v/>
      </c>
      <c r="D82" s="457" t="str">
        <f>IFERROR(VLOOKUP($B82,'LEGEND&amp;DATA'!$F$20:$AB$90,4,FALSE),"")</f>
        <v/>
      </c>
      <c r="E82" s="458" t="str">
        <f>IFERROR(VLOOKUP($B82,'LEGEND&amp;DATA'!$F$20:$AB$90,8,FALSE),"")</f>
        <v/>
      </c>
      <c r="F82" s="459" t="str">
        <f>IFERROR(VLOOKUP($B82,'LEGEND&amp;DATA'!$F$20:$AB$90,10,FALSE),"")</f>
        <v/>
      </c>
      <c r="G82" s="460" t="str">
        <f>IFERROR(VLOOKUP($B82,'LEGEND&amp;DATA'!$F$20:$AB$90,12,FALSE),"")</f>
        <v/>
      </c>
      <c r="H82" s="461" t="str">
        <f>IFERROR(VLOOKUP($B82,'LEGEND&amp;DATA'!$F$20:$AB$90,14,FALSE),"")</f>
        <v/>
      </c>
      <c r="I82" s="462" t="str">
        <f>IFERROR(VLOOKUP($B82,'LEGEND&amp;DATA'!$F$20:$AB$90,16,FALSE),"")</f>
        <v/>
      </c>
      <c r="J82" s="459" t="str">
        <f>IFERROR(VLOOKUP($B82,'LEGEND&amp;DATA'!$F$20:$AB$90,18,FALSE),"")</f>
        <v>-</v>
      </c>
      <c r="K82" s="461" t="str">
        <f>IFERROR(VLOOKUP($B82,'LEGEND&amp;DATA'!$F$20:$AB$90,20,FALSE),"")</f>
        <v/>
      </c>
      <c r="L82" s="462" t="str">
        <f>IFERROR(VLOOKUP($B82,'LEGEND&amp;DATA'!$F$20:$AB$90,22,FALSE),"")</f>
        <v/>
      </c>
      <c r="M82" s="463" t="str">
        <f>IFERROR(VLOOKUP($B82,'LEGEND&amp;DATA'!$F$20:$AE$90,26,FALSE),"")</f>
        <v/>
      </c>
    </row>
    <row r="83" spans="1:13" x14ac:dyDescent="0.35">
      <c r="A83" s="423">
        <v>63</v>
      </c>
      <c r="B83" s="455" t="str">
        <f>IF($A83&gt;KEY!$B$2,"",IFERROR(VLOOKUP($A83,'LEGEND&amp;DATA'!$E$20:$F$90,2,FALSE),""))</f>
        <v/>
      </c>
      <c r="C83" s="456" t="str">
        <f>IFERROR(VLOOKUP($B83,'LEGEND&amp;DATA'!$F$20:$AB$90,2,FALSE),"")</f>
        <v/>
      </c>
      <c r="D83" s="457" t="str">
        <f>IFERROR(VLOOKUP($B83,'LEGEND&amp;DATA'!$F$20:$AB$90,4,FALSE),"")</f>
        <v/>
      </c>
      <c r="E83" s="458" t="str">
        <f>IFERROR(VLOOKUP($B83,'LEGEND&amp;DATA'!$F$20:$AB$90,8,FALSE),"")</f>
        <v/>
      </c>
      <c r="F83" s="459" t="str">
        <f>IFERROR(VLOOKUP($B83,'LEGEND&amp;DATA'!$F$20:$AB$90,10,FALSE),"")</f>
        <v/>
      </c>
      <c r="G83" s="460" t="str">
        <f>IFERROR(VLOOKUP($B83,'LEGEND&amp;DATA'!$F$20:$AB$90,12,FALSE),"")</f>
        <v/>
      </c>
      <c r="H83" s="461" t="str">
        <f>IFERROR(VLOOKUP($B83,'LEGEND&amp;DATA'!$F$20:$AB$90,14,FALSE),"")</f>
        <v/>
      </c>
      <c r="I83" s="462" t="str">
        <f>IFERROR(VLOOKUP($B83,'LEGEND&amp;DATA'!$F$20:$AB$90,16,FALSE),"")</f>
        <v/>
      </c>
      <c r="J83" s="459" t="str">
        <f>IFERROR(VLOOKUP($B83,'LEGEND&amp;DATA'!$F$20:$AB$90,18,FALSE),"")</f>
        <v>-</v>
      </c>
      <c r="K83" s="461" t="str">
        <f>IFERROR(VLOOKUP($B83,'LEGEND&amp;DATA'!$F$20:$AB$90,20,FALSE),"")</f>
        <v/>
      </c>
      <c r="L83" s="462" t="str">
        <f>IFERROR(VLOOKUP($B83,'LEGEND&amp;DATA'!$F$20:$AB$90,22,FALSE),"")</f>
        <v/>
      </c>
      <c r="M83" s="463" t="str">
        <f>IFERROR(VLOOKUP($B83,'LEGEND&amp;DATA'!$F$20:$AE$90,26,FALSE),"")</f>
        <v/>
      </c>
    </row>
    <row r="84" spans="1:13" x14ac:dyDescent="0.35">
      <c r="A84" s="423">
        <v>64</v>
      </c>
      <c r="B84" s="455" t="str">
        <f>IF($A84&gt;KEY!$B$2,"",IFERROR(VLOOKUP($A84,'LEGEND&amp;DATA'!$E$20:$F$90,2,FALSE),""))</f>
        <v/>
      </c>
      <c r="C84" s="456" t="str">
        <f>IFERROR(VLOOKUP($B84,'LEGEND&amp;DATA'!$F$20:$AB$90,2,FALSE),"")</f>
        <v/>
      </c>
      <c r="D84" s="457" t="str">
        <f>IFERROR(VLOOKUP($B84,'LEGEND&amp;DATA'!$F$20:$AB$90,4,FALSE),"")</f>
        <v/>
      </c>
      <c r="E84" s="458" t="str">
        <f>IFERROR(VLOOKUP($B84,'LEGEND&amp;DATA'!$F$20:$AB$90,8,FALSE),"")</f>
        <v/>
      </c>
      <c r="F84" s="459" t="str">
        <f>IFERROR(VLOOKUP($B84,'LEGEND&amp;DATA'!$F$20:$AB$90,10,FALSE),"")</f>
        <v/>
      </c>
      <c r="G84" s="460" t="str">
        <f>IFERROR(VLOOKUP($B84,'LEGEND&amp;DATA'!$F$20:$AB$90,12,FALSE),"")</f>
        <v/>
      </c>
      <c r="H84" s="461" t="str">
        <f>IFERROR(VLOOKUP($B84,'LEGEND&amp;DATA'!$F$20:$AB$90,14,FALSE),"")</f>
        <v/>
      </c>
      <c r="I84" s="462" t="str">
        <f>IFERROR(VLOOKUP($B84,'LEGEND&amp;DATA'!$F$20:$AB$90,16,FALSE),"")</f>
        <v/>
      </c>
      <c r="J84" s="459" t="str">
        <f>IFERROR(VLOOKUP($B84,'LEGEND&amp;DATA'!$F$20:$AB$90,18,FALSE),"")</f>
        <v>-</v>
      </c>
      <c r="K84" s="461" t="str">
        <f>IFERROR(VLOOKUP($B84,'LEGEND&amp;DATA'!$F$20:$AB$90,20,FALSE),"")</f>
        <v/>
      </c>
      <c r="L84" s="462" t="str">
        <f>IFERROR(VLOOKUP($B84,'LEGEND&amp;DATA'!$F$20:$AB$90,22,FALSE),"")</f>
        <v/>
      </c>
      <c r="M84" s="463" t="str">
        <f>IFERROR(VLOOKUP($B84,'LEGEND&amp;DATA'!$F$20:$AE$90,26,FALSE),"")</f>
        <v/>
      </c>
    </row>
    <row r="85" spans="1:13" x14ac:dyDescent="0.35">
      <c r="A85" s="423">
        <v>65</v>
      </c>
      <c r="B85" s="455" t="str">
        <f>IF($A85&gt;KEY!$B$2,"",IFERROR(VLOOKUP($A85,'LEGEND&amp;DATA'!$E$20:$F$90,2,FALSE),""))</f>
        <v/>
      </c>
      <c r="C85" s="456" t="str">
        <f>IFERROR(VLOOKUP($B85,'LEGEND&amp;DATA'!$F$20:$AB$90,2,FALSE),"")</f>
        <v/>
      </c>
      <c r="D85" s="457" t="str">
        <f>IFERROR(VLOOKUP($B85,'LEGEND&amp;DATA'!$F$20:$AB$90,4,FALSE),"")</f>
        <v/>
      </c>
      <c r="E85" s="458" t="str">
        <f>IFERROR(VLOOKUP($B85,'LEGEND&amp;DATA'!$F$20:$AB$90,8,FALSE),"")</f>
        <v/>
      </c>
      <c r="F85" s="459" t="str">
        <f>IFERROR(VLOOKUP($B85,'LEGEND&amp;DATA'!$F$20:$AB$90,10,FALSE),"")</f>
        <v/>
      </c>
      <c r="G85" s="460" t="str">
        <f>IFERROR(VLOOKUP($B85,'LEGEND&amp;DATA'!$F$20:$AB$90,12,FALSE),"")</f>
        <v/>
      </c>
      <c r="H85" s="461" t="str">
        <f>IFERROR(VLOOKUP($B85,'LEGEND&amp;DATA'!$F$20:$AB$90,14,FALSE),"")</f>
        <v/>
      </c>
      <c r="I85" s="462" t="str">
        <f>IFERROR(VLOOKUP($B85,'LEGEND&amp;DATA'!$F$20:$AB$90,16,FALSE),"")</f>
        <v/>
      </c>
      <c r="J85" s="459" t="str">
        <f>IFERROR(VLOOKUP($B85,'LEGEND&amp;DATA'!$F$20:$AB$90,18,FALSE),"")</f>
        <v>-</v>
      </c>
      <c r="K85" s="461" t="str">
        <f>IFERROR(VLOOKUP($B85,'LEGEND&amp;DATA'!$F$20:$AB$90,20,FALSE),"")</f>
        <v/>
      </c>
      <c r="L85" s="462" t="str">
        <f>IFERROR(VLOOKUP($B85,'LEGEND&amp;DATA'!$F$20:$AB$90,22,FALSE),"")</f>
        <v/>
      </c>
      <c r="M85" s="463" t="str">
        <f>IFERROR(VLOOKUP($B85,'LEGEND&amp;DATA'!$F$20:$AE$90,26,FALSE),"")</f>
        <v/>
      </c>
    </row>
    <row r="86" spans="1:13" x14ac:dyDescent="0.35">
      <c r="A86" s="423">
        <v>66</v>
      </c>
      <c r="B86" s="3" t="str">
        <f>IF($A86&gt;KEY!$B$2,"",IFERROR(VLOOKUP($A86,'LEGEND&amp;DATA'!$E$20:$F$90,2,FALSE),""))</f>
        <v/>
      </c>
      <c r="C86" s="15" t="str">
        <f>IFERROR(VLOOKUP($B86,'LEGEND&amp;DATA'!$F$20:$AB$90,2,FALSE),"")</f>
        <v/>
      </c>
      <c r="D86" s="304" t="str">
        <f>IFERROR(VLOOKUP($B86,'LEGEND&amp;DATA'!$F$20:$AB$90,4,FALSE),"")</f>
        <v/>
      </c>
      <c r="E86" s="127" t="str">
        <f>IFERROR(VLOOKUP($B86,'LEGEND&amp;DATA'!$F$20:$AB$90,8,FALSE),"")</f>
        <v/>
      </c>
      <c r="F86" s="308" t="str">
        <f>IFERROR(VLOOKUP($B86,'LEGEND&amp;DATA'!$F$20:$AB$90,10,FALSE),"")</f>
        <v/>
      </c>
      <c r="G86" s="10" t="str">
        <f>IFERROR(VLOOKUP($B86,'LEGEND&amp;DATA'!$F$20:$AB$90,12,FALSE),"")</f>
        <v/>
      </c>
      <c r="H86" s="317" t="str">
        <f>IFERROR(VLOOKUP($B86,'LEGEND&amp;DATA'!$F$20:$AB$90,14,FALSE),"")</f>
        <v/>
      </c>
      <c r="I86" s="80" t="str">
        <f>IFERROR(VLOOKUP($B86,'LEGEND&amp;DATA'!$F$20:$AB$90,16,FALSE),"")</f>
        <v/>
      </c>
      <c r="J86" s="308" t="str">
        <f>IFERROR(VLOOKUP($B86,'LEGEND&amp;DATA'!$F$20:$AB$90,18,FALSE),"")</f>
        <v>-</v>
      </c>
      <c r="K86" s="317" t="str">
        <f>IFERROR(VLOOKUP($B86,'LEGEND&amp;DATA'!$F$20:$AB$90,20,FALSE),"")</f>
        <v/>
      </c>
      <c r="L86" s="80" t="str">
        <f>IFERROR(VLOOKUP($B86,'LEGEND&amp;DATA'!$F$20:$AB$90,22,FALSE),"")</f>
        <v/>
      </c>
      <c r="M86" s="128" t="str">
        <f>IFERROR(VLOOKUP($B86,'LEGEND&amp;DATA'!$F$20:$AE$90,26,FALSE),"")</f>
        <v/>
      </c>
    </row>
    <row r="87" spans="1:13" x14ac:dyDescent="0.35">
      <c r="A87" s="423">
        <v>67</v>
      </c>
      <c r="B87" s="3" t="str">
        <f>IF($A87&gt;KEY!$B$2,"",IFERROR(VLOOKUP($A87,'LEGEND&amp;DATA'!$E$20:$F$90,2,FALSE),""))</f>
        <v/>
      </c>
      <c r="C87" s="15" t="str">
        <f>IFERROR(VLOOKUP($B87,'LEGEND&amp;DATA'!$F$20:$AB$90,2,FALSE),"")</f>
        <v/>
      </c>
      <c r="D87" s="304" t="str">
        <f>IFERROR(VLOOKUP($B87,'LEGEND&amp;DATA'!$F$20:$AB$90,4,FALSE),"")</f>
        <v/>
      </c>
      <c r="E87" s="127" t="str">
        <f>IFERROR(VLOOKUP($B87,'LEGEND&amp;DATA'!$F$20:$AB$90,8,FALSE),"")</f>
        <v/>
      </c>
      <c r="F87" s="308" t="str">
        <f>IFERROR(VLOOKUP($B87,'LEGEND&amp;DATA'!$F$20:$AB$90,10,FALSE),"")</f>
        <v/>
      </c>
      <c r="G87" s="10" t="str">
        <f>IFERROR(VLOOKUP($B87,'LEGEND&amp;DATA'!$F$20:$AB$90,12,FALSE),"")</f>
        <v/>
      </c>
      <c r="H87" s="317" t="str">
        <f>IFERROR(VLOOKUP($B87,'LEGEND&amp;DATA'!$F$20:$AB$90,14,FALSE),"")</f>
        <v/>
      </c>
      <c r="I87" s="80" t="str">
        <f>IFERROR(VLOOKUP($B87,'LEGEND&amp;DATA'!$F$20:$AB$90,16,FALSE),"")</f>
        <v/>
      </c>
      <c r="J87" s="308" t="str">
        <f>IFERROR(VLOOKUP($B87,'LEGEND&amp;DATA'!$F$20:$AB$90,18,FALSE),"")</f>
        <v>-</v>
      </c>
      <c r="K87" s="317" t="str">
        <f>IFERROR(VLOOKUP($B87,'LEGEND&amp;DATA'!$F$20:$AB$90,20,FALSE),"")</f>
        <v/>
      </c>
      <c r="L87" s="80" t="str">
        <f>IFERROR(VLOOKUP($B87,'LEGEND&amp;DATA'!$F$20:$AB$90,22,FALSE),"")</f>
        <v/>
      </c>
      <c r="M87" s="128" t="str">
        <f>IFERROR(VLOOKUP($B87,'LEGEND&amp;DATA'!$F$20:$AE$90,26,FALSE),"")</f>
        <v/>
      </c>
    </row>
    <row r="88" spans="1:13" x14ac:dyDescent="0.35">
      <c r="A88" s="423">
        <v>68</v>
      </c>
      <c r="B88" s="3" t="str">
        <f>IF($A88&gt;KEY!$B$2,"",IFERROR(VLOOKUP($A88,'LEGEND&amp;DATA'!$E$20:$F$90,2,FALSE),""))</f>
        <v/>
      </c>
      <c r="C88" s="15" t="str">
        <f>IFERROR(VLOOKUP($B88,'LEGEND&amp;DATA'!$F$20:$AB$90,2,FALSE),"")</f>
        <v/>
      </c>
      <c r="D88" s="304" t="str">
        <f>IFERROR(VLOOKUP($B88,'LEGEND&amp;DATA'!$F$20:$AB$90,4,FALSE),"")</f>
        <v/>
      </c>
      <c r="E88" s="127" t="str">
        <f>IFERROR(VLOOKUP($B88,'LEGEND&amp;DATA'!$F$20:$AB$90,8,FALSE),"")</f>
        <v/>
      </c>
      <c r="F88" s="308" t="str">
        <f>IFERROR(VLOOKUP($B88,'LEGEND&amp;DATA'!$F$20:$AB$90,10,FALSE),"")</f>
        <v/>
      </c>
      <c r="G88" s="10" t="str">
        <f>IFERROR(VLOOKUP($B88,'LEGEND&amp;DATA'!$F$20:$AB$90,12,FALSE),"")</f>
        <v/>
      </c>
      <c r="H88" s="317" t="str">
        <f>IFERROR(VLOOKUP($B88,'LEGEND&amp;DATA'!$F$20:$AB$90,14,FALSE),"")</f>
        <v/>
      </c>
      <c r="I88" s="80" t="str">
        <f>IFERROR(VLOOKUP($B88,'LEGEND&amp;DATA'!$F$20:$AB$90,16,FALSE),"")</f>
        <v/>
      </c>
      <c r="J88" s="308" t="str">
        <f>IFERROR(VLOOKUP($B88,'LEGEND&amp;DATA'!$F$20:$AB$90,18,FALSE),"")</f>
        <v>-</v>
      </c>
      <c r="K88" s="317" t="str">
        <f>IFERROR(VLOOKUP($B88,'LEGEND&amp;DATA'!$F$20:$AB$90,20,FALSE),"")</f>
        <v/>
      </c>
      <c r="L88" s="80" t="str">
        <f>IFERROR(VLOOKUP($B88,'LEGEND&amp;DATA'!$F$20:$AB$90,22,FALSE),"")</f>
        <v/>
      </c>
      <c r="M88" s="128" t="str">
        <f>IFERROR(VLOOKUP($B88,'LEGEND&amp;DATA'!$F$20:$AE$90,26,FALSE),"")</f>
        <v/>
      </c>
    </row>
    <row r="89" spans="1:13" x14ac:dyDescent="0.35">
      <c r="A89" s="423">
        <v>69</v>
      </c>
      <c r="B89" s="3" t="str">
        <f>IF($A89&gt;KEY!$B$2,"",IFERROR(VLOOKUP($A89,'LEGEND&amp;DATA'!$E$20:$F$90,2,FALSE),""))</f>
        <v/>
      </c>
      <c r="C89" s="15" t="str">
        <f>IFERROR(VLOOKUP($B89,'LEGEND&amp;DATA'!$F$20:$AB$90,2,FALSE),"")</f>
        <v/>
      </c>
      <c r="D89" s="304" t="str">
        <f>IFERROR(VLOOKUP($B89,'LEGEND&amp;DATA'!$F$20:$AB$90,4,FALSE),"")</f>
        <v/>
      </c>
      <c r="E89" s="127" t="str">
        <f>IFERROR(VLOOKUP($B89,'LEGEND&amp;DATA'!$F$20:$AB$90,8,FALSE),"")</f>
        <v/>
      </c>
      <c r="F89" s="308" t="str">
        <f>IFERROR(VLOOKUP($B89,'LEGEND&amp;DATA'!$F$20:$AB$90,10,FALSE),"")</f>
        <v/>
      </c>
      <c r="G89" s="10" t="str">
        <f>IFERROR(VLOOKUP($B89,'LEGEND&amp;DATA'!$F$20:$AB$90,12,FALSE),"")</f>
        <v/>
      </c>
      <c r="H89" s="317" t="str">
        <f>IFERROR(VLOOKUP($B89,'LEGEND&amp;DATA'!$F$20:$AB$90,14,FALSE),"")</f>
        <v/>
      </c>
      <c r="I89" s="80" t="str">
        <f>IFERROR(VLOOKUP($B89,'LEGEND&amp;DATA'!$F$20:$AB$90,16,FALSE),"")</f>
        <v/>
      </c>
      <c r="J89" s="308" t="str">
        <f>IFERROR(VLOOKUP($B89,'LEGEND&amp;DATA'!$F$20:$AB$90,18,FALSE),"")</f>
        <v>-</v>
      </c>
      <c r="K89" s="317" t="str">
        <f>IFERROR(VLOOKUP($B89,'LEGEND&amp;DATA'!$F$20:$AB$90,20,FALSE),"")</f>
        <v/>
      </c>
      <c r="L89" s="80" t="str">
        <f>IFERROR(VLOOKUP($B89,'LEGEND&amp;DATA'!$F$20:$AB$90,22,FALSE),"")</f>
        <v/>
      </c>
      <c r="M89" s="128" t="str">
        <f>IFERROR(VLOOKUP($B89,'LEGEND&amp;DATA'!$F$20:$AE$90,26,FALSE),"")</f>
        <v/>
      </c>
    </row>
    <row r="90" spans="1:13" x14ac:dyDescent="0.35">
      <c r="A90" s="423">
        <v>70</v>
      </c>
      <c r="B90" s="3" t="str">
        <f>IF($A90&gt;KEY!$B$2,"",IFERROR(VLOOKUP($A90,'LEGEND&amp;DATA'!$E$20:$F$90,2,FALSE),""))</f>
        <v/>
      </c>
      <c r="C90" s="15" t="str">
        <f>IFERROR(VLOOKUP($B90,'LEGEND&amp;DATA'!$F$20:$AB$90,2,FALSE),"")</f>
        <v/>
      </c>
      <c r="D90" s="304" t="str">
        <f>IFERROR(VLOOKUP($B90,'LEGEND&amp;DATA'!$F$20:$AB$90,4,FALSE),"")</f>
        <v/>
      </c>
      <c r="E90" s="127" t="str">
        <f>IFERROR(VLOOKUP($B90,'LEGEND&amp;DATA'!$F$20:$AB$90,8,FALSE),"")</f>
        <v/>
      </c>
      <c r="F90" s="308" t="str">
        <f>IFERROR(VLOOKUP($B90,'LEGEND&amp;DATA'!$F$20:$AB$90,10,FALSE),"")</f>
        <v/>
      </c>
      <c r="G90" s="10" t="str">
        <f>IFERROR(VLOOKUP($B90,'LEGEND&amp;DATA'!$F$20:$AB$90,12,FALSE),"")</f>
        <v/>
      </c>
      <c r="H90" s="317" t="str">
        <f>IFERROR(VLOOKUP($B90,'LEGEND&amp;DATA'!$F$20:$AB$90,14,FALSE),"")</f>
        <v/>
      </c>
      <c r="I90" s="80" t="str">
        <f>IFERROR(VLOOKUP($B90,'LEGEND&amp;DATA'!$F$20:$AB$90,16,FALSE),"")</f>
        <v/>
      </c>
      <c r="J90" s="308" t="str">
        <f>IFERROR(VLOOKUP($B90,'LEGEND&amp;DATA'!$F$20:$AB$90,18,FALSE),"")</f>
        <v>-</v>
      </c>
      <c r="K90" s="317" t="str">
        <f>IFERROR(VLOOKUP($B90,'LEGEND&amp;DATA'!$F$20:$AB$90,20,FALSE),"")</f>
        <v/>
      </c>
      <c r="L90" s="80" t="str">
        <f>IFERROR(VLOOKUP($B90,'LEGEND&amp;DATA'!$F$20:$AB$90,22,FALSE),"")</f>
        <v/>
      </c>
      <c r="M90" s="128" t="str">
        <f>IFERROR(VLOOKUP($B90,'LEGEND&amp;DATA'!$F$20:$AE$90,26,FALSE),"")</f>
        <v/>
      </c>
    </row>
  </sheetData>
  <mergeCells count="1">
    <mergeCell ref="C2:E2"/>
  </mergeCells>
  <conditionalFormatting sqref="B21:M90">
    <cfRule type="expression" dxfId="0" priority="1">
      <formula>$B21=""</formula>
    </cfRule>
  </conditionalFormatting>
  <conditionalFormatting sqref="M6:M90">
    <cfRule type="colorScale" priority="2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2565-1A9A-2A49-89CF-0DF48533CCEA}">
  <sheetPr codeName="Sheet2">
    <pageSetUpPr fitToPage="1"/>
  </sheetPr>
  <dimension ref="A1:P66"/>
  <sheetViews>
    <sheetView showGridLines="0" zoomScaleNormal="100" workbookViewId="0">
      <pane ySplit="7" topLeftCell="A8" activePane="bottomLeft" state="frozen"/>
      <selection activeCell="H60" sqref="H60"/>
      <selection pane="bottomLeft" activeCell="D5" sqref="D5:E5"/>
    </sheetView>
  </sheetViews>
  <sheetFormatPr defaultColWidth="10.83203125" defaultRowHeight="15.5" x14ac:dyDescent="0.35"/>
  <cols>
    <col min="1" max="1" width="1.83203125" style="86" customWidth="1"/>
    <col min="2" max="2" width="19.58203125" style="86" hidden="1" customWidth="1"/>
    <col min="3" max="3" width="35.83203125" style="1" customWidth="1"/>
    <col min="4" max="10" width="18.33203125" style="1" customWidth="1"/>
    <col min="11" max="11" width="18.33203125" style="1" hidden="1" customWidth="1"/>
    <col min="12" max="13" width="18.33203125" style="1" customWidth="1"/>
    <col min="14" max="14" width="18.83203125" style="1" customWidth="1"/>
    <col min="15" max="16384" width="10.83203125" style="1"/>
  </cols>
  <sheetData>
    <row r="1" spans="1:16" ht="10" customHeight="1" x14ac:dyDescent="0.35"/>
    <row r="2" spans="1:16" ht="30" customHeight="1" x14ac:dyDescent="0.6">
      <c r="C2" s="2" t="s">
        <v>14</v>
      </c>
    </row>
    <row r="3" spans="1:16" ht="21" customHeight="1" x14ac:dyDescent="0.4">
      <c r="C3" s="249">
        <f>WORKSHEET!F4</f>
        <v>45992</v>
      </c>
    </row>
    <row r="4" spans="1:16" ht="10" customHeight="1" thickBot="1" x14ac:dyDescent="0.65">
      <c r="C4" s="2"/>
    </row>
    <row r="5" spans="1:16" ht="24" customHeight="1" thickBot="1" x14ac:dyDescent="0.4">
      <c r="C5" s="294" t="s">
        <v>15</v>
      </c>
      <c r="D5" s="477" t="s">
        <v>16</v>
      </c>
      <c r="E5" s="478"/>
      <c r="F5" s="295" t="s">
        <v>17</v>
      </c>
    </row>
    <row r="6" spans="1:16" x14ac:dyDescent="0.35">
      <c r="C6" s="23"/>
    </row>
    <row r="7" spans="1:16" ht="45" customHeight="1" thickBot="1" x14ac:dyDescent="0.4">
      <c r="C7" s="17" t="s">
        <v>1</v>
      </c>
      <c r="D7" s="132" t="str">
        <f>'BY REGION'!C6</f>
        <v>Retail Sales Units 
% YOY</v>
      </c>
      <c r="E7" s="296" t="str">
        <f>'BY REGION'!D6</f>
        <v>’25 Q3 Training Attendance %/Goal</v>
      </c>
      <c r="F7" s="131" t="str">
        <f>'BY REGION'!E6</f>
        <v>VIP Sold Average 
per Month PP</v>
      </c>
      <c r="G7" s="305" t="str">
        <f>'BY REGION'!F6</f>
        <v>'25 Q3 Mystery 
Shop Average 
Score %</v>
      </c>
      <c r="H7" s="129" t="str">
        <f>'BY REGION'!G6</f>
        <v>Internet 
Closing %</v>
      </c>
      <c r="I7" s="309" t="str">
        <f>'BY REGION'!H6</f>
        <v>Phone Closing %</v>
      </c>
      <c r="J7" s="130" t="str">
        <f>'BY REGION'!I6</f>
        <v>PAG Lease Portal 
Dealership 
Retention %</v>
      </c>
      <c r="K7" s="309" t="s">
        <v>9</v>
      </c>
      <c r="L7" s="309" t="str">
        <f>'BY REGION'!K6</f>
        <v>% Appointment 
Set to Goal</v>
      </c>
      <c r="M7" s="130" t="str">
        <f>'BY REGION'!L6</f>
        <v>% Appointment 
Sold to Total Sold</v>
      </c>
      <c r="N7" s="256" t="str">
        <f>'BY REGION'!M6</f>
        <v>Adjusted Score</v>
      </c>
    </row>
    <row r="8" spans="1:16" s="87" customFormat="1" ht="5.15" customHeight="1" thickTop="1" x14ac:dyDescent="0.35">
      <c r="A8" s="92"/>
      <c r="B8" s="92"/>
      <c r="C8" s="153"/>
      <c r="D8" s="154"/>
      <c r="E8" s="297"/>
      <c r="F8" s="155"/>
      <c r="G8" s="297"/>
      <c r="H8" s="154"/>
      <c r="I8" s="310"/>
      <c r="J8" s="156"/>
      <c r="K8" s="310"/>
      <c r="L8" s="310"/>
      <c r="M8" s="156"/>
      <c r="N8" s="157"/>
    </row>
    <row r="9" spans="1:16" s="87" customFormat="1" ht="24" customHeight="1" x14ac:dyDescent="0.35">
      <c r="A9" s="92"/>
      <c r="B9" s="92"/>
      <c r="C9" s="115" t="s">
        <v>18</v>
      </c>
      <c r="D9" s="116">
        <f>IFERROR(VLOOKUP($D$5,'LEGEND&amp;DATA'!$F$92:$AE$100,2,FALSE),"-")</f>
        <v>0.96024096385542168</v>
      </c>
      <c r="E9" s="298">
        <f>IFERROR(VLOOKUP($D$5,'LEGEND&amp;DATA'!$F$92:$AE$100,4,FALSE),"-")</f>
        <v>2.3085501858736057</v>
      </c>
      <c r="F9" s="117">
        <f>IFERROR(VLOOKUP($D$5,'LEGEND&amp;DATA'!$F$92:$AE$100,8,FALSE),"-")</f>
        <v>2.442622950819672</v>
      </c>
      <c r="G9" s="306">
        <f>IFERROR(VLOOKUP($D$5,'LEGEND&amp;DATA'!$F$92:$AE$100,10,FALSE),"-")</f>
        <v>0.79861111111111116</v>
      </c>
      <c r="H9" s="118">
        <f>IFERROR(VLOOKUP($D$5,'LEGEND&amp;DATA'!$F$92:$AE$100,12,FALSE),"-")</f>
        <v>0.16151202749140894</v>
      </c>
      <c r="I9" s="311">
        <f>IFERROR(VLOOKUP($D$5,'LEGEND&amp;DATA'!$F$92:$AE$100,14,FALSE),"-")</f>
        <v>0.21628498727735368</v>
      </c>
      <c r="J9" s="119">
        <f>IFERROR(VLOOKUP($D$5,'LEGEND&amp;DATA'!$F$92:$AE$100,16,FALSE),"-")</f>
        <v>0.6875</v>
      </c>
      <c r="K9" s="311" t="str">
        <f>IFERROR(VLOOKUP($D$5,'LEGEND&amp;DATA'!$F$92:$AE$100,18,FALSE),"-")</f>
        <v>-</v>
      </c>
      <c r="L9" s="311">
        <f>IFERROR(VLOOKUP($D$5,'LEGEND&amp;DATA'!$F$92:$AE$100,20,FALSE),"-")</f>
        <v>0.96731358529111333</v>
      </c>
      <c r="M9" s="119">
        <f>IFERROR(VLOOKUP($D$5,'LEGEND&amp;DATA'!$F$92:$AE$100,22,FALSE),"-")</f>
        <v>0.65791632485643969</v>
      </c>
      <c r="N9" s="120">
        <f>IFERROR(VLOOKUP($D$5,'LEGEND&amp;DATA'!$F$92:$AE$100,26,FALSE),"-")</f>
        <v>0.82871212121212101</v>
      </c>
    </row>
    <row r="10" spans="1:16" s="87" customFormat="1" ht="5.15" customHeight="1" thickBot="1" x14ac:dyDescent="0.4">
      <c r="A10" s="92"/>
      <c r="B10" s="92"/>
      <c r="C10" s="133"/>
      <c r="D10" s="145"/>
      <c r="E10" s="299"/>
      <c r="F10" s="146"/>
      <c r="G10" s="299"/>
      <c r="H10" s="145"/>
      <c r="I10" s="312"/>
      <c r="J10" s="147"/>
      <c r="K10" s="312"/>
      <c r="L10" s="312"/>
      <c r="M10" s="147"/>
      <c r="N10" s="148"/>
    </row>
    <row r="11" spans="1:16" s="87" customFormat="1" ht="5.15" customHeight="1" x14ac:dyDescent="0.35">
      <c r="A11" s="92"/>
      <c r="B11" s="92"/>
      <c r="C11" s="134"/>
      <c r="D11" s="149"/>
      <c r="E11" s="300"/>
      <c r="F11" s="150"/>
      <c r="G11" s="300"/>
      <c r="H11" s="149"/>
      <c r="I11" s="313"/>
      <c r="J11" s="151"/>
      <c r="K11" s="313"/>
      <c r="L11" s="313"/>
      <c r="M11" s="151"/>
      <c r="N11" s="152"/>
    </row>
    <row r="12" spans="1:16" ht="16" customHeight="1" x14ac:dyDescent="0.35">
      <c r="A12" s="86">
        <v>1</v>
      </c>
      <c r="B12" s="86" t="str">
        <f>$D$5&amp;"-"&amp;A12</f>
        <v>Arizona-1</v>
      </c>
      <c r="C12" s="3" t="str">
        <f>IFERROR(VLOOKUP(B12,'LEGEND&amp;DATA'!$AF$20:$AG$90,2,FALSE),"")</f>
        <v>Bentley Scottsdale</v>
      </c>
      <c r="D12" s="15">
        <f>IFERROR(VLOOKUP($C12,'LEGEND&amp;DATA'!$F$20:$AB$90,2,FALSE),"")</f>
        <v>1.173913043478261</v>
      </c>
      <c r="E12" s="304">
        <f>IFERROR(VLOOKUP($C12,'LEGEND&amp;DATA'!$F$20:$AB$90,4,FALSE),"")</f>
        <v>1</v>
      </c>
      <c r="F12" s="127">
        <f>IFERROR(VLOOKUP($C12,'LEGEND&amp;DATA'!$F$20:$AB$90,8,FALSE),"")</f>
        <v>2</v>
      </c>
      <c r="G12" s="308">
        <f>IFERROR(VLOOKUP($C12,'LEGEND&amp;DATA'!$F$20:$AB$90,10,FALSE),"")</f>
        <v>1</v>
      </c>
      <c r="H12" s="10">
        <f>IFERROR(VLOOKUP($C12,'LEGEND&amp;DATA'!$F$20:$AB$90,12,FALSE),"")</f>
        <v>0.19444444444444445</v>
      </c>
      <c r="I12" s="317">
        <f>IFERROR(VLOOKUP($C12,'LEGEND&amp;DATA'!$F$20:$AB$90,14,FALSE),"")</f>
        <v>0.43478260869565216</v>
      </c>
      <c r="J12" s="80" t="str">
        <f>IFERROR(VLOOKUP($C12,'LEGEND&amp;DATA'!$F$20:$AB$90,16,FALSE),"")</f>
        <v>N/A</v>
      </c>
      <c r="K12" s="308" t="str">
        <f>IFERROR(VLOOKUP($C12,'LEGEND&amp;DATA'!$F$20:$AB$90,18,FALSE),"")</f>
        <v>-</v>
      </c>
      <c r="L12" s="317">
        <f>IFERROR(VLOOKUP($C12,'LEGEND&amp;DATA'!$F$20:$AB$90,20,FALSE),"")</f>
        <v>2.6666666666666665</v>
      </c>
      <c r="M12" s="80">
        <f>IFERROR(VLOOKUP($C12,'LEGEND&amp;DATA'!$F$20:$AB$90,22,FALSE),"")</f>
        <v>0.5714285714285714</v>
      </c>
      <c r="N12" s="128">
        <f>IFERROR(VLOOKUP($C12,'LEGEND&amp;DATA'!$F$20:$AE$90,26,FALSE),"")</f>
        <v>1</v>
      </c>
      <c r="O12" s="9"/>
      <c r="P12" s="319"/>
    </row>
    <row r="13" spans="1:16" ht="16" customHeight="1" x14ac:dyDescent="0.35">
      <c r="A13" s="86">
        <v>2</v>
      </c>
      <c r="B13" s="86" t="str">
        <f t="shared" ref="B13:B66" si="0">$D$5&amp;"-"&amp;A13</f>
        <v>Arizona-2</v>
      </c>
      <c r="C13" s="3" t="str">
        <f>IFERROR(VLOOKUP(B13,'LEGEND&amp;DATA'!$AF$20:$AG$90,2,FALSE),"")</f>
        <v>Mercedes-Benz of North Scottsdale</v>
      </c>
      <c r="D13" s="15">
        <f>IFERROR(VLOOKUP($C13,'LEGEND&amp;DATA'!$F$20:$AB$90,2,FALSE),"")</f>
        <v>0.95986622073578598</v>
      </c>
      <c r="E13" s="304">
        <f>IFERROR(VLOOKUP($C13,'LEGEND&amp;DATA'!$F$20:$AB$90,4,FALSE),"")</f>
        <v>3.3684210526315788</v>
      </c>
      <c r="F13" s="127">
        <f>IFERROR(VLOOKUP($C13,'LEGEND&amp;DATA'!$F$20:$AB$90,8,FALSE),"")</f>
        <v>2.8333333333333335</v>
      </c>
      <c r="G13" s="308">
        <f>IFERROR(VLOOKUP($C13,'LEGEND&amp;DATA'!$F$20:$AB$90,10,FALSE),"")</f>
        <v>1</v>
      </c>
      <c r="H13" s="10">
        <f>IFERROR(VLOOKUP($C13,'LEGEND&amp;DATA'!$F$20:$AB$90,12,FALSE),"")</f>
        <v>0.14285714285714285</v>
      </c>
      <c r="I13" s="317">
        <f>IFERROR(VLOOKUP($C13,'LEGEND&amp;DATA'!$F$20:$AB$90,14,FALSE),"")</f>
        <v>0.28440366972477066</v>
      </c>
      <c r="J13" s="80">
        <f>IFERROR(VLOOKUP($C13,'LEGEND&amp;DATA'!$F$20:$AB$90,16,FALSE),"")</f>
        <v>0.8125</v>
      </c>
      <c r="K13" s="308" t="str">
        <f>IFERROR(VLOOKUP($C13,'LEGEND&amp;DATA'!$F$20:$AB$90,18,FALSE),"")</f>
        <v>-</v>
      </c>
      <c r="L13" s="317">
        <f>IFERROR(VLOOKUP($C13,'LEGEND&amp;DATA'!$F$20:$AB$90,20,FALSE),"")</f>
        <v>0.89393939393939392</v>
      </c>
      <c r="M13" s="80">
        <f>IFERROR(VLOOKUP($C13,'LEGEND&amp;DATA'!$F$20:$AB$90,22,FALSE),"")</f>
        <v>0.64451827242524917</v>
      </c>
      <c r="N13" s="128">
        <f>IFERROR(VLOOKUP($C13,'LEGEND&amp;DATA'!$F$20:$AE$90,26,FALSE),"")</f>
        <v>0.96</v>
      </c>
      <c r="O13" s="9"/>
    </row>
    <row r="14" spans="1:16" ht="16" customHeight="1" x14ac:dyDescent="0.35">
      <c r="A14" s="86">
        <v>3</v>
      </c>
      <c r="B14" s="86" t="str">
        <f t="shared" si="0"/>
        <v>Arizona-3</v>
      </c>
      <c r="C14" s="3" t="str">
        <f>IFERROR(VLOOKUP(B14,'LEGEND&amp;DATA'!$AF$20:$AG$90,2,FALSE),"")</f>
        <v>Toyota of Surprise</v>
      </c>
      <c r="D14" s="15">
        <f>IFERROR(VLOOKUP($C14,'LEGEND&amp;DATA'!$F$20:$AB$90,2,FALSE),"")</f>
        <v>0.95962732919254656</v>
      </c>
      <c r="E14" s="304">
        <f>IFERROR(VLOOKUP($C14,'LEGEND&amp;DATA'!$F$20:$AB$90,4,FALSE),"")</f>
        <v>3</v>
      </c>
      <c r="F14" s="127">
        <f>IFERROR(VLOOKUP($C14,'LEGEND&amp;DATA'!$F$20:$AB$90,8,FALSE),"")</f>
        <v>2.6</v>
      </c>
      <c r="G14" s="308">
        <f>IFERROR(VLOOKUP($C14,'LEGEND&amp;DATA'!$F$20:$AB$90,10,FALSE),"")</f>
        <v>1</v>
      </c>
      <c r="H14" s="10">
        <f>IFERROR(VLOOKUP($C14,'LEGEND&amp;DATA'!$F$20:$AB$90,12,FALSE),"")</f>
        <v>0.14532019704433496</v>
      </c>
      <c r="I14" s="317">
        <f>IFERROR(VLOOKUP($C14,'LEGEND&amp;DATA'!$F$20:$AB$90,14,FALSE),"")</f>
        <v>0.32758620689655171</v>
      </c>
      <c r="J14" s="80">
        <f>IFERROR(VLOOKUP($C14,'LEGEND&amp;DATA'!$F$20:$AB$90,16,FALSE),"")</f>
        <v>1</v>
      </c>
      <c r="K14" s="308" t="str">
        <f>IFERROR(VLOOKUP($C14,'LEGEND&amp;DATA'!$F$20:$AB$90,18,FALSE),"")</f>
        <v>-</v>
      </c>
      <c r="L14" s="317">
        <f>IFERROR(VLOOKUP($C14,'LEGEND&amp;DATA'!$F$20:$AB$90,20,FALSE),"")</f>
        <v>0.86136363636363633</v>
      </c>
      <c r="M14" s="80">
        <f>IFERROR(VLOOKUP($C14,'LEGEND&amp;DATA'!$F$20:$AB$90,22,FALSE),"")</f>
        <v>0.50613496932515334</v>
      </c>
      <c r="N14" s="128">
        <f>IFERROR(VLOOKUP($C14,'LEGEND&amp;DATA'!$F$20:$AE$90,26,FALSE),"")</f>
        <v>0.96</v>
      </c>
      <c r="O14" s="9"/>
    </row>
    <row r="15" spans="1:16" ht="16" customHeight="1" x14ac:dyDescent="0.35">
      <c r="A15" s="86">
        <v>4</v>
      </c>
      <c r="B15" s="86" t="str">
        <f t="shared" si="0"/>
        <v>Arizona-4</v>
      </c>
      <c r="C15" s="3" t="str">
        <f>IFERROR(VLOOKUP(B15,'LEGEND&amp;DATA'!$AF$20:$AG$90,2,FALSE),"")</f>
        <v>Porsche North Scottsdale</v>
      </c>
      <c r="D15" s="15">
        <f>IFERROR(VLOOKUP($C15,'LEGEND&amp;DATA'!$F$20:$AB$90,2,FALSE),"")</f>
        <v>1.1764705882352942</v>
      </c>
      <c r="E15" s="304">
        <f>IFERROR(VLOOKUP($C15,'LEGEND&amp;DATA'!$F$20:$AB$90,4,FALSE),"")</f>
        <v>2.8536585365853662</v>
      </c>
      <c r="F15" s="127">
        <f>IFERROR(VLOOKUP($C15,'LEGEND&amp;DATA'!$F$20:$AB$90,8,FALSE),"")</f>
        <v>4.5</v>
      </c>
      <c r="G15" s="308">
        <f>IFERROR(VLOOKUP($C15,'LEGEND&amp;DATA'!$F$20:$AB$90,10,FALSE),"")</f>
        <v>1</v>
      </c>
      <c r="H15" s="10">
        <f>IFERROR(VLOOKUP($C15,'LEGEND&amp;DATA'!$F$20:$AB$90,12,FALSE),"")</f>
        <v>0.17277486910994763</v>
      </c>
      <c r="I15" s="317">
        <f>IFERROR(VLOOKUP($C15,'LEGEND&amp;DATA'!$F$20:$AB$90,14,FALSE),"")</f>
        <v>0.1553398058252427</v>
      </c>
      <c r="J15" s="80">
        <f>IFERROR(VLOOKUP($C15,'LEGEND&amp;DATA'!$F$20:$AB$90,16,FALSE),"")</f>
        <v>0.75</v>
      </c>
      <c r="K15" s="308" t="str">
        <f>IFERROR(VLOOKUP($C15,'LEGEND&amp;DATA'!$F$20:$AB$90,18,FALSE),"")</f>
        <v>-</v>
      </c>
      <c r="L15" s="317">
        <f>IFERROR(VLOOKUP($C15,'LEGEND&amp;DATA'!$F$20:$AB$90,20,FALSE),"")</f>
        <v>1.4053030303030303</v>
      </c>
      <c r="M15" s="80">
        <f>IFERROR(VLOOKUP($C15,'LEGEND&amp;DATA'!$F$20:$AB$90,22,FALSE),"")</f>
        <v>0.62264150943396224</v>
      </c>
      <c r="N15" s="128">
        <f>IFERROR(VLOOKUP($C15,'LEGEND&amp;DATA'!$F$20:$AE$90,26,FALSE),"")</f>
        <v>0.94</v>
      </c>
      <c r="O15" s="9"/>
    </row>
    <row r="16" spans="1:16" ht="16" customHeight="1" x14ac:dyDescent="0.35">
      <c r="A16" s="86">
        <v>5</v>
      </c>
      <c r="B16" s="86" t="str">
        <f t="shared" si="0"/>
        <v>Arizona-5</v>
      </c>
      <c r="C16" s="3" t="str">
        <f>IFERROR(VLOOKUP(B16,'LEGEND&amp;DATA'!$AF$20:$AG$90,2,FALSE),"")</f>
        <v>Mercedes-Benz of Chandler</v>
      </c>
      <c r="D16" s="15">
        <f>IFERROR(VLOOKUP($C16,'LEGEND&amp;DATA'!$F$20:$AB$90,2,FALSE),"")</f>
        <v>1.3246753246753247</v>
      </c>
      <c r="E16" s="304">
        <f>IFERROR(VLOOKUP($C16,'LEGEND&amp;DATA'!$F$20:$AB$90,4,FALSE),"")</f>
        <v>2.7692307692307696</v>
      </c>
      <c r="F16" s="127">
        <f>IFERROR(VLOOKUP($C16,'LEGEND&amp;DATA'!$F$20:$AB$90,8,FALSE),"")</f>
        <v>1.7777777777777777</v>
      </c>
      <c r="G16" s="308">
        <f>IFERROR(VLOOKUP($C16,'LEGEND&amp;DATA'!$F$20:$AB$90,10,FALSE),"")</f>
        <v>1</v>
      </c>
      <c r="H16" s="10">
        <f>IFERROR(VLOOKUP($C16,'LEGEND&amp;DATA'!$F$20:$AB$90,12,FALSE),"")</f>
        <v>0.13934426229508196</v>
      </c>
      <c r="I16" s="317">
        <f>IFERROR(VLOOKUP($C16,'LEGEND&amp;DATA'!$F$20:$AB$90,14,FALSE),"")</f>
        <v>0.2247191011235955</v>
      </c>
      <c r="J16" s="80">
        <f>IFERROR(VLOOKUP($C16,'LEGEND&amp;DATA'!$F$20:$AB$90,16,FALSE),"")</f>
        <v>0.66666666666666663</v>
      </c>
      <c r="K16" s="308" t="str">
        <f>IFERROR(VLOOKUP($C16,'LEGEND&amp;DATA'!$F$20:$AB$90,18,FALSE),"")</f>
        <v>-</v>
      </c>
      <c r="L16" s="317">
        <f>IFERROR(VLOOKUP($C16,'LEGEND&amp;DATA'!$F$20:$AB$90,20,FALSE),"")</f>
        <v>0.84848484848484851</v>
      </c>
      <c r="M16" s="80">
        <f>IFERROR(VLOOKUP($C16,'LEGEND&amp;DATA'!$F$20:$AB$90,22,FALSE),"")</f>
        <v>0.73076923076923073</v>
      </c>
      <c r="N16" s="128">
        <f>IFERROR(VLOOKUP($C16,'LEGEND&amp;DATA'!$F$20:$AE$90,26,FALSE),"")</f>
        <v>0.91</v>
      </c>
      <c r="O16" s="9"/>
    </row>
    <row r="17" spans="1:16" ht="16" customHeight="1" x14ac:dyDescent="0.35">
      <c r="A17" s="86">
        <v>6</v>
      </c>
      <c r="B17" s="86" t="str">
        <f t="shared" si="0"/>
        <v>Arizona-6</v>
      </c>
      <c r="C17" s="3" t="str">
        <f>IFERROR(VLOOKUP(B17,'LEGEND&amp;DATA'!$AF$20:$AG$90,2,FALSE),"")</f>
        <v>Audi North Scottsdale</v>
      </c>
      <c r="D17" s="15">
        <f>IFERROR(VLOOKUP($C17,'LEGEND&amp;DATA'!$F$20:$AB$90,2,FALSE),"")</f>
        <v>1.0070422535211268</v>
      </c>
      <c r="E17" s="304">
        <f>IFERROR(VLOOKUP($C17,'LEGEND&amp;DATA'!$F$20:$AB$90,4,FALSE),"")</f>
        <v>0.9375</v>
      </c>
      <c r="F17" s="127">
        <f>IFERROR(VLOOKUP($C17,'LEGEND&amp;DATA'!$F$20:$AB$90,8,FALSE),"")</f>
        <v>2.5</v>
      </c>
      <c r="G17" s="308">
        <f>IFERROR(VLOOKUP($C17,'LEGEND&amp;DATA'!$F$20:$AB$90,10,FALSE),"")</f>
        <v>1</v>
      </c>
      <c r="H17" s="10">
        <f>IFERROR(VLOOKUP($C17,'LEGEND&amp;DATA'!$F$20:$AB$90,12,FALSE),"")</f>
        <v>0.13898305084745763</v>
      </c>
      <c r="I17" s="317">
        <f>IFERROR(VLOOKUP($C17,'LEGEND&amp;DATA'!$F$20:$AB$90,14,FALSE),"")</f>
        <v>0.18461538461538463</v>
      </c>
      <c r="J17" s="80">
        <f>IFERROR(VLOOKUP($C17,'LEGEND&amp;DATA'!$F$20:$AB$90,16,FALSE),"")</f>
        <v>0.5714285714285714</v>
      </c>
      <c r="K17" s="308" t="str">
        <f>IFERROR(VLOOKUP($C17,'LEGEND&amp;DATA'!$F$20:$AB$90,18,FALSE),"")</f>
        <v>-</v>
      </c>
      <c r="L17" s="317">
        <f>IFERROR(VLOOKUP($C17,'LEGEND&amp;DATA'!$F$20:$AB$90,20,FALSE),"")</f>
        <v>0.89090909090909087</v>
      </c>
      <c r="M17" s="80">
        <f>IFERROR(VLOOKUP($C17,'LEGEND&amp;DATA'!$F$20:$AB$90,22,FALSE),"")</f>
        <v>0.68531468531468531</v>
      </c>
      <c r="N17" s="128">
        <f>IFERROR(VLOOKUP($C17,'LEGEND&amp;DATA'!$F$20:$AE$90,26,FALSE),"")</f>
        <v>0.88</v>
      </c>
      <c r="O17" s="9"/>
    </row>
    <row r="18" spans="1:16" ht="16" customHeight="1" x14ac:dyDescent="0.35">
      <c r="A18" s="86">
        <v>7</v>
      </c>
      <c r="B18" s="86" t="str">
        <f t="shared" si="0"/>
        <v>Arizona-7</v>
      </c>
      <c r="C18" s="3" t="str">
        <f>IFERROR(VLOOKUP(B18,'LEGEND&amp;DATA'!$AF$20:$AG$90,2,FALSE),"")</f>
        <v>Lexus of Chandler</v>
      </c>
      <c r="D18" s="15">
        <f>IFERROR(VLOOKUP($C18,'LEGEND&amp;DATA'!$F$20:$AB$90,2,FALSE),"")</f>
        <v>1.3364485981308412</v>
      </c>
      <c r="E18" s="304">
        <f>IFERROR(VLOOKUP($C18,'LEGEND&amp;DATA'!$F$20:$AB$90,4,FALSE),"")</f>
        <v>3.5454545454545454</v>
      </c>
      <c r="F18" s="127">
        <f>IFERROR(VLOOKUP($C18,'LEGEND&amp;DATA'!$F$20:$AB$90,8,FALSE),"")</f>
        <v>2</v>
      </c>
      <c r="G18" s="308">
        <f>IFERROR(VLOOKUP($C18,'LEGEND&amp;DATA'!$F$20:$AB$90,10,FALSE),"")</f>
        <v>0.5</v>
      </c>
      <c r="H18" s="10">
        <f>IFERROR(VLOOKUP($C18,'LEGEND&amp;DATA'!$F$20:$AB$90,12,FALSE),"")</f>
        <v>0.13680781758957655</v>
      </c>
      <c r="I18" s="317">
        <f>IFERROR(VLOOKUP($C18,'LEGEND&amp;DATA'!$F$20:$AB$90,14,FALSE),"")</f>
        <v>0.21379310344827587</v>
      </c>
      <c r="J18" s="80">
        <f>IFERROR(VLOOKUP($C18,'LEGEND&amp;DATA'!$F$20:$AB$90,16,FALSE),"")</f>
        <v>0.5</v>
      </c>
      <c r="K18" s="308" t="str">
        <f>IFERROR(VLOOKUP($C18,'LEGEND&amp;DATA'!$F$20:$AB$90,18,FALSE),"")</f>
        <v>-</v>
      </c>
      <c r="L18" s="317">
        <f>IFERROR(VLOOKUP($C18,'LEGEND&amp;DATA'!$F$20:$AB$90,20,FALSE),"")</f>
        <v>1.0656565656565657</v>
      </c>
      <c r="M18" s="80">
        <f>IFERROR(VLOOKUP($C18,'LEGEND&amp;DATA'!$F$20:$AB$90,22,FALSE),"")</f>
        <v>0.75</v>
      </c>
      <c r="N18" s="128">
        <f>IFERROR(VLOOKUP($C18,'LEGEND&amp;DATA'!$F$20:$AE$90,26,FALSE),"")</f>
        <v>0.86</v>
      </c>
      <c r="O18" s="9"/>
    </row>
    <row r="19" spans="1:16" ht="16" customHeight="1" x14ac:dyDescent="0.35">
      <c r="A19" s="86">
        <v>8</v>
      </c>
      <c r="B19" s="86" t="str">
        <f t="shared" si="0"/>
        <v>Arizona-8</v>
      </c>
      <c r="C19" s="3" t="str">
        <f>IFERROR(VLOOKUP(B19,'LEGEND&amp;DATA'!$AF$20:$AG$90,2,FALSE),"")</f>
        <v>Volkswagen North Scottsdale</v>
      </c>
      <c r="D19" s="15">
        <f>IFERROR(VLOOKUP($C19,'LEGEND&amp;DATA'!$F$20:$AB$90,2,FALSE),"")</f>
        <v>0.91139240506329111</v>
      </c>
      <c r="E19" s="304">
        <f>IFERROR(VLOOKUP($C19,'LEGEND&amp;DATA'!$F$20:$AB$90,4,FALSE),"")</f>
        <v>1.736842105263158</v>
      </c>
      <c r="F19" s="127">
        <f>IFERROR(VLOOKUP($C19,'LEGEND&amp;DATA'!$F$20:$AB$90,8,FALSE),"")</f>
        <v>2.1666666666666665</v>
      </c>
      <c r="G19" s="308">
        <f>IFERROR(VLOOKUP($C19,'LEGEND&amp;DATA'!$F$20:$AB$90,10,FALSE),"")</f>
        <v>0.5</v>
      </c>
      <c r="H19" s="10">
        <f>IFERROR(VLOOKUP($C19,'LEGEND&amp;DATA'!$F$20:$AB$90,12,FALSE),"")</f>
        <v>0.15217391304347827</v>
      </c>
      <c r="I19" s="317">
        <f>IFERROR(VLOOKUP($C19,'LEGEND&amp;DATA'!$F$20:$AB$90,14,FALSE),"")</f>
        <v>0.28888888888888886</v>
      </c>
      <c r="J19" s="80">
        <f>IFERROR(VLOOKUP($C19,'LEGEND&amp;DATA'!$F$20:$AB$90,16,FALSE),"")</f>
        <v>1</v>
      </c>
      <c r="K19" s="308" t="str">
        <f>IFERROR(VLOOKUP($C19,'LEGEND&amp;DATA'!$F$20:$AB$90,18,FALSE),"")</f>
        <v>-</v>
      </c>
      <c r="L19" s="317">
        <f>IFERROR(VLOOKUP($C19,'LEGEND&amp;DATA'!$F$20:$AB$90,20,FALSE),"")</f>
        <v>0.71969696969696972</v>
      </c>
      <c r="M19" s="80">
        <f>IFERROR(VLOOKUP($C19,'LEGEND&amp;DATA'!$F$20:$AB$90,22,FALSE),"")</f>
        <v>0.72602739726027399</v>
      </c>
      <c r="N19" s="128">
        <f>IFERROR(VLOOKUP($C19,'LEGEND&amp;DATA'!$F$20:$AE$90,26,FALSE),"")</f>
        <v>0.85</v>
      </c>
      <c r="O19" s="9"/>
    </row>
    <row r="20" spans="1:16" ht="16" customHeight="1" x14ac:dyDescent="0.35">
      <c r="A20" s="86">
        <v>9</v>
      </c>
      <c r="B20" s="86" t="str">
        <f t="shared" si="0"/>
        <v>Arizona-9</v>
      </c>
      <c r="C20" s="3" t="str">
        <f>IFERROR(VLOOKUP(B20,'LEGEND&amp;DATA'!$AF$20:$AG$90,2,FALSE),"")</f>
        <v>Acura North Scottsdale</v>
      </c>
      <c r="D20" s="15">
        <f>IFERROR(VLOOKUP($C20,'LEGEND&amp;DATA'!$F$20:$AB$90,2,FALSE),"")</f>
        <v>0.91566265060240959</v>
      </c>
      <c r="E20" s="304">
        <f>IFERROR(VLOOKUP($C20,'LEGEND&amp;DATA'!$F$20:$AB$90,4,FALSE),"")</f>
        <v>2.125</v>
      </c>
      <c r="F20" s="127">
        <f>IFERROR(VLOOKUP($C20,'LEGEND&amp;DATA'!$F$20:$AB$90,8,FALSE),"")</f>
        <v>2.5714285714285716</v>
      </c>
      <c r="G20" s="308">
        <f>IFERROR(VLOOKUP($C20,'LEGEND&amp;DATA'!$F$20:$AB$90,10,FALSE),"")</f>
        <v>0.75</v>
      </c>
      <c r="H20" s="10">
        <f>IFERROR(VLOOKUP($C20,'LEGEND&amp;DATA'!$F$20:$AB$90,12,FALSE),"")</f>
        <v>0.15753424657534246</v>
      </c>
      <c r="I20" s="317">
        <f>IFERROR(VLOOKUP($C20,'LEGEND&amp;DATA'!$F$20:$AB$90,14,FALSE),"")</f>
        <v>0.19480519480519481</v>
      </c>
      <c r="J20" s="80">
        <f>IFERROR(VLOOKUP($C20,'LEGEND&amp;DATA'!$F$20:$AB$90,16,FALSE),"")</f>
        <v>0.63636363636363635</v>
      </c>
      <c r="K20" s="308" t="str">
        <f>IFERROR(VLOOKUP($C20,'LEGEND&amp;DATA'!$F$20:$AB$90,18,FALSE),"")</f>
        <v>-</v>
      </c>
      <c r="L20" s="317">
        <f>IFERROR(VLOOKUP($C20,'LEGEND&amp;DATA'!$F$20:$AB$90,20,FALSE),"")</f>
        <v>0.79870129870129869</v>
      </c>
      <c r="M20" s="80">
        <f>IFERROR(VLOOKUP($C20,'LEGEND&amp;DATA'!$F$20:$AB$90,22,FALSE),"")</f>
        <v>0.81578947368421051</v>
      </c>
      <c r="N20" s="128">
        <f>IFERROR(VLOOKUP($C20,'LEGEND&amp;DATA'!$F$20:$AE$90,26,FALSE),"")</f>
        <v>0.83</v>
      </c>
      <c r="O20" s="9"/>
    </row>
    <row r="21" spans="1:16" ht="16" customHeight="1" x14ac:dyDescent="0.35">
      <c r="A21" s="86">
        <v>10</v>
      </c>
      <c r="B21" s="86" t="str">
        <f t="shared" si="0"/>
        <v>Arizona-10</v>
      </c>
      <c r="C21" s="3" t="str">
        <f>IFERROR(VLOOKUP(B21,'LEGEND&amp;DATA'!$AF$20:$AG$90,2,FALSE),"")</f>
        <v>MINI North Scottsdale</v>
      </c>
      <c r="D21" s="15">
        <f>IFERROR(VLOOKUP($C21,'LEGEND&amp;DATA'!$F$20:$AB$90,2,FALSE),"")</f>
        <v>1.4516129032258065</v>
      </c>
      <c r="E21" s="304">
        <f>IFERROR(VLOOKUP($C21,'LEGEND&amp;DATA'!$F$20:$AB$90,4,FALSE),"")</f>
        <v>11.25</v>
      </c>
      <c r="F21" s="127">
        <f>IFERROR(VLOOKUP($C21,'LEGEND&amp;DATA'!$F$20:$AB$90,8,FALSE),"")</f>
        <v>1.75</v>
      </c>
      <c r="G21" s="308">
        <f>IFERROR(VLOOKUP($C21,'LEGEND&amp;DATA'!$F$20:$AB$90,10,FALSE),"")</f>
        <v>1</v>
      </c>
      <c r="H21" s="10">
        <f>IFERROR(VLOOKUP($C21,'LEGEND&amp;DATA'!$F$20:$AB$90,12,FALSE),"")</f>
        <v>0.13793103448275862</v>
      </c>
      <c r="I21" s="317">
        <f>IFERROR(VLOOKUP($C21,'LEGEND&amp;DATA'!$F$20:$AB$90,14,FALSE),"")</f>
        <v>0.13636363636363635</v>
      </c>
      <c r="J21" s="80">
        <f>IFERROR(VLOOKUP($C21,'LEGEND&amp;DATA'!$F$20:$AB$90,16,FALSE),"")</f>
        <v>0.5</v>
      </c>
      <c r="K21" s="308" t="str">
        <f>IFERROR(VLOOKUP($C21,'LEGEND&amp;DATA'!$F$20:$AB$90,18,FALSE),"")</f>
        <v>-</v>
      </c>
      <c r="L21" s="317">
        <f>IFERROR(VLOOKUP($C21,'LEGEND&amp;DATA'!$F$20:$AB$90,20,FALSE),"")</f>
        <v>0.97727272727272729</v>
      </c>
      <c r="M21" s="80">
        <f>IFERROR(VLOOKUP($C21,'LEGEND&amp;DATA'!$F$20:$AB$90,22,FALSE),"")</f>
        <v>0.73913043478260865</v>
      </c>
      <c r="N21" s="128">
        <f>IFERROR(VLOOKUP($C21,'LEGEND&amp;DATA'!$F$20:$AE$90,26,FALSE),"")</f>
        <v>0.83</v>
      </c>
      <c r="O21" s="9"/>
    </row>
    <row r="22" spans="1:16" ht="16" customHeight="1" x14ac:dyDescent="0.35">
      <c r="A22" s="86">
        <v>11</v>
      </c>
      <c r="B22" s="86" t="str">
        <f t="shared" si="0"/>
        <v>Arizona-11</v>
      </c>
      <c r="C22" s="3" t="str">
        <f>IFERROR(VLOOKUP(B22,'LEGEND&amp;DATA'!$AF$20:$AG$90,2,FALSE),"")</f>
        <v>Tempe Honda</v>
      </c>
      <c r="D22" s="15">
        <f>IFERROR(VLOOKUP($C22,'LEGEND&amp;DATA'!$F$20:$AB$90,2,FALSE),"")</f>
        <v>0.8883248730964467</v>
      </c>
      <c r="E22" s="304">
        <f>IFERROR(VLOOKUP($C22,'LEGEND&amp;DATA'!$F$20:$AB$90,4,FALSE),"")</f>
        <v>0.890625</v>
      </c>
      <c r="F22" s="127">
        <f>IFERROR(VLOOKUP($C22,'LEGEND&amp;DATA'!$F$20:$AB$90,8,FALSE),"")</f>
        <v>2.3199999999999998</v>
      </c>
      <c r="G22" s="308">
        <f>IFERROR(VLOOKUP($C22,'LEGEND&amp;DATA'!$F$20:$AB$90,10,FALSE),"")</f>
        <v>1</v>
      </c>
      <c r="H22" s="10">
        <f>IFERROR(VLOOKUP($C22,'LEGEND&amp;DATA'!$F$20:$AB$90,12,FALSE),"")</f>
        <v>0.24635036496350365</v>
      </c>
      <c r="I22" s="317">
        <f>IFERROR(VLOOKUP($C22,'LEGEND&amp;DATA'!$F$20:$AB$90,14,FALSE),"")</f>
        <v>0.20657276995305165</v>
      </c>
      <c r="J22" s="80">
        <f>IFERROR(VLOOKUP($C22,'LEGEND&amp;DATA'!$F$20:$AB$90,16,FALSE),"")</f>
        <v>0.5</v>
      </c>
      <c r="K22" s="308" t="str">
        <f>IFERROR(VLOOKUP($C22,'LEGEND&amp;DATA'!$F$20:$AB$90,18,FALSE),"")</f>
        <v>-</v>
      </c>
      <c r="L22" s="317">
        <f>IFERROR(VLOOKUP($C22,'LEGEND&amp;DATA'!$F$20:$AB$90,20,FALSE),"")</f>
        <v>0.94545454545454544</v>
      </c>
      <c r="M22" s="80">
        <f>IFERROR(VLOOKUP($C22,'LEGEND&amp;DATA'!$F$20:$AB$90,22,FALSE),"")</f>
        <v>0.6458923512747875</v>
      </c>
      <c r="N22" s="128">
        <f>IFERROR(VLOOKUP($C22,'LEGEND&amp;DATA'!$F$20:$AE$90,26,FALSE),"")</f>
        <v>0.83</v>
      </c>
      <c r="O22" s="9"/>
    </row>
    <row r="23" spans="1:16" ht="16" customHeight="1" x14ac:dyDescent="0.35">
      <c r="A23" s="86">
        <v>12</v>
      </c>
      <c r="B23" s="86" t="str">
        <f t="shared" si="0"/>
        <v>Arizona-12</v>
      </c>
      <c r="C23" s="3" t="str">
        <f>IFERROR(VLOOKUP(B23,'LEGEND&amp;DATA'!$AF$20:$AG$90,2,FALSE),"")</f>
        <v>Lamborghini North Scottsdale</v>
      </c>
      <c r="D23" s="15">
        <f>IFERROR(VLOOKUP($C23,'LEGEND&amp;DATA'!$F$20:$AB$90,2,FALSE),"")</f>
        <v>1.4615384615384615</v>
      </c>
      <c r="E23" s="304">
        <f>IFERROR(VLOOKUP($C23,'LEGEND&amp;DATA'!$F$20:$AB$90,4,FALSE),"")</f>
        <v>6</v>
      </c>
      <c r="F23" s="127">
        <f>IFERROR(VLOOKUP($C23,'LEGEND&amp;DATA'!$F$20:$AB$90,8,FALSE),"")</f>
        <v>4</v>
      </c>
      <c r="G23" s="308">
        <f>IFERROR(VLOOKUP($C23,'LEGEND&amp;DATA'!$F$20:$AB$90,10,FALSE),"")</f>
        <v>0.625</v>
      </c>
      <c r="H23" s="10">
        <f>IFERROR(VLOOKUP($C23,'LEGEND&amp;DATA'!$F$20:$AB$90,12,FALSE),"")</f>
        <v>0.23076923076923078</v>
      </c>
      <c r="I23" s="317">
        <f>IFERROR(VLOOKUP($C23,'LEGEND&amp;DATA'!$F$20:$AB$90,14,FALSE),"")</f>
        <v>0.32142857142857145</v>
      </c>
      <c r="J23" s="80" t="str">
        <f>IFERROR(VLOOKUP($C23,'LEGEND&amp;DATA'!$F$20:$AB$90,16,FALSE),"")</f>
        <v>N/A</v>
      </c>
      <c r="K23" s="308" t="str">
        <f>IFERROR(VLOOKUP($C23,'LEGEND&amp;DATA'!$F$20:$AB$90,18,FALSE),"")</f>
        <v>-</v>
      </c>
      <c r="L23" s="317">
        <f>IFERROR(VLOOKUP($C23,'LEGEND&amp;DATA'!$F$20:$AB$90,20,FALSE),"")</f>
        <v>2.75</v>
      </c>
      <c r="M23" s="80">
        <f>IFERROR(VLOOKUP($C23,'LEGEND&amp;DATA'!$F$20:$AB$90,22,FALSE),"")</f>
        <v>0.25</v>
      </c>
      <c r="N23" s="128">
        <f>IFERROR(VLOOKUP($C23,'LEGEND&amp;DATA'!$F$20:$AE$90,26,FALSE),"")</f>
        <v>0.82954545454545459</v>
      </c>
      <c r="O23" s="9"/>
    </row>
    <row r="24" spans="1:16" ht="16" customHeight="1" x14ac:dyDescent="0.35">
      <c r="A24" s="86">
        <v>13</v>
      </c>
      <c r="B24" s="86" t="str">
        <f t="shared" si="0"/>
        <v>Arizona-13</v>
      </c>
      <c r="C24" s="3" t="str">
        <f>IFERROR(VLOOKUP(B24,'LEGEND&amp;DATA'!$AF$20:$AG$90,2,FALSE),"")</f>
        <v>Audi Chandler</v>
      </c>
      <c r="D24" s="15">
        <f>IFERROR(VLOOKUP($C24,'LEGEND&amp;DATA'!$F$20:$AB$90,2,FALSE),"")</f>
        <v>0.9285714285714286</v>
      </c>
      <c r="E24" s="304">
        <f>IFERROR(VLOOKUP($C24,'LEGEND&amp;DATA'!$F$20:$AB$90,4,FALSE),"")</f>
        <v>2.8333333333333335</v>
      </c>
      <c r="F24" s="127">
        <f>IFERROR(VLOOKUP($C24,'LEGEND&amp;DATA'!$F$20:$AB$90,8,FALSE),"")</f>
        <v>1.3333333333333333</v>
      </c>
      <c r="G24" s="308">
        <f>IFERROR(VLOOKUP($C24,'LEGEND&amp;DATA'!$F$20:$AB$90,10,FALSE),"")</f>
        <v>0.625</v>
      </c>
      <c r="H24" s="10">
        <f>IFERROR(VLOOKUP($C24,'LEGEND&amp;DATA'!$F$20:$AB$90,12,FALSE),"")</f>
        <v>0.15107913669064749</v>
      </c>
      <c r="I24" s="317">
        <f>IFERROR(VLOOKUP($C24,'LEGEND&amp;DATA'!$F$20:$AB$90,14,FALSE),"")</f>
        <v>0.29545454545454547</v>
      </c>
      <c r="J24" s="80">
        <f>IFERROR(VLOOKUP($C24,'LEGEND&amp;DATA'!$F$20:$AB$90,16,FALSE),"")</f>
        <v>0.5714285714285714</v>
      </c>
      <c r="K24" s="308" t="str">
        <f>IFERROR(VLOOKUP($C24,'LEGEND&amp;DATA'!$F$20:$AB$90,18,FALSE),"")</f>
        <v>-</v>
      </c>
      <c r="L24" s="317">
        <f>IFERROR(VLOOKUP($C24,'LEGEND&amp;DATA'!$F$20:$AB$90,20,FALSE),"")</f>
        <v>1.1742424242424243</v>
      </c>
      <c r="M24" s="80">
        <f>IFERROR(VLOOKUP($C24,'LEGEND&amp;DATA'!$F$20:$AB$90,22,FALSE),"")</f>
        <v>0.98750000000000004</v>
      </c>
      <c r="N24" s="128">
        <f>IFERROR(VLOOKUP($C24,'LEGEND&amp;DATA'!$F$20:$AE$90,26,FALSE),"")</f>
        <v>0.82</v>
      </c>
      <c r="O24" s="9"/>
      <c r="P24" s="319"/>
    </row>
    <row r="25" spans="1:16" ht="16" customHeight="1" x14ac:dyDescent="0.35">
      <c r="A25" s="86">
        <v>14</v>
      </c>
      <c r="B25" s="86" t="str">
        <f t="shared" si="0"/>
        <v>Arizona-14</v>
      </c>
      <c r="C25" s="3" t="str">
        <f>IFERROR(VLOOKUP(B25,'LEGEND&amp;DATA'!$AF$20:$AG$90,2,FALSE),"")</f>
        <v>Land Rover Chandler</v>
      </c>
      <c r="D25" s="15">
        <f>IFERROR(VLOOKUP($C25,'LEGEND&amp;DATA'!$F$20:$AB$90,2,FALSE),"")</f>
        <v>0.55555555555555558</v>
      </c>
      <c r="E25" s="304">
        <f>IFERROR(VLOOKUP($C25,'LEGEND&amp;DATA'!$F$20:$AB$90,4,FALSE),"")</f>
        <v>1.5</v>
      </c>
      <c r="F25" s="127">
        <f>IFERROR(VLOOKUP($C25,'LEGEND&amp;DATA'!$F$20:$AB$90,8,FALSE),"")</f>
        <v>2.6</v>
      </c>
      <c r="G25" s="308">
        <f>IFERROR(VLOOKUP($C25,'LEGEND&amp;DATA'!$F$20:$AB$90,10,FALSE),"")</f>
        <v>1</v>
      </c>
      <c r="H25" s="10">
        <f>IFERROR(VLOOKUP($C25,'LEGEND&amp;DATA'!$F$20:$AB$90,12,FALSE),"")</f>
        <v>0.14473684210526316</v>
      </c>
      <c r="I25" s="317">
        <f>IFERROR(VLOOKUP($C25,'LEGEND&amp;DATA'!$F$20:$AB$90,14,FALSE),"")</f>
        <v>0.19565217391304349</v>
      </c>
      <c r="J25" s="80">
        <f>IFERROR(VLOOKUP($C25,'LEGEND&amp;DATA'!$F$20:$AB$90,16,FALSE),"")</f>
        <v>1</v>
      </c>
      <c r="K25" s="308" t="str">
        <f>IFERROR(VLOOKUP($C25,'LEGEND&amp;DATA'!$F$20:$AB$90,18,FALSE),"")</f>
        <v>-</v>
      </c>
      <c r="L25" s="317">
        <f>IFERROR(VLOOKUP($C25,'LEGEND&amp;DATA'!$F$20:$AB$90,20,FALSE),"")</f>
        <v>0.76363636363636367</v>
      </c>
      <c r="M25" s="80">
        <f>IFERROR(VLOOKUP($C25,'LEGEND&amp;DATA'!$F$20:$AB$90,22,FALSE),"")</f>
        <v>0.91666666666666663</v>
      </c>
      <c r="N25" s="128">
        <f>IFERROR(VLOOKUP($C25,'LEGEND&amp;DATA'!$F$20:$AE$90,26,FALSE),"")</f>
        <v>0.8</v>
      </c>
      <c r="O25" s="9"/>
    </row>
    <row r="26" spans="1:16" ht="16" customHeight="1" x14ac:dyDescent="0.35">
      <c r="A26" s="86">
        <v>15</v>
      </c>
      <c r="B26" s="86" t="str">
        <f t="shared" si="0"/>
        <v>Arizona-15</v>
      </c>
      <c r="C26" s="3" t="str">
        <f>IFERROR(VLOOKUP(B26,'LEGEND&amp;DATA'!$AF$20:$AG$90,2,FALSE),"")</f>
        <v>Land Rover North Scottsdale</v>
      </c>
      <c r="D26" s="15">
        <f>IFERROR(VLOOKUP($C26,'LEGEND&amp;DATA'!$F$20:$AB$90,2,FALSE),"")</f>
        <v>0.69343065693430661</v>
      </c>
      <c r="E26" s="304">
        <f>IFERROR(VLOOKUP($C26,'LEGEND&amp;DATA'!$F$20:$AB$90,4,FALSE),"")</f>
        <v>1.588235294117647</v>
      </c>
      <c r="F26" s="127">
        <f>IFERROR(VLOOKUP($C26,'LEGEND&amp;DATA'!$F$20:$AB$90,8,FALSE),"")</f>
        <v>1.7777777777777777</v>
      </c>
      <c r="G26" s="308">
        <f>IFERROR(VLOOKUP($C26,'LEGEND&amp;DATA'!$F$20:$AB$90,10,FALSE),"")</f>
        <v>0.625</v>
      </c>
      <c r="H26" s="10">
        <f>IFERROR(VLOOKUP($C26,'LEGEND&amp;DATA'!$F$20:$AB$90,12,FALSE),"")</f>
        <v>0.13513513513513514</v>
      </c>
      <c r="I26" s="317">
        <f>IFERROR(VLOOKUP($C26,'LEGEND&amp;DATA'!$F$20:$AB$90,14,FALSE),"")</f>
        <v>0.2087912087912088</v>
      </c>
      <c r="J26" s="80">
        <f>IFERROR(VLOOKUP($C26,'LEGEND&amp;DATA'!$F$20:$AB$90,16,FALSE),"")</f>
        <v>0.75</v>
      </c>
      <c r="K26" s="308" t="str">
        <f>IFERROR(VLOOKUP($C26,'LEGEND&amp;DATA'!$F$20:$AB$90,18,FALSE),"")</f>
        <v>-</v>
      </c>
      <c r="L26" s="317">
        <f>IFERROR(VLOOKUP($C26,'LEGEND&amp;DATA'!$F$20:$AB$90,20,FALSE),"")</f>
        <v>1.0353535353535352</v>
      </c>
      <c r="M26" s="80">
        <f>IFERROR(VLOOKUP($C26,'LEGEND&amp;DATA'!$F$20:$AB$90,22,FALSE),"")</f>
        <v>0.76288659793814428</v>
      </c>
      <c r="N26" s="128">
        <f>IFERROR(VLOOKUP($C26,'LEGEND&amp;DATA'!$F$20:$AE$90,26,FALSE),"")</f>
        <v>0.8</v>
      </c>
      <c r="O26" s="9"/>
    </row>
    <row r="27" spans="1:16" ht="16" customHeight="1" x14ac:dyDescent="0.35">
      <c r="A27" s="86">
        <v>16</v>
      </c>
      <c r="B27" s="86" t="str">
        <f t="shared" si="0"/>
        <v>Arizona-16</v>
      </c>
      <c r="C27" s="3" t="str">
        <f>IFERROR(VLOOKUP(B27,'LEGEND&amp;DATA'!$AF$20:$AG$90,2,FALSE),"")</f>
        <v>BMW North Scottsdale</v>
      </c>
      <c r="D27" s="15">
        <f>IFERROR(VLOOKUP($C27,'LEGEND&amp;DATA'!$F$20:$AB$90,2,FALSE),"")</f>
        <v>0.93006993006993011</v>
      </c>
      <c r="E27" s="304">
        <f>IFERROR(VLOOKUP($C27,'LEGEND&amp;DATA'!$F$20:$AB$90,4,FALSE),"")</f>
        <v>0.5</v>
      </c>
      <c r="F27" s="127">
        <f>IFERROR(VLOOKUP($C27,'LEGEND&amp;DATA'!$F$20:$AB$90,8,FALSE),"")</f>
        <v>2.8928571428571428</v>
      </c>
      <c r="G27" s="308">
        <f>IFERROR(VLOOKUP($C27,'LEGEND&amp;DATA'!$F$20:$AB$90,10,FALSE),"")</f>
        <v>0.625</v>
      </c>
      <c r="H27" s="10">
        <f>IFERROR(VLOOKUP($C27,'LEGEND&amp;DATA'!$F$20:$AB$90,12,FALSE),"")</f>
        <v>0.15745393634840871</v>
      </c>
      <c r="I27" s="317">
        <f>IFERROR(VLOOKUP($C27,'LEGEND&amp;DATA'!$F$20:$AB$90,14,FALSE),"")</f>
        <v>0.15857605177993528</v>
      </c>
      <c r="J27" s="80">
        <f>IFERROR(VLOOKUP($C27,'LEGEND&amp;DATA'!$F$20:$AB$90,16,FALSE),"")</f>
        <v>0.77358490566037741</v>
      </c>
      <c r="K27" s="308" t="str">
        <f>IFERROR(VLOOKUP($C27,'LEGEND&amp;DATA'!$F$20:$AB$90,18,FALSE),"")</f>
        <v>-</v>
      </c>
      <c r="L27" s="317">
        <f>IFERROR(VLOOKUP($C27,'LEGEND&amp;DATA'!$F$20:$AB$90,20,FALSE),"")</f>
        <v>0.93831168831168832</v>
      </c>
      <c r="M27" s="80">
        <f>IFERROR(VLOOKUP($C27,'LEGEND&amp;DATA'!$F$20:$AB$90,22,FALSE),"")</f>
        <v>0.60847880299251866</v>
      </c>
      <c r="N27" s="128">
        <f>IFERROR(VLOOKUP($C27,'LEGEND&amp;DATA'!$F$20:$AE$90,26,FALSE),"")</f>
        <v>0.75</v>
      </c>
      <c r="O27" s="9"/>
    </row>
    <row r="28" spans="1:16" ht="16" customHeight="1" x14ac:dyDescent="0.35">
      <c r="A28" s="86">
        <v>17</v>
      </c>
      <c r="B28" s="86" t="str">
        <f t="shared" si="0"/>
        <v>Arizona-17</v>
      </c>
      <c r="C28" s="3" t="str">
        <f>IFERROR(VLOOKUP(B28,'LEGEND&amp;DATA'!$AF$20:$AG$90,2,FALSE),"")</f>
        <v>MINI of Tempe</v>
      </c>
      <c r="D28" s="15">
        <f>IFERROR(VLOOKUP($C28,'LEGEND&amp;DATA'!$F$20:$AB$90,2,FALSE),"")</f>
        <v>0.51111111111111107</v>
      </c>
      <c r="E28" s="304">
        <f>IFERROR(VLOOKUP($C28,'LEGEND&amp;DATA'!$F$20:$AB$90,4,FALSE),"")</f>
        <v>8</v>
      </c>
      <c r="F28" s="127">
        <f>IFERROR(VLOOKUP($C28,'LEGEND&amp;DATA'!$F$20:$AB$90,8,FALSE),"")</f>
        <v>0.75</v>
      </c>
      <c r="G28" s="308">
        <f>IFERROR(VLOOKUP($C28,'LEGEND&amp;DATA'!$F$20:$AB$90,10,FALSE),"")</f>
        <v>1</v>
      </c>
      <c r="H28" s="10">
        <f>IFERROR(VLOOKUP($C28,'LEGEND&amp;DATA'!$F$20:$AB$90,12,FALSE),"")</f>
        <v>0.1702127659574468</v>
      </c>
      <c r="I28" s="317">
        <f>IFERROR(VLOOKUP($C28,'LEGEND&amp;DATA'!$F$20:$AB$90,14,FALSE),"")</f>
        <v>0.4</v>
      </c>
      <c r="J28" s="80">
        <f>IFERROR(VLOOKUP($C28,'LEGEND&amp;DATA'!$F$20:$AB$90,16,FALSE),"")</f>
        <v>0.5</v>
      </c>
      <c r="K28" s="308" t="str">
        <f>IFERROR(VLOOKUP($C28,'LEGEND&amp;DATA'!$F$20:$AB$90,18,FALSE),"")</f>
        <v>-</v>
      </c>
      <c r="L28" s="317">
        <f>IFERROR(VLOOKUP($C28,'LEGEND&amp;DATA'!$F$20:$AB$90,20,FALSE),"")</f>
        <v>0.57954545454545459</v>
      </c>
      <c r="M28" s="80">
        <f>IFERROR(VLOOKUP($C28,'LEGEND&amp;DATA'!$F$20:$AB$90,22,FALSE),"")</f>
        <v>1.173913043478261</v>
      </c>
      <c r="N28" s="128">
        <f>IFERROR(VLOOKUP($C28,'LEGEND&amp;DATA'!$F$20:$AE$90,26,FALSE),"")</f>
        <v>0.59</v>
      </c>
      <c r="O28" s="9"/>
    </row>
    <row r="29" spans="1:16" ht="16" customHeight="1" x14ac:dyDescent="0.35">
      <c r="A29" s="86">
        <v>18</v>
      </c>
      <c r="B29" s="86" t="str">
        <f t="shared" si="0"/>
        <v>Arizona-18</v>
      </c>
      <c r="C29" s="3" t="str">
        <f>IFERROR(VLOOKUP(B29,'LEGEND&amp;DATA'!$AF$20:$AG$90,2,FALSE),"")</f>
        <v>Scottsdale Ferrari Maserati</v>
      </c>
      <c r="D29" s="15">
        <f>IFERROR(VLOOKUP($C29,'LEGEND&amp;DATA'!$F$20:$AB$90,2,FALSE),"")</f>
        <v>1.0769230769230769</v>
      </c>
      <c r="E29" s="304">
        <f>IFERROR(VLOOKUP($C29,'LEGEND&amp;DATA'!$F$20:$AB$90,4,FALSE),"")</f>
        <v>1</v>
      </c>
      <c r="F29" s="127">
        <f>IFERROR(VLOOKUP($C29,'LEGEND&amp;DATA'!$F$20:$AB$90,8,FALSE),"")</f>
        <v>0.33333333333333331</v>
      </c>
      <c r="G29" s="308">
        <f>IFERROR(VLOOKUP($C29,'LEGEND&amp;DATA'!$F$20:$AB$90,10,FALSE),"")</f>
        <v>0.125</v>
      </c>
      <c r="H29" s="10">
        <f>IFERROR(VLOOKUP($C29,'LEGEND&amp;DATA'!$F$20:$AB$90,12,FALSE),"")</f>
        <v>7.6923076923076927E-2</v>
      </c>
      <c r="I29" s="317">
        <f>IFERROR(VLOOKUP($C29,'LEGEND&amp;DATA'!$F$20:$AB$90,14,FALSE),"")</f>
        <v>0.14285714285714285</v>
      </c>
      <c r="J29" s="80" t="str">
        <f>IFERROR(VLOOKUP($C29,'LEGEND&amp;DATA'!$F$20:$AB$90,16,FALSE),"")</f>
        <v>N/A</v>
      </c>
      <c r="K29" s="308" t="str">
        <f>IFERROR(VLOOKUP($C29,'LEGEND&amp;DATA'!$F$20:$AB$90,18,FALSE),"")</f>
        <v>-</v>
      </c>
      <c r="L29" s="317">
        <f>IFERROR(VLOOKUP($C29,'LEGEND&amp;DATA'!$F$20:$AB$90,20,FALSE),"")</f>
        <v>0.70833333333333337</v>
      </c>
      <c r="M29" s="80">
        <f>IFERROR(VLOOKUP($C29,'LEGEND&amp;DATA'!$F$20:$AB$90,22,FALSE),"")</f>
        <v>0.32142857142857145</v>
      </c>
      <c r="N29" s="128">
        <f>IFERROR(VLOOKUP($C29,'LEGEND&amp;DATA'!$F$20:$AE$90,26,FALSE),"")</f>
        <v>0.47727272727272729</v>
      </c>
      <c r="O29" s="9"/>
    </row>
    <row r="30" spans="1:16" ht="16" customHeight="1" x14ac:dyDescent="0.35">
      <c r="A30" s="86">
        <v>19</v>
      </c>
      <c r="B30" s="86" t="str">
        <f t="shared" si="0"/>
        <v>Arizona-19</v>
      </c>
      <c r="C30" s="3" t="str">
        <f>IFERROR(VLOOKUP(B30,'LEGEND&amp;DATA'!$AF$20:$AG$90,2,FALSE),"")</f>
        <v/>
      </c>
      <c r="D30" s="15" t="str">
        <f>IFERROR(VLOOKUP($C30,'LEGEND&amp;DATA'!$F$20:$AB$90,2,FALSE),"")</f>
        <v/>
      </c>
      <c r="E30" s="304" t="str">
        <f>IFERROR(VLOOKUP($C30,'LEGEND&amp;DATA'!$F$20:$AB$90,4,FALSE),"")</f>
        <v/>
      </c>
      <c r="F30" s="127" t="str">
        <f>IFERROR(VLOOKUP($C30,'LEGEND&amp;DATA'!$F$20:$AB$90,8,FALSE),"")</f>
        <v/>
      </c>
      <c r="G30" s="308" t="str">
        <f>IFERROR(VLOOKUP($C30,'LEGEND&amp;DATA'!$F$20:$AB$90,10,FALSE),"")</f>
        <v/>
      </c>
      <c r="H30" s="10" t="str">
        <f>IFERROR(VLOOKUP($C30,'LEGEND&amp;DATA'!$F$20:$AB$90,12,FALSE),"")</f>
        <v/>
      </c>
      <c r="I30" s="317" t="str">
        <f>IFERROR(VLOOKUP($C30,'LEGEND&amp;DATA'!$F$20:$AB$90,14,FALSE),"")</f>
        <v/>
      </c>
      <c r="J30" s="80" t="str">
        <f>IFERROR(VLOOKUP($C30,'LEGEND&amp;DATA'!$F$20:$AB$90,16,FALSE),"")</f>
        <v/>
      </c>
      <c r="K30" s="308" t="str">
        <f>IFERROR(VLOOKUP($C30,'LEGEND&amp;DATA'!$F$20:$AB$90,18,FALSE),"")</f>
        <v>-</v>
      </c>
      <c r="L30" s="317" t="str">
        <f>IFERROR(VLOOKUP($C30,'LEGEND&amp;DATA'!$F$20:$AB$90,20,FALSE),"")</f>
        <v/>
      </c>
      <c r="M30" s="80" t="str">
        <f>IFERROR(VLOOKUP($C30,'LEGEND&amp;DATA'!$F$20:$AB$90,22,FALSE),"")</f>
        <v/>
      </c>
      <c r="N30" s="128" t="str">
        <f>IFERROR(VLOOKUP($C30,'LEGEND&amp;DATA'!$F$20:$AE$90,26,FALSE),"")</f>
        <v/>
      </c>
      <c r="O30" s="9"/>
    </row>
    <row r="31" spans="1:16" ht="16" customHeight="1" x14ac:dyDescent="0.35">
      <c r="A31" s="86">
        <v>20</v>
      </c>
      <c r="B31" s="86" t="str">
        <f t="shared" si="0"/>
        <v>Arizona-20</v>
      </c>
      <c r="C31" s="3" t="str">
        <f>IFERROR(VLOOKUP(B31,'LEGEND&amp;DATA'!$AF$20:$AG$90,2,FALSE),"")</f>
        <v/>
      </c>
      <c r="D31" s="15" t="str">
        <f>IFERROR(VLOOKUP($C31,'LEGEND&amp;DATA'!$F$20:$AB$90,2,FALSE),"")</f>
        <v/>
      </c>
      <c r="E31" s="304" t="str">
        <f>IFERROR(VLOOKUP($C31,'LEGEND&amp;DATA'!$F$20:$AB$90,4,FALSE),"")</f>
        <v/>
      </c>
      <c r="F31" s="127" t="str">
        <f>IFERROR(VLOOKUP($C31,'LEGEND&amp;DATA'!$F$20:$AB$90,8,FALSE),"")</f>
        <v/>
      </c>
      <c r="G31" s="308" t="str">
        <f>IFERROR(VLOOKUP($C31,'LEGEND&amp;DATA'!$F$20:$AB$90,10,FALSE),"")</f>
        <v/>
      </c>
      <c r="H31" s="10" t="str">
        <f>IFERROR(VLOOKUP($C31,'LEGEND&amp;DATA'!$F$20:$AB$90,12,FALSE),"")</f>
        <v/>
      </c>
      <c r="I31" s="317" t="str">
        <f>IFERROR(VLOOKUP($C31,'LEGEND&amp;DATA'!$F$20:$AB$90,14,FALSE),"")</f>
        <v/>
      </c>
      <c r="J31" s="80" t="str">
        <f>IFERROR(VLOOKUP($C31,'LEGEND&amp;DATA'!$F$20:$AB$90,16,FALSE),"")</f>
        <v/>
      </c>
      <c r="K31" s="308" t="str">
        <f>IFERROR(VLOOKUP($C31,'LEGEND&amp;DATA'!$F$20:$AB$90,18,FALSE),"")</f>
        <v>-</v>
      </c>
      <c r="L31" s="317" t="str">
        <f>IFERROR(VLOOKUP($C31,'LEGEND&amp;DATA'!$F$20:$AB$90,20,FALSE),"")</f>
        <v/>
      </c>
      <c r="M31" s="80" t="str">
        <f>IFERROR(VLOOKUP($C31,'LEGEND&amp;DATA'!$F$20:$AB$90,22,FALSE),"")</f>
        <v/>
      </c>
      <c r="N31" s="128" t="str">
        <f>IFERROR(VLOOKUP($C31,'LEGEND&amp;DATA'!$F$20:$AE$90,26,FALSE),"")</f>
        <v/>
      </c>
      <c r="O31" s="9"/>
    </row>
    <row r="32" spans="1:16" ht="16" customHeight="1" x14ac:dyDescent="0.35">
      <c r="A32" s="86">
        <v>21</v>
      </c>
      <c r="B32" s="86" t="str">
        <f t="shared" si="0"/>
        <v>Arizona-21</v>
      </c>
      <c r="C32" s="3" t="str">
        <f>IFERROR(VLOOKUP(B32,'LEGEND&amp;DATA'!$AF$20:$AG$90,2,FALSE),"")</f>
        <v/>
      </c>
      <c r="D32" s="15" t="str">
        <f>IFERROR(VLOOKUP($C32,'LEGEND&amp;DATA'!$F$20:$AB$90,2,FALSE),"")</f>
        <v/>
      </c>
      <c r="E32" s="304" t="str">
        <f>IFERROR(VLOOKUP($C32,'LEGEND&amp;DATA'!$F$20:$AB$90,4,FALSE),"")</f>
        <v/>
      </c>
      <c r="F32" s="127" t="str">
        <f>IFERROR(VLOOKUP($C32,'LEGEND&amp;DATA'!$F$20:$AB$90,8,FALSE),"")</f>
        <v/>
      </c>
      <c r="G32" s="308" t="str">
        <f>IFERROR(VLOOKUP($C32,'LEGEND&amp;DATA'!$F$20:$AB$90,10,FALSE),"")</f>
        <v/>
      </c>
      <c r="H32" s="10" t="str">
        <f>IFERROR(VLOOKUP($C32,'LEGEND&amp;DATA'!$F$20:$AB$90,12,FALSE),"")</f>
        <v/>
      </c>
      <c r="I32" s="317" t="str">
        <f>IFERROR(VLOOKUP($C32,'LEGEND&amp;DATA'!$F$20:$AB$90,14,FALSE),"")</f>
        <v/>
      </c>
      <c r="J32" s="80" t="str">
        <f>IFERROR(VLOOKUP($C32,'LEGEND&amp;DATA'!$F$20:$AB$90,16,FALSE),"")</f>
        <v/>
      </c>
      <c r="K32" s="308" t="str">
        <f>IFERROR(VLOOKUP($C32,'LEGEND&amp;DATA'!$F$20:$AB$90,18,FALSE),"")</f>
        <v>-</v>
      </c>
      <c r="L32" s="317" t="str">
        <f>IFERROR(VLOOKUP($C32,'LEGEND&amp;DATA'!$F$20:$AB$90,20,FALSE),"")</f>
        <v/>
      </c>
      <c r="M32" s="80" t="str">
        <f>IFERROR(VLOOKUP($C32,'LEGEND&amp;DATA'!$F$20:$AB$90,22,FALSE),"")</f>
        <v/>
      </c>
      <c r="N32" s="128" t="str">
        <f>IFERROR(VLOOKUP($C32,'LEGEND&amp;DATA'!$F$20:$AE$90,26,FALSE),"")</f>
        <v/>
      </c>
      <c r="O32" s="9"/>
    </row>
    <row r="33" spans="1:15" ht="16" customHeight="1" x14ac:dyDescent="0.35">
      <c r="A33" s="86">
        <v>22</v>
      </c>
      <c r="B33" s="86" t="str">
        <f t="shared" si="0"/>
        <v>Arizona-22</v>
      </c>
      <c r="C33" s="3" t="str">
        <f>IFERROR(VLOOKUP(B33,'LEGEND&amp;DATA'!$AF$20:$AG$90,2,FALSE),"")</f>
        <v/>
      </c>
      <c r="D33" s="15" t="str">
        <f>IFERROR(VLOOKUP($C33,'LEGEND&amp;DATA'!$F$20:$AB$90,2,FALSE),"")</f>
        <v/>
      </c>
      <c r="E33" s="304" t="str">
        <f>IFERROR(VLOOKUP($C33,'LEGEND&amp;DATA'!$F$20:$AB$90,4,FALSE),"")</f>
        <v/>
      </c>
      <c r="F33" s="127" t="str">
        <f>IFERROR(VLOOKUP($C33,'LEGEND&amp;DATA'!$F$20:$AB$90,8,FALSE),"")</f>
        <v/>
      </c>
      <c r="G33" s="308" t="str">
        <f>IFERROR(VLOOKUP($C33,'LEGEND&amp;DATA'!$F$20:$AB$90,10,FALSE),"")</f>
        <v/>
      </c>
      <c r="H33" s="10" t="str">
        <f>IFERROR(VLOOKUP($C33,'LEGEND&amp;DATA'!$F$20:$AB$90,12,FALSE),"")</f>
        <v/>
      </c>
      <c r="I33" s="317" t="str">
        <f>IFERROR(VLOOKUP($C33,'LEGEND&amp;DATA'!$F$20:$AB$90,14,FALSE),"")</f>
        <v/>
      </c>
      <c r="J33" s="80" t="str">
        <f>IFERROR(VLOOKUP($C33,'LEGEND&amp;DATA'!$F$20:$AB$90,16,FALSE),"")</f>
        <v/>
      </c>
      <c r="K33" s="308" t="str">
        <f>IFERROR(VLOOKUP($C33,'LEGEND&amp;DATA'!$F$20:$AB$90,18,FALSE),"")</f>
        <v>-</v>
      </c>
      <c r="L33" s="317" t="str">
        <f>IFERROR(VLOOKUP($C33,'LEGEND&amp;DATA'!$F$20:$AB$90,20,FALSE),"")</f>
        <v/>
      </c>
      <c r="M33" s="80" t="str">
        <f>IFERROR(VLOOKUP($C33,'LEGEND&amp;DATA'!$F$20:$AB$90,22,FALSE),"")</f>
        <v/>
      </c>
      <c r="N33" s="128" t="str">
        <f>IFERROR(VLOOKUP($C33,'LEGEND&amp;DATA'!$F$20:$AE$90,26,FALSE),"")</f>
        <v/>
      </c>
      <c r="O33" s="9"/>
    </row>
    <row r="34" spans="1:15" ht="16" customHeight="1" x14ac:dyDescent="0.35">
      <c r="A34" s="86">
        <v>23</v>
      </c>
      <c r="B34" s="86" t="str">
        <f t="shared" si="0"/>
        <v>Arizona-23</v>
      </c>
      <c r="C34" s="3" t="str">
        <f>IFERROR(VLOOKUP(B34,'LEGEND&amp;DATA'!$AF$20:$AG$90,2,FALSE),"")</f>
        <v/>
      </c>
      <c r="D34" s="15" t="str">
        <f>IFERROR(VLOOKUP($C34,'LEGEND&amp;DATA'!$F$20:$AB$90,2,FALSE),"")</f>
        <v/>
      </c>
      <c r="E34" s="304" t="str">
        <f>IFERROR(VLOOKUP($C34,'LEGEND&amp;DATA'!$F$20:$AB$90,4,FALSE),"")</f>
        <v/>
      </c>
      <c r="F34" s="127" t="str">
        <f>IFERROR(VLOOKUP($C34,'LEGEND&amp;DATA'!$F$20:$AB$90,8,FALSE),"")</f>
        <v/>
      </c>
      <c r="G34" s="308" t="str">
        <f>IFERROR(VLOOKUP($C34,'LEGEND&amp;DATA'!$F$20:$AB$90,10,FALSE),"")</f>
        <v/>
      </c>
      <c r="H34" s="10" t="str">
        <f>IFERROR(VLOOKUP($C34,'LEGEND&amp;DATA'!$F$20:$AB$90,12,FALSE),"")</f>
        <v/>
      </c>
      <c r="I34" s="317" t="str">
        <f>IFERROR(VLOOKUP($C34,'LEGEND&amp;DATA'!$F$20:$AB$90,14,FALSE),"")</f>
        <v/>
      </c>
      <c r="J34" s="80" t="str">
        <f>IFERROR(VLOOKUP($C34,'LEGEND&amp;DATA'!$F$20:$AB$90,16,FALSE),"")</f>
        <v/>
      </c>
      <c r="K34" s="308" t="str">
        <f>IFERROR(VLOOKUP($C34,'LEGEND&amp;DATA'!$F$20:$AB$90,18,FALSE),"")</f>
        <v>-</v>
      </c>
      <c r="L34" s="317" t="str">
        <f>IFERROR(VLOOKUP($C34,'LEGEND&amp;DATA'!$F$20:$AB$90,20,FALSE),"")</f>
        <v/>
      </c>
      <c r="M34" s="80" t="str">
        <f>IFERROR(VLOOKUP($C34,'LEGEND&amp;DATA'!$F$20:$AB$90,22,FALSE),"")</f>
        <v/>
      </c>
      <c r="N34" s="128" t="str">
        <f>IFERROR(VLOOKUP($C34,'LEGEND&amp;DATA'!$F$20:$AE$90,26,FALSE),"")</f>
        <v/>
      </c>
      <c r="O34" s="9"/>
    </row>
    <row r="35" spans="1:15" ht="16" customHeight="1" x14ac:dyDescent="0.35">
      <c r="A35" s="86">
        <v>24</v>
      </c>
      <c r="B35" s="86" t="str">
        <f t="shared" si="0"/>
        <v>Arizona-24</v>
      </c>
      <c r="C35" s="3" t="str">
        <f>IFERROR(VLOOKUP(B35,'LEGEND&amp;DATA'!$AF$20:$AG$90,2,FALSE),"")</f>
        <v/>
      </c>
      <c r="D35" s="15" t="str">
        <f>IFERROR(VLOOKUP($C35,'LEGEND&amp;DATA'!$F$20:$AB$90,2,FALSE),"")</f>
        <v/>
      </c>
      <c r="E35" s="304" t="str">
        <f>IFERROR(VLOOKUP($C35,'LEGEND&amp;DATA'!$F$20:$AB$90,4,FALSE),"")</f>
        <v/>
      </c>
      <c r="F35" s="127" t="str">
        <f>IFERROR(VLOOKUP($C35,'LEGEND&amp;DATA'!$F$20:$AB$90,8,FALSE),"")</f>
        <v/>
      </c>
      <c r="G35" s="308" t="str">
        <f>IFERROR(VLOOKUP($C35,'LEGEND&amp;DATA'!$F$20:$AB$90,10,FALSE),"")</f>
        <v/>
      </c>
      <c r="H35" s="10" t="str">
        <f>IFERROR(VLOOKUP($C35,'LEGEND&amp;DATA'!$F$20:$AB$90,12,FALSE),"")</f>
        <v/>
      </c>
      <c r="I35" s="317" t="str">
        <f>IFERROR(VLOOKUP($C35,'LEGEND&amp;DATA'!$F$20:$AB$90,14,FALSE),"")</f>
        <v/>
      </c>
      <c r="J35" s="80" t="str">
        <f>IFERROR(VLOOKUP($C35,'LEGEND&amp;DATA'!$F$20:$AB$90,16,FALSE),"")</f>
        <v/>
      </c>
      <c r="K35" s="308" t="str">
        <f>IFERROR(VLOOKUP($C35,'LEGEND&amp;DATA'!$F$20:$AB$90,18,FALSE),"")</f>
        <v>-</v>
      </c>
      <c r="L35" s="317" t="str">
        <f>IFERROR(VLOOKUP($C35,'LEGEND&amp;DATA'!$F$20:$AB$90,20,FALSE),"")</f>
        <v/>
      </c>
      <c r="M35" s="80" t="str">
        <f>IFERROR(VLOOKUP($C35,'LEGEND&amp;DATA'!$F$20:$AB$90,22,FALSE),"")</f>
        <v/>
      </c>
      <c r="N35" s="128" t="str">
        <f>IFERROR(VLOOKUP($C35,'LEGEND&amp;DATA'!$F$20:$AE$90,26,FALSE),"")</f>
        <v/>
      </c>
      <c r="O35" s="9"/>
    </row>
    <row r="36" spans="1:15" ht="16" customHeight="1" x14ac:dyDescent="0.35">
      <c r="A36" s="86">
        <v>25</v>
      </c>
      <c r="B36" s="86" t="str">
        <f t="shared" si="0"/>
        <v>Arizona-25</v>
      </c>
      <c r="C36" s="3" t="str">
        <f>IFERROR(VLOOKUP(B36,'LEGEND&amp;DATA'!$AF$20:$AG$90,2,FALSE),"")</f>
        <v/>
      </c>
      <c r="D36" s="15" t="str">
        <f>IFERROR(VLOOKUP($C36,'LEGEND&amp;DATA'!$F$20:$AB$90,2,FALSE),"")</f>
        <v/>
      </c>
      <c r="E36" s="304" t="str">
        <f>IFERROR(VLOOKUP($C36,'LEGEND&amp;DATA'!$F$20:$AB$90,4,FALSE),"")</f>
        <v/>
      </c>
      <c r="F36" s="127" t="str">
        <f>IFERROR(VLOOKUP($C36,'LEGEND&amp;DATA'!$F$20:$AB$90,8,FALSE),"")</f>
        <v/>
      </c>
      <c r="G36" s="308" t="str">
        <f>IFERROR(VLOOKUP($C36,'LEGEND&amp;DATA'!$F$20:$AB$90,10,FALSE),"")</f>
        <v/>
      </c>
      <c r="H36" s="10" t="str">
        <f>IFERROR(VLOOKUP($C36,'LEGEND&amp;DATA'!$F$20:$AB$90,12,FALSE),"")</f>
        <v/>
      </c>
      <c r="I36" s="317" t="str">
        <f>IFERROR(VLOOKUP($C36,'LEGEND&amp;DATA'!$F$20:$AB$90,14,FALSE),"")</f>
        <v/>
      </c>
      <c r="J36" s="80" t="str">
        <f>IFERROR(VLOOKUP($C36,'LEGEND&amp;DATA'!$F$20:$AB$90,16,FALSE),"")</f>
        <v/>
      </c>
      <c r="K36" s="308" t="str">
        <f>IFERROR(VLOOKUP($C36,'LEGEND&amp;DATA'!$F$20:$AB$90,18,FALSE),"")</f>
        <v>-</v>
      </c>
      <c r="L36" s="317" t="str">
        <f>IFERROR(VLOOKUP($C36,'LEGEND&amp;DATA'!$F$20:$AB$90,20,FALSE),"")</f>
        <v/>
      </c>
      <c r="M36" s="80" t="str">
        <f>IFERROR(VLOOKUP($C36,'LEGEND&amp;DATA'!$F$20:$AB$90,22,FALSE),"")</f>
        <v/>
      </c>
      <c r="N36" s="128" t="str">
        <f>IFERROR(VLOOKUP($C36,'LEGEND&amp;DATA'!$F$20:$AE$90,26,FALSE),"")</f>
        <v/>
      </c>
      <c r="O36" s="9"/>
    </row>
    <row r="37" spans="1:15" ht="16" customHeight="1" x14ac:dyDescent="0.35">
      <c r="A37" s="86">
        <v>26</v>
      </c>
      <c r="B37" s="86" t="str">
        <f t="shared" si="0"/>
        <v>Arizona-26</v>
      </c>
      <c r="C37" s="3" t="str">
        <f>IFERROR(VLOOKUP(B37,'LEGEND&amp;DATA'!$AF$20:$AG$90,2,FALSE),"")</f>
        <v/>
      </c>
      <c r="D37" s="15" t="str">
        <f>IFERROR(VLOOKUP($C37,'LEGEND&amp;DATA'!$F$20:$AB$90,2,FALSE),"")</f>
        <v/>
      </c>
      <c r="E37" s="304" t="str">
        <f>IFERROR(VLOOKUP($C37,'LEGEND&amp;DATA'!$F$20:$AB$90,4,FALSE),"")</f>
        <v/>
      </c>
      <c r="F37" s="127" t="str">
        <f>IFERROR(VLOOKUP($C37,'LEGEND&amp;DATA'!$F$20:$AB$90,8,FALSE),"")</f>
        <v/>
      </c>
      <c r="G37" s="308" t="str">
        <f>IFERROR(VLOOKUP($C37,'LEGEND&amp;DATA'!$F$20:$AB$90,10,FALSE),"")</f>
        <v/>
      </c>
      <c r="H37" s="10" t="str">
        <f>IFERROR(VLOOKUP($C37,'LEGEND&amp;DATA'!$F$20:$AB$90,12,FALSE),"")</f>
        <v/>
      </c>
      <c r="I37" s="317" t="str">
        <f>IFERROR(VLOOKUP($C37,'LEGEND&amp;DATA'!$F$20:$AB$90,14,FALSE),"")</f>
        <v/>
      </c>
      <c r="J37" s="80" t="str">
        <f>IFERROR(VLOOKUP($C37,'LEGEND&amp;DATA'!$F$20:$AB$90,16,FALSE),"")</f>
        <v/>
      </c>
      <c r="K37" s="308" t="str">
        <f>IFERROR(VLOOKUP($C37,'LEGEND&amp;DATA'!$F$20:$AB$90,18,FALSE),"")</f>
        <v>-</v>
      </c>
      <c r="L37" s="317" t="str">
        <f>IFERROR(VLOOKUP($C37,'LEGEND&amp;DATA'!$F$20:$AB$90,20,FALSE),"")</f>
        <v/>
      </c>
      <c r="M37" s="80" t="str">
        <f>IFERROR(VLOOKUP($C37,'LEGEND&amp;DATA'!$F$20:$AB$90,22,FALSE),"")</f>
        <v/>
      </c>
      <c r="N37" s="128" t="str">
        <f>IFERROR(VLOOKUP($C37,'LEGEND&amp;DATA'!$F$20:$AE$90,26,FALSE),"")</f>
        <v/>
      </c>
      <c r="O37" s="9"/>
    </row>
    <row r="38" spans="1:15" ht="16" customHeight="1" x14ac:dyDescent="0.35">
      <c r="A38" s="86">
        <v>27</v>
      </c>
      <c r="B38" s="86" t="str">
        <f t="shared" si="0"/>
        <v>Arizona-27</v>
      </c>
      <c r="C38" s="3" t="str">
        <f>IFERROR(VLOOKUP(B38,'LEGEND&amp;DATA'!$AF$20:$AG$90,2,FALSE),"")</f>
        <v/>
      </c>
      <c r="D38" s="15" t="str">
        <f>IFERROR(VLOOKUP($C38,'LEGEND&amp;DATA'!$F$20:$AB$90,2,FALSE),"")</f>
        <v/>
      </c>
      <c r="E38" s="304" t="str">
        <f>IFERROR(VLOOKUP($C38,'LEGEND&amp;DATA'!$F$20:$AB$90,4,FALSE),"")</f>
        <v/>
      </c>
      <c r="F38" s="127" t="str">
        <f>IFERROR(VLOOKUP($C38,'LEGEND&amp;DATA'!$F$20:$AB$90,8,FALSE),"")</f>
        <v/>
      </c>
      <c r="G38" s="308" t="str">
        <f>IFERROR(VLOOKUP($C38,'LEGEND&amp;DATA'!$F$20:$AB$90,10,FALSE),"")</f>
        <v/>
      </c>
      <c r="H38" s="10" t="str">
        <f>IFERROR(VLOOKUP($C38,'LEGEND&amp;DATA'!$F$20:$AB$90,12,FALSE),"")</f>
        <v/>
      </c>
      <c r="I38" s="317" t="str">
        <f>IFERROR(VLOOKUP($C38,'LEGEND&amp;DATA'!$F$20:$AB$90,14,FALSE),"")</f>
        <v/>
      </c>
      <c r="J38" s="80" t="str">
        <f>IFERROR(VLOOKUP($C38,'LEGEND&amp;DATA'!$F$20:$AB$90,16,FALSE),"")</f>
        <v/>
      </c>
      <c r="K38" s="308" t="str">
        <f>IFERROR(VLOOKUP($C38,'LEGEND&amp;DATA'!$F$20:$AB$90,18,FALSE),"")</f>
        <v>-</v>
      </c>
      <c r="L38" s="317" t="str">
        <f>IFERROR(VLOOKUP($C38,'LEGEND&amp;DATA'!$F$20:$AB$90,20,FALSE),"")</f>
        <v/>
      </c>
      <c r="M38" s="80" t="str">
        <f>IFERROR(VLOOKUP($C38,'LEGEND&amp;DATA'!$F$20:$AB$90,22,FALSE),"")</f>
        <v/>
      </c>
      <c r="N38" s="128" t="str">
        <f>IFERROR(VLOOKUP($C38,'LEGEND&amp;DATA'!$F$20:$AE$90,26,FALSE),"")</f>
        <v/>
      </c>
      <c r="O38" s="9"/>
    </row>
    <row r="39" spans="1:15" ht="16" customHeight="1" x14ac:dyDescent="0.35">
      <c r="A39" s="86">
        <v>28</v>
      </c>
      <c r="B39" s="86" t="str">
        <f t="shared" si="0"/>
        <v>Arizona-28</v>
      </c>
      <c r="C39" s="3" t="str">
        <f>IFERROR(VLOOKUP(B39,'LEGEND&amp;DATA'!$AF$20:$AG$90,2,FALSE),"")</f>
        <v/>
      </c>
      <c r="D39" s="15" t="str">
        <f>IFERROR(VLOOKUP($C39,'LEGEND&amp;DATA'!$F$20:$AB$90,2,FALSE),"")</f>
        <v/>
      </c>
      <c r="E39" s="304" t="str">
        <f>IFERROR(VLOOKUP($C39,'LEGEND&amp;DATA'!$F$20:$AB$90,4,FALSE),"")</f>
        <v/>
      </c>
      <c r="F39" s="127" t="str">
        <f>IFERROR(VLOOKUP($C39,'LEGEND&amp;DATA'!$F$20:$AB$90,8,FALSE),"")</f>
        <v/>
      </c>
      <c r="G39" s="308" t="str">
        <f>IFERROR(VLOOKUP($C39,'LEGEND&amp;DATA'!$F$20:$AB$90,10,FALSE),"")</f>
        <v/>
      </c>
      <c r="H39" s="10" t="str">
        <f>IFERROR(VLOOKUP($C39,'LEGEND&amp;DATA'!$F$20:$AB$90,12,FALSE),"")</f>
        <v/>
      </c>
      <c r="I39" s="317" t="str">
        <f>IFERROR(VLOOKUP($C39,'LEGEND&amp;DATA'!$F$20:$AB$90,14,FALSE),"")</f>
        <v/>
      </c>
      <c r="J39" s="80" t="str">
        <f>IFERROR(VLOOKUP($C39,'LEGEND&amp;DATA'!$F$20:$AB$90,16,FALSE),"")</f>
        <v/>
      </c>
      <c r="K39" s="308" t="str">
        <f>IFERROR(VLOOKUP($C39,'LEGEND&amp;DATA'!$F$20:$AB$90,18,FALSE),"")</f>
        <v>-</v>
      </c>
      <c r="L39" s="317" t="str">
        <f>IFERROR(VLOOKUP($C39,'LEGEND&amp;DATA'!$F$20:$AB$90,20,FALSE),"")</f>
        <v/>
      </c>
      <c r="M39" s="80" t="str">
        <f>IFERROR(VLOOKUP($C39,'LEGEND&amp;DATA'!$F$20:$AB$90,22,FALSE),"")</f>
        <v/>
      </c>
      <c r="N39" s="128" t="str">
        <f>IFERROR(VLOOKUP($C39,'LEGEND&amp;DATA'!$F$20:$AE$90,26,FALSE),"")</f>
        <v/>
      </c>
      <c r="O39" s="9"/>
    </row>
    <row r="40" spans="1:15" ht="16" customHeight="1" x14ac:dyDescent="0.35">
      <c r="A40" s="86">
        <v>29</v>
      </c>
      <c r="B40" s="86" t="str">
        <f t="shared" si="0"/>
        <v>Arizona-29</v>
      </c>
      <c r="C40" s="3" t="str">
        <f>IFERROR(VLOOKUP(B40,'LEGEND&amp;DATA'!$AF$20:$AG$90,2,FALSE),"")</f>
        <v/>
      </c>
      <c r="D40" s="15" t="str">
        <f>IFERROR(VLOOKUP($C40,'LEGEND&amp;DATA'!$F$20:$AB$90,2,FALSE),"")</f>
        <v/>
      </c>
      <c r="E40" s="304" t="str">
        <f>IFERROR(VLOOKUP($C40,'LEGEND&amp;DATA'!$F$20:$AB$90,4,FALSE),"")</f>
        <v/>
      </c>
      <c r="F40" s="127" t="str">
        <f>IFERROR(VLOOKUP($C40,'LEGEND&amp;DATA'!$F$20:$AB$90,8,FALSE),"")</f>
        <v/>
      </c>
      <c r="G40" s="308" t="str">
        <f>IFERROR(VLOOKUP($C40,'LEGEND&amp;DATA'!$F$20:$AB$90,10,FALSE),"")</f>
        <v/>
      </c>
      <c r="H40" s="10" t="str">
        <f>IFERROR(VLOOKUP($C40,'LEGEND&amp;DATA'!$F$20:$AB$90,12,FALSE),"")</f>
        <v/>
      </c>
      <c r="I40" s="317" t="str">
        <f>IFERROR(VLOOKUP($C40,'LEGEND&amp;DATA'!$F$20:$AB$90,14,FALSE),"")</f>
        <v/>
      </c>
      <c r="J40" s="80" t="str">
        <f>IFERROR(VLOOKUP($C40,'LEGEND&amp;DATA'!$F$20:$AB$90,16,FALSE),"")</f>
        <v/>
      </c>
      <c r="K40" s="308" t="str">
        <f>IFERROR(VLOOKUP($C40,'LEGEND&amp;DATA'!$F$20:$AB$90,18,FALSE),"")</f>
        <v>-</v>
      </c>
      <c r="L40" s="317" t="str">
        <f>IFERROR(VLOOKUP($C40,'LEGEND&amp;DATA'!$F$20:$AB$90,20,FALSE),"")</f>
        <v/>
      </c>
      <c r="M40" s="80" t="str">
        <f>IFERROR(VLOOKUP($C40,'LEGEND&amp;DATA'!$F$20:$AB$90,22,FALSE),"")</f>
        <v/>
      </c>
      <c r="N40" s="128" t="str">
        <f>IFERROR(VLOOKUP($C40,'LEGEND&amp;DATA'!$F$20:$AE$90,26,FALSE),"")</f>
        <v/>
      </c>
      <c r="O40" s="9"/>
    </row>
    <row r="41" spans="1:15" ht="16" customHeight="1" x14ac:dyDescent="0.35">
      <c r="A41" s="86">
        <v>30</v>
      </c>
      <c r="B41" s="86" t="str">
        <f t="shared" si="0"/>
        <v>Arizona-30</v>
      </c>
      <c r="C41" s="3" t="str">
        <f>IFERROR(VLOOKUP(B41,'LEGEND&amp;DATA'!$AF$20:$AG$90,2,FALSE),"")</f>
        <v/>
      </c>
      <c r="D41" s="15" t="str">
        <f>IFERROR(VLOOKUP($C41,'LEGEND&amp;DATA'!$F$20:$AB$90,2,FALSE),"")</f>
        <v/>
      </c>
      <c r="E41" s="304" t="str">
        <f>IFERROR(VLOOKUP($C41,'LEGEND&amp;DATA'!$F$20:$AB$90,4,FALSE),"")</f>
        <v/>
      </c>
      <c r="F41" s="127" t="str">
        <f>IFERROR(VLOOKUP($C41,'LEGEND&amp;DATA'!$F$20:$AB$90,8,FALSE),"")</f>
        <v/>
      </c>
      <c r="G41" s="308" t="str">
        <f>IFERROR(VLOOKUP($C41,'LEGEND&amp;DATA'!$F$20:$AB$90,10,FALSE),"")</f>
        <v/>
      </c>
      <c r="H41" s="10" t="str">
        <f>IFERROR(VLOOKUP($C41,'LEGEND&amp;DATA'!$F$20:$AB$90,12,FALSE),"")</f>
        <v/>
      </c>
      <c r="I41" s="317" t="str">
        <f>IFERROR(VLOOKUP($C41,'LEGEND&amp;DATA'!$F$20:$AB$90,14,FALSE),"")</f>
        <v/>
      </c>
      <c r="J41" s="80" t="str">
        <f>IFERROR(VLOOKUP($C41,'LEGEND&amp;DATA'!$F$20:$AB$90,16,FALSE),"")</f>
        <v/>
      </c>
      <c r="K41" s="308" t="str">
        <f>IFERROR(VLOOKUP($C41,'LEGEND&amp;DATA'!$F$20:$AB$90,18,FALSE),"")</f>
        <v>-</v>
      </c>
      <c r="L41" s="317" t="str">
        <f>IFERROR(VLOOKUP($C41,'LEGEND&amp;DATA'!$F$20:$AB$90,20,FALSE),"")</f>
        <v/>
      </c>
      <c r="M41" s="80" t="str">
        <f>IFERROR(VLOOKUP($C41,'LEGEND&amp;DATA'!$F$20:$AB$90,22,FALSE),"")</f>
        <v/>
      </c>
      <c r="N41" s="128" t="str">
        <f>IFERROR(VLOOKUP($C41,'LEGEND&amp;DATA'!$F$20:$AE$90,26,FALSE),"")</f>
        <v/>
      </c>
      <c r="O41" s="9"/>
    </row>
    <row r="42" spans="1:15" ht="16" customHeight="1" x14ac:dyDescent="0.35">
      <c r="A42" s="86">
        <v>31</v>
      </c>
      <c r="B42" s="86" t="str">
        <f t="shared" si="0"/>
        <v>Arizona-31</v>
      </c>
      <c r="C42" s="3" t="str">
        <f>IFERROR(VLOOKUP(B42,'LEGEND&amp;DATA'!$AF$20:$AG$90,2,FALSE),"")</f>
        <v/>
      </c>
      <c r="D42" s="15" t="str">
        <f>IFERROR(VLOOKUP($C42,'LEGEND&amp;DATA'!$F$20:$AB$90,2,FALSE),"")</f>
        <v/>
      </c>
      <c r="E42" s="304" t="str">
        <f>IFERROR(VLOOKUP($C42,'LEGEND&amp;DATA'!$F$20:$AB$90,4,FALSE),"")</f>
        <v/>
      </c>
      <c r="F42" s="127" t="str">
        <f>IFERROR(VLOOKUP($C42,'LEGEND&amp;DATA'!$F$20:$AB$90,8,FALSE),"")</f>
        <v/>
      </c>
      <c r="G42" s="308" t="str">
        <f>IFERROR(VLOOKUP($C42,'LEGEND&amp;DATA'!$F$20:$AB$90,10,FALSE),"")</f>
        <v/>
      </c>
      <c r="H42" s="10" t="str">
        <f>IFERROR(VLOOKUP($C42,'LEGEND&amp;DATA'!$F$20:$AB$90,12,FALSE),"")</f>
        <v/>
      </c>
      <c r="I42" s="317" t="str">
        <f>IFERROR(VLOOKUP($C42,'LEGEND&amp;DATA'!$F$20:$AB$90,14,FALSE),"")</f>
        <v/>
      </c>
      <c r="J42" s="80" t="str">
        <f>IFERROR(VLOOKUP($C42,'LEGEND&amp;DATA'!$F$20:$AB$90,16,FALSE),"")</f>
        <v/>
      </c>
      <c r="K42" s="308" t="str">
        <f>IFERROR(VLOOKUP($C42,'LEGEND&amp;DATA'!$F$20:$AB$90,18,FALSE),"")</f>
        <v>-</v>
      </c>
      <c r="L42" s="317" t="str">
        <f>IFERROR(VLOOKUP($C42,'LEGEND&amp;DATA'!$F$20:$AB$90,20,FALSE),"")</f>
        <v/>
      </c>
      <c r="M42" s="80" t="str">
        <f>IFERROR(VLOOKUP($C42,'LEGEND&amp;DATA'!$F$20:$AB$90,22,FALSE),"")</f>
        <v/>
      </c>
      <c r="N42" s="128" t="str">
        <f>IFERROR(VLOOKUP($C42,'LEGEND&amp;DATA'!$F$20:$AE$90,26,FALSE),"")</f>
        <v/>
      </c>
      <c r="O42" s="9"/>
    </row>
    <row r="43" spans="1:15" ht="16" customHeight="1" x14ac:dyDescent="0.35">
      <c r="A43" s="86">
        <v>32</v>
      </c>
      <c r="B43" s="86" t="str">
        <f t="shared" si="0"/>
        <v>Arizona-32</v>
      </c>
      <c r="C43" s="3" t="str">
        <f>IFERROR(VLOOKUP(B43,'LEGEND&amp;DATA'!$AF$20:$AG$90,2,FALSE),"")</f>
        <v/>
      </c>
      <c r="D43" s="15" t="str">
        <f>IFERROR(VLOOKUP($C43,'LEGEND&amp;DATA'!$F$20:$AB$90,2,FALSE),"")</f>
        <v/>
      </c>
      <c r="E43" s="304" t="str">
        <f>IFERROR(VLOOKUP($C43,'LEGEND&amp;DATA'!$F$20:$AB$90,4,FALSE),"")</f>
        <v/>
      </c>
      <c r="F43" s="127" t="str">
        <f>IFERROR(VLOOKUP($C43,'LEGEND&amp;DATA'!$F$20:$AB$90,8,FALSE),"")</f>
        <v/>
      </c>
      <c r="G43" s="308" t="str">
        <f>IFERROR(VLOOKUP($C43,'LEGEND&amp;DATA'!$F$20:$AB$90,10,FALSE),"")</f>
        <v/>
      </c>
      <c r="H43" s="10" t="str">
        <f>IFERROR(VLOOKUP($C43,'LEGEND&amp;DATA'!$F$20:$AB$90,12,FALSE),"")</f>
        <v/>
      </c>
      <c r="I43" s="317" t="str">
        <f>IFERROR(VLOOKUP($C43,'LEGEND&amp;DATA'!$F$20:$AB$90,14,FALSE),"")</f>
        <v/>
      </c>
      <c r="J43" s="80" t="str">
        <f>IFERROR(VLOOKUP($C43,'LEGEND&amp;DATA'!$F$20:$AB$90,16,FALSE),"")</f>
        <v/>
      </c>
      <c r="K43" s="308" t="str">
        <f>IFERROR(VLOOKUP($C43,'LEGEND&amp;DATA'!$F$20:$AB$90,18,FALSE),"")</f>
        <v>-</v>
      </c>
      <c r="L43" s="80" t="str">
        <f>IFERROR(VLOOKUP($C43,'LEGEND&amp;DATA'!$F$20:$AB$90,20,FALSE),"")</f>
        <v/>
      </c>
      <c r="M43" s="318" t="str">
        <f>IFERROR(VLOOKUP($C43,'LEGEND&amp;DATA'!$F$20:$AB$90,22,FALSE),"")</f>
        <v/>
      </c>
      <c r="N43" s="128" t="str">
        <f>IFERROR(VLOOKUP($C43,'LEGEND&amp;DATA'!$F$20:$AE$90,26,FALSE),"")</f>
        <v/>
      </c>
      <c r="O43" s="9"/>
    </row>
    <row r="44" spans="1:15" ht="16" customHeight="1" x14ac:dyDescent="0.35">
      <c r="A44" s="86">
        <v>33</v>
      </c>
      <c r="B44" s="86" t="str">
        <f t="shared" si="0"/>
        <v>Arizona-33</v>
      </c>
      <c r="C44" s="3" t="str">
        <f>IFERROR(VLOOKUP(B44,'LEGEND&amp;DATA'!$AF$20:$AG$90,2,FALSE),"")</f>
        <v/>
      </c>
      <c r="D44" s="15" t="str">
        <f>IFERROR(VLOOKUP($C44,'LEGEND&amp;DATA'!$F$20:$AB$90,2,FALSE),"")</f>
        <v/>
      </c>
      <c r="E44" s="304" t="str">
        <f>IFERROR(VLOOKUP($C44,'LEGEND&amp;DATA'!$F$20:$AB$90,4,FALSE),"")</f>
        <v/>
      </c>
      <c r="F44" s="127" t="str">
        <f>IFERROR(VLOOKUP($C44,'LEGEND&amp;DATA'!$F$20:$AB$90,8,FALSE),"")</f>
        <v/>
      </c>
      <c r="G44" s="308" t="str">
        <f>IFERROR(VLOOKUP($C44,'LEGEND&amp;DATA'!$F$20:$AB$90,10,FALSE),"")</f>
        <v/>
      </c>
      <c r="H44" s="10" t="str">
        <f>IFERROR(VLOOKUP($C44,'LEGEND&amp;DATA'!$F$20:$AB$90,12,FALSE),"")</f>
        <v/>
      </c>
      <c r="I44" s="317" t="str">
        <f>IFERROR(VLOOKUP($C44,'LEGEND&amp;DATA'!$F$20:$AB$90,14,FALSE),"")</f>
        <v/>
      </c>
      <c r="J44" s="80" t="str">
        <f>IFERROR(VLOOKUP($C44,'LEGEND&amp;DATA'!$F$20:$AB$90,16,FALSE),"")</f>
        <v/>
      </c>
      <c r="K44" s="308" t="str">
        <f>IFERROR(VLOOKUP($C44,'LEGEND&amp;DATA'!$F$20:$AB$90,18,FALSE),"")</f>
        <v>-</v>
      </c>
      <c r="L44" s="80" t="str">
        <f>IFERROR(VLOOKUP($C44,'LEGEND&amp;DATA'!$F$20:$AB$90,20,FALSE),"")</f>
        <v/>
      </c>
      <c r="M44" s="318" t="str">
        <f>IFERROR(VLOOKUP($C44,'LEGEND&amp;DATA'!$F$20:$AB$90,22,FALSE),"")</f>
        <v/>
      </c>
      <c r="N44" s="128" t="str">
        <f>IFERROR(VLOOKUP($C44,'LEGEND&amp;DATA'!$F$20:$AE$90,26,FALSE),"")</f>
        <v/>
      </c>
      <c r="O44" s="9"/>
    </row>
    <row r="45" spans="1:15" ht="16" customHeight="1" x14ac:dyDescent="0.35">
      <c r="A45" s="86">
        <v>34</v>
      </c>
      <c r="B45" s="86" t="str">
        <f t="shared" si="0"/>
        <v>Arizona-34</v>
      </c>
      <c r="C45" s="3" t="str">
        <f>IFERROR(VLOOKUP(B45,'LEGEND&amp;DATA'!$AF$20:$AG$90,2,FALSE),"")</f>
        <v/>
      </c>
      <c r="D45" s="15" t="str">
        <f>IFERROR(VLOOKUP($C45,'LEGEND&amp;DATA'!$F$20:$AB$90,2,FALSE),"")</f>
        <v/>
      </c>
      <c r="E45" s="304" t="str">
        <f>IFERROR(VLOOKUP($C45,'LEGEND&amp;DATA'!$F$20:$AB$90,4,FALSE),"")</f>
        <v/>
      </c>
      <c r="F45" s="127" t="str">
        <f>IFERROR(VLOOKUP($C45,'LEGEND&amp;DATA'!$F$20:$AB$90,8,FALSE),"")</f>
        <v/>
      </c>
      <c r="G45" s="308" t="str">
        <f>IFERROR(VLOOKUP($C45,'LEGEND&amp;DATA'!$F$20:$AB$90,10,FALSE),"")</f>
        <v/>
      </c>
      <c r="H45" s="10" t="str">
        <f>IFERROR(VLOOKUP($C45,'LEGEND&amp;DATA'!$F$20:$AB$90,12,FALSE),"")</f>
        <v/>
      </c>
      <c r="I45" s="317" t="str">
        <f>IFERROR(VLOOKUP($C45,'LEGEND&amp;DATA'!$F$20:$AB$90,14,FALSE),"")</f>
        <v/>
      </c>
      <c r="J45" s="80" t="str">
        <f>IFERROR(VLOOKUP($C45,'LEGEND&amp;DATA'!$F$20:$AB$90,16,FALSE),"")</f>
        <v/>
      </c>
      <c r="K45" s="308" t="str">
        <f>IFERROR(VLOOKUP($C45,'LEGEND&amp;DATA'!$F$20:$AB$90,18,FALSE),"")</f>
        <v>-</v>
      </c>
      <c r="L45" s="80" t="str">
        <f>IFERROR(VLOOKUP($C45,'LEGEND&amp;DATA'!$F$20:$AB$90,20,FALSE),"")</f>
        <v/>
      </c>
      <c r="M45" s="318" t="str">
        <f>IFERROR(VLOOKUP($C45,'LEGEND&amp;DATA'!$F$20:$AB$90,22,FALSE),"")</f>
        <v/>
      </c>
      <c r="N45" s="128" t="str">
        <f>IFERROR(VLOOKUP($C45,'LEGEND&amp;DATA'!$F$20:$AE$90,26,FALSE),"")</f>
        <v/>
      </c>
      <c r="O45" s="9"/>
    </row>
    <row r="46" spans="1:15" ht="16" customHeight="1" x14ac:dyDescent="0.35">
      <c r="A46" s="86">
        <v>35</v>
      </c>
      <c r="B46" s="86" t="str">
        <f t="shared" si="0"/>
        <v>Arizona-35</v>
      </c>
      <c r="C46" s="3" t="str">
        <f>IFERROR(VLOOKUP(B46,'LEGEND&amp;DATA'!$AF$20:$AG$90,2,FALSE),"")</f>
        <v/>
      </c>
      <c r="D46" s="15" t="str">
        <f>IFERROR(VLOOKUP($C46,'LEGEND&amp;DATA'!$F$20:$AB$90,2,FALSE),"")</f>
        <v/>
      </c>
      <c r="E46" s="304" t="str">
        <f>IFERROR(VLOOKUP($C46,'LEGEND&amp;DATA'!$F$20:$AB$90,4,FALSE),"")</f>
        <v/>
      </c>
      <c r="F46" s="127" t="str">
        <f>IFERROR(VLOOKUP($C46,'LEGEND&amp;DATA'!$F$20:$AB$90,8,FALSE),"")</f>
        <v/>
      </c>
      <c r="G46" s="308" t="str">
        <f>IFERROR(VLOOKUP($C46,'LEGEND&amp;DATA'!$F$20:$AB$90,10,FALSE),"")</f>
        <v/>
      </c>
      <c r="H46" s="10" t="str">
        <f>IFERROR(VLOOKUP($C46,'LEGEND&amp;DATA'!$F$20:$AB$90,12,FALSE),"")</f>
        <v/>
      </c>
      <c r="I46" s="317" t="str">
        <f>IFERROR(VLOOKUP($C46,'LEGEND&amp;DATA'!$F$20:$AB$90,14,FALSE),"")</f>
        <v/>
      </c>
      <c r="J46" s="80" t="str">
        <f>IFERROR(VLOOKUP($C46,'LEGEND&amp;DATA'!$F$20:$AB$90,16,FALSE),"")</f>
        <v/>
      </c>
      <c r="K46" s="308" t="str">
        <f>IFERROR(VLOOKUP($C46,'LEGEND&amp;DATA'!$F$20:$AB$90,18,FALSE),"")</f>
        <v>-</v>
      </c>
      <c r="L46" s="80" t="str">
        <f>IFERROR(VLOOKUP($C46,'LEGEND&amp;DATA'!$F$20:$AB$90,20,FALSE),"")</f>
        <v/>
      </c>
      <c r="M46" s="318" t="str">
        <f>IFERROR(VLOOKUP($C46,'LEGEND&amp;DATA'!$F$20:$AB$90,22,FALSE),"")</f>
        <v/>
      </c>
      <c r="N46" s="128" t="str">
        <f>IFERROR(VLOOKUP($C46,'LEGEND&amp;DATA'!$F$20:$AE$90,26,FALSE),"")</f>
        <v/>
      </c>
      <c r="O46" s="9"/>
    </row>
    <row r="47" spans="1:15" ht="16" customHeight="1" x14ac:dyDescent="0.35">
      <c r="A47" s="86">
        <v>36</v>
      </c>
      <c r="B47" s="86" t="str">
        <f t="shared" si="0"/>
        <v>Arizona-36</v>
      </c>
      <c r="C47" s="3" t="str">
        <f>IFERROR(VLOOKUP(B47,'LEGEND&amp;DATA'!$AF$20:$AG$90,2,FALSE),"")</f>
        <v/>
      </c>
      <c r="D47" s="15" t="str">
        <f>IFERROR(VLOOKUP($C47,'LEGEND&amp;DATA'!$F$20:$AB$90,2,FALSE),"")</f>
        <v/>
      </c>
      <c r="E47" s="304" t="str">
        <f>IFERROR(VLOOKUP($C47,'LEGEND&amp;DATA'!$F$20:$AB$90,4,FALSE),"")</f>
        <v/>
      </c>
      <c r="F47" s="127" t="str">
        <f>IFERROR(VLOOKUP($C47,'LEGEND&amp;DATA'!$F$20:$AB$90,8,FALSE),"")</f>
        <v/>
      </c>
      <c r="G47" s="308" t="str">
        <f>IFERROR(VLOOKUP($C47,'LEGEND&amp;DATA'!$F$20:$AB$90,10,FALSE),"")</f>
        <v/>
      </c>
      <c r="H47" s="10" t="str">
        <f>IFERROR(VLOOKUP($C47,'LEGEND&amp;DATA'!$F$20:$AB$90,12,FALSE),"")</f>
        <v/>
      </c>
      <c r="I47" s="317" t="str">
        <f>IFERROR(VLOOKUP($C47,'LEGEND&amp;DATA'!$F$20:$AB$90,14,FALSE),"")</f>
        <v/>
      </c>
      <c r="J47" s="80" t="str">
        <f>IFERROR(VLOOKUP($C47,'LEGEND&amp;DATA'!$F$20:$AB$90,16,FALSE),"")</f>
        <v/>
      </c>
      <c r="K47" s="308" t="str">
        <f>IFERROR(VLOOKUP($C47,'LEGEND&amp;DATA'!$F$20:$AB$90,18,FALSE),"")</f>
        <v>-</v>
      </c>
      <c r="L47" s="80" t="str">
        <f>IFERROR(VLOOKUP($C47,'LEGEND&amp;DATA'!$F$20:$AB$90,20,FALSE),"")</f>
        <v/>
      </c>
      <c r="M47" s="318" t="str">
        <f>IFERROR(VLOOKUP($C47,'LEGEND&amp;DATA'!$F$20:$AB$90,22,FALSE),"")</f>
        <v/>
      </c>
      <c r="N47" s="128" t="str">
        <f>IFERROR(VLOOKUP($C47,'LEGEND&amp;DATA'!$F$20:$AE$90,26,FALSE),"")</f>
        <v/>
      </c>
      <c r="O47" s="9"/>
    </row>
    <row r="48" spans="1:15" ht="16" customHeight="1" x14ac:dyDescent="0.35">
      <c r="A48" s="86">
        <v>37</v>
      </c>
      <c r="B48" s="86" t="str">
        <f t="shared" si="0"/>
        <v>Arizona-37</v>
      </c>
      <c r="C48" s="3" t="str">
        <f>IFERROR(VLOOKUP(B48,'LEGEND&amp;DATA'!$AF$20:$AG$90,2,FALSE),"")</f>
        <v/>
      </c>
      <c r="D48" s="15" t="str">
        <f>IFERROR(VLOOKUP($C48,'LEGEND&amp;DATA'!$F$20:$AB$90,2,FALSE),"")</f>
        <v/>
      </c>
      <c r="E48" s="304" t="str">
        <f>IFERROR(VLOOKUP($C48,'LEGEND&amp;DATA'!$F$20:$AB$90,4,FALSE),"")</f>
        <v/>
      </c>
      <c r="F48" s="127" t="str">
        <f>IFERROR(VLOOKUP($C48,'LEGEND&amp;DATA'!$F$20:$AB$90,8,FALSE),"")</f>
        <v/>
      </c>
      <c r="G48" s="308" t="str">
        <f>IFERROR(VLOOKUP($C48,'LEGEND&amp;DATA'!$F$20:$AB$90,10,FALSE),"")</f>
        <v/>
      </c>
      <c r="H48" s="10" t="str">
        <f>IFERROR(VLOOKUP($C48,'LEGEND&amp;DATA'!$F$20:$AB$90,12,FALSE),"")</f>
        <v/>
      </c>
      <c r="I48" s="317" t="str">
        <f>IFERROR(VLOOKUP($C48,'LEGEND&amp;DATA'!$F$20:$AB$90,14,FALSE),"")</f>
        <v/>
      </c>
      <c r="J48" s="80" t="str">
        <f>IFERROR(VLOOKUP($C48,'LEGEND&amp;DATA'!$F$20:$AB$90,16,FALSE),"")</f>
        <v/>
      </c>
      <c r="K48" s="308" t="str">
        <f>IFERROR(VLOOKUP($C48,'LEGEND&amp;DATA'!$F$20:$AB$90,18,FALSE),"")</f>
        <v>-</v>
      </c>
      <c r="L48" s="80" t="str">
        <f>IFERROR(VLOOKUP($C48,'LEGEND&amp;DATA'!$F$20:$AB$90,20,FALSE),"")</f>
        <v/>
      </c>
      <c r="M48" s="318" t="str">
        <f>IFERROR(VLOOKUP($C48,'LEGEND&amp;DATA'!$F$20:$AB$90,22,FALSE),"")</f>
        <v/>
      </c>
      <c r="N48" s="128" t="str">
        <f>IFERROR(VLOOKUP($C48,'LEGEND&amp;DATA'!$F$20:$AE$90,26,FALSE),"")</f>
        <v/>
      </c>
      <c r="O48" s="9"/>
    </row>
    <row r="49" spans="1:15" ht="16" customHeight="1" x14ac:dyDescent="0.35">
      <c r="A49" s="86">
        <v>38</v>
      </c>
      <c r="B49" s="86" t="str">
        <f t="shared" si="0"/>
        <v>Arizona-38</v>
      </c>
      <c r="C49" s="3" t="str">
        <f>IFERROR(VLOOKUP(B49,'LEGEND&amp;DATA'!$AF$20:$AG$90,2,FALSE),"")</f>
        <v/>
      </c>
      <c r="D49" s="15" t="str">
        <f>IFERROR(VLOOKUP($C49,'LEGEND&amp;DATA'!$F$20:$AB$90,2,FALSE),"")</f>
        <v/>
      </c>
      <c r="E49" s="304" t="str">
        <f>IFERROR(VLOOKUP($C49,'LEGEND&amp;DATA'!$F$20:$AB$90,4,FALSE),"")</f>
        <v/>
      </c>
      <c r="F49" s="127" t="str">
        <f>IFERROR(VLOOKUP($C49,'LEGEND&amp;DATA'!$F$20:$AB$90,8,FALSE),"")</f>
        <v/>
      </c>
      <c r="G49" s="308" t="str">
        <f>IFERROR(VLOOKUP($C49,'LEGEND&amp;DATA'!$F$20:$AB$90,10,FALSE),"")</f>
        <v/>
      </c>
      <c r="H49" s="10" t="str">
        <f>IFERROR(VLOOKUP($C49,'LEGEND&amp;DATA'!$F$20:$AB$90,12,FALSE),"")</f>
        <v/>
      </c>
      <c r="I49" s="317" t="str">
        <f>IFERROR(VLOOKUP($C49,'LEGEND&amp;DATA'!$F$20:$AB$90,14,FALSE),"")</f>
        <v/>
      </c>
      <c r="J49" s="80" t="str">
        <f>IFERROR(VLOOKUP($C49,'LEGEND&amp;DATA'!$F$20:$AB$90,16,FALSE),"")</f>
        <v/>
      </c>
      <c r="K49" s="308" t="str">
        <f>IFERROR(VLOOKUP($C49,'LEGEND&amp;DATA'!$F$20:$AB$90,18,FALSE),"")</f>
        <v>-</v>
      </c>
      <c r="L49" s="80" t="str">
        <f>IFERROR(VLOOKUP($C49,'LEGEND&amp;DATA'!$F$20:$AB$90,20,FALSE),"")</f>
        <v/>
      </c>
      <c r="M49" s="318" t="str">
        <f>IFERROR(VLOOKUP($C49,'LEGEND&amp;DATA'!$F$20:$AB$90,22,FALSE),"")</f>
        <v/>
      </c>
      <c r="N49" s="128" t="str">
        <f>IFERROR(VLOOKUP($C49,'LEGEND&amp;DATA'!$F$20:$AE$90,26,FALSE),"")</f>
        <v/>
      </c>
      <c r="O49" s="9"/>
    </row>
    <row r="50" spans="1:15" ht="16" customHeight="1" x14ac:dyDescent="0.35">
      <c r="A50" s="86">
        <v>39</v>
      </c>
      <c r="B50" s="86" t="str">
        <f t="shared" si="0"/>
        <v>Arizona-39</v>
      </c>
      <c r="C50" s="3" t="str">
        <f>IFERROR(VLOOKUP(B50,'LEGEND&amp;DATA'!$AF$20:$AG$90,2,FALSE),"")</f>
        <v/>
      </c>
      <c r="D50" s="15" t="str">
        <f>IFERROR(VLOOKUP($C50,'LEGEND&amp;DATA'!$F$20:$AB$90,2,FALSE),"")</f>
        <v/>
      </c>
      <c r="E50" s="304" t="str">
        <f>IFERROR(VLOOKUP($C50,'LEGEND&amp;DATA'!$F$20:$AB$90,4,FALSE),"")</f>
        <v/>
      </c>
      <c r="F50" s="127" t="str">
        <f>IFERROR(VLOOKUP($C50,'LEGEND&amp;DATA'!$F$20:$AB$90,8,FALSE),"")</f>
        <v/>
      </c>
      <c r="G50" s="308" t="str">
        <f>IFERROR(VLOOKUP($C50,'LEGEND&amp;DATA'!$F$20:$AB$90,10,FALSE),"")</f>
        <v/>
      </c>
      <c r="H50" s="10" t="str">
        <f>IFERROR(VLOOKUP($C50,'LEGEND&amp;DATA'!$F$20:$AB$90,12,FALSE),"")</f>
        <v/>
      </c>
      <c r="I50" s="317" t="str">
        <f>IFERROR(VLOOKUP($C50,'LEGEND&amp;DATA'!$F$20:$AB$90,14,FALSE),"")</f>
        <v/>
      </c>
      <c r="J50" s="80" t="str">
        <f>IFERROR(VLOOKUP($C50,'LEGEND&amp;DATA'!$F$20:$AB$90,16,FALSE),"")</f>
        <v/>
      </c>
      <c r="K50" s="308" t="str">
        <f>IFERROR(VLOOKUP($C50,'LEGEND&amp;DATA'!$F$20:$AB$90,18,FALSE),"")</f>
        <v>-</v>
      </c>
      <c r="L50" s="80" t="str">
        <f>IFERROR(VLOOKUP($C50,'LEGEND&amp;DATA'!$F$20:$AB$90,20,FALSE),"")</f>
        <v/>
      </c>
      <c r="M50" s="318" t="str">
        <f>IFERROR(VLOOKUP($C50,'LEGEND&amp;DATA'!$F$20:$AB$90,22,FALSE),"")</f>
        <v/>
      </c>
      <c r="N50" s="128" t="str">
        <f>IFERROR(VLOOKUP($C50,'LEGEND&amp;DATA'!$F$20:$AE$90,26,FALSE),"")</f>
        <v/>
      </c>
      <c r="O50" s="9"/>
    </row>
    <row r="51" spans="1:15" ht="16" customHeight="1" x14ac:dyDescent="0.35">
      <c r="A51" s="86">
        <v>40</v>
      </c>
      <c r="B51" s="86" t="str">
        <f t="shared" si="0"/>
        <v>Arizona-40</v>
      </c>
      <c r="C51" s="3" t="str">
        <f>IFERROR(VLOOKUP(B51,'LEGEND&amp;DATA'!$AF$20:$AG$90,2,FALSE),"")</f>
        <v/>
      </c>
      <c r="D51" s="15" t="str">
        <f>IFERROR(VLOOKUP($C51,'LEGEND&amp;DATA'!$F$20:$AB$90,2,FALSE),"")</f>
        <v/>
      </c>
      <c r="E51" s="304" t="str">
        <f>IFERROR(VLOOKUP($C51,'LEGEND&amp;DATA'!$F$20:$AB$90,4,FALSE),"")</f>
        <v/>
      </c>
      <c r="F51" s="127" t="str">
        <f>IFERROR(VLOOKUP($C51,'LEGEND&amp;DATA'!$F$20:$AB$90,8,FALSE),"")</f>
        <v/>
      </c>
      <c r="G51" s="308" t="str">
        <f>IFERROR(VLOOKUP($C51,'LEGEND&amp;DATA'!$F$20:$AB$90,10,FALSE),"")</f>
        <v/>
      </c>
      <c r="H51" s="10" t="str">
        <f>IFERROR(VLOOKUP($C51,'LEGEND&amp;DATA'!$F$20:$AB$90,12,FALSE),"")</f>
        <v/>
      </c>
      <c r="I51" s="317" t="str">
        <f>IFERROR(VLOOKUP($C51,'LEGEND&amp;DATA'!$F$20:$AB$90,14,FALSE),"")</f>
        <v/>
      </c>
      <c r="J51" s="80" t="str">
        <f>IFERROR(VLOOKUP($C51,'LEGEND&amp;DATA'!$F$20:$AB$90,16,FALSE),"")</f>
        <v/>
      </c>
      <c r="K51" s="308" t="str">
        <f>IFERROR(VLOOKUP($C51,'LEGEND&amp;DATA'!$F$20:$AB$90,18,FALSE),"")</f>
        <v>-</v>
      </c>
      <c r="L51" s="80" t="str">
        <f>IFERROR(VLOOKUP($C51,'LEGEND&amp;DATA'!$F$20:$AB$90,20,FALSE),"")</f>
        <v/>
      </c>
      <c r="M51" s="318" t="str">
        <f>IFERROR(VLOOKUP($C51,'LEGEND&amp;DATA'!$F$20:$AB$90,22,FALSE),"")</f>
        <v/>
      </c>
      <c r="N51" s="128" t="str">
        <f>IFERROR(VLOOKUP($C51,'LEGEND&amp;DATA'!$F$20:$AE$90,26,FALSE),"")</f>
        <v/>
      </c>
      <c r="O51" s="9"/>
    </row>
    <row r="52" spans="1:15" ht="16" customHeight="1" x14ac:dyDescent="0.35">
      <c r="A52" s="86">
        <v>41</v>
      </c>
      <c r="B52" s="86" t="str">
        <f t="shared" si="0"/>
        <v>Arizona-41</v>
      </c>
      <c r="C52" s="3" t="str">
        <f>IFERROR(VLOOKUP(B52,'LEGEND&amp;DATA'!$AF$20:$AG$90,2,FALSE),"")</f>
        <v/>
      </c>
      <c r="D52" s="15" t="str">
        <f>IFERROR(VLOOKUP($C52,'LEGEND&amp;DATA'!$F$20:$AB$90,2,FALSE),"")</f>
        <v/>
      </c>
      <c r="E52" s="304" t="str">
        <f>IFERROR(VLOOKUP($C52,'LEGEND&amp;DATA'!$F$20:$AB$90,4,FALSE),"")</f>
        <v/>
      </c>
      <c r="F52" s="127" t="str">
        <f>IFERROR(VLOOKUP($C52,'LEGEND&amp;DATA'!$F$20:$AB$90,8,FALSE),"")</f>
        <v/>
      </c>
      <c r="G52" s="308" t="str">
        <f>IFERROR(VLOOKUP($C52,'LEGEND&amp;DATA'!$F$20:$AB$90,10,FALSE),"")</f>
        <v/>
      </c>
      <c r="H52" s="10" t="str">
        <f>IFERROR(VLOOKUP($C52,'LEGEND&amp;DATA'!$F$20:$AB$90,12,FALSE),"")</f>
        <v/>
      </c>
      <c r="I52" s="317" t="str">
        <f>IFERROR(VLOOKUP($C52,'LEGEND&amp;DATA'!$F$20:$AB$90,14,FALSE),"")</f>
        <v/>
      </c>
      <c r="J52" s="80" t="str">
        <f>IFERROR(VLOOKUP($C52,'LEGEND&amp;DATA'!$F$20:$AB$90,16,FALSE),"")</f>
        <v/>
      </c>
      <c r="K52" s="308" t="str">
        <f>IFERROR(VLOOKUP($C52,'LEGEND&amp;DATA'!$F$20:$AB$90,18,FALSE),"")</f>
        <v>-</v>
      </c>
      <c r="L52" s="80" t="str">
        <f>IFERROR(VLOOKUP($C52,'LEGEND&amp;DATA'!$F$20:$AB$90,20,FALSE),"")</f>
        <v/>
      </c>
      <c r="M52" s="318" t="str">
        <f>IFERROR(VLOOKUP($C52,'LEGEND&amp;DATA'!$F$20:$AB$90,22,FALSE),"")</f>
        <v/>
      </c>
      <c r="N52" s="128" t="str">
        <f>IFERROR(VLOOKUP($C52,'LEGEND&amp;DATA'!$F$20:$AE$90,26,FALSE),"")</f>
        <v/>
      </c>
      <c r="O52" s="9"/>
    </row>
    <row r="53" spans="1:15" ht="16" customHeight="1" x14ac:dyDescent="0.35">
      <c r="A53" s="86">
        <v>42</v>
      </c>
      <c r="B53" s="86" t="str">
        <f t="shared" si="0"/>
        <v>Arizona-42</v>
      </c>
      <c r="C53" s="3" t="str">
        <f>IFERROR(VLOOKUP(B53,'LEGEND&amp;DATA'!$AF$20:$AG$90,2,FALSE),"")</f>
        <v/>
      </c>
      <c r="D53" s="15" t="str">
        <f>IFERROR(VLOOKUP($C53,'LEGEND&amp;DATA'!$F$20:$AB$90,2,FALSE),"")</f>
        <v/>
      </c>
      <c r="E53" s="304" t="str">
        <f>IFERROR(VLOOKUP($C53,'LEGEND&amp;DATA'!$F$20:$AB$90,4,FALSE),"")</f>
        <v/>
      </c>
      <c r="F53" s="127" t="str">
        <f>IFERROR(VLOOKUP($C53,'LEGEND&amp;DATA'!$F$20:$AB$90,8,FALSE),"")</f>
        <v/>
      </c>
      <c r="G53" s="308" t="str">
        <f>IFERROR(VLOOKUP($C53,'LEGEND&amp;DATA'!$F$20:$AB$90,10,FALSE),"")</f>
        <v/>
      </c>
      <c r="H53" s="10" t="str">
        <f>IFERROR(VLOOKUP($C53,'LEGEND&amp;DATA'!$F$20:$AB$90,12,FALSE),"")</f>
        <v/>
      </c>
      <c r="I53" s="317" t="str">
        <f>IFERROR(VLOOKUP($C53,'LEGEND&amp;DATA'!$F$20:$AB$90,14,FALSE),"")</f>
        <v/>
      </c>
      <c r="J53" s="80" t="str">
        <f>IFERROR(VLOOKUP($C53,'LEGEND&amp;DATA'!$F$20:$AB$90,16,FALSE),"")</f>
        <v/>
      </c>
      <c r="K53" s="308" t="str">
        <f>IFERROR(VLOOKUP($C53,'LEGEND&amp;DATA'!$F$20:$AB$90,18,FALSE),"")</f>
        <v>-</v>
      </c>
      <c r="L53" s="80" t="str">
        <f>IFERROR(VLOOKUP($C53,'LEGEND&amp;DATA'!$F$20:$AB$90,20,FALSE),"")</f>
        <v/>
      </c>
      <c r="M53" s="318" t="str">
        <f>IFERROR(VLOOKUP($C53,'LEGEND&amp;DATA'!$F$20:$AB$90,22,FALSE),"")</f>
        <v/>
      </c>
      <c r="N53" s="128" t="str">
        <f>IFERROR(VLOOKUP($C53,'LEGEND&amp;DATA'!$F$20:$AE$90,26,FALSE),"")</f>
        <v/>
      </c>
      <c r="O53" s="9"/>
    </row>
    <row r="54" spans="1:15" ht="16" customHeight="1" x14ac:dyDescent="0.35">
      <c r="A54" s="86">
        <v>43</v>
      </c>
      <c r="B54" s="86" t="str">
        <f t="shared" si="0"/>
        <v>Arizona-43</v>
      </c>
      <c r="C54" s="3" t="str">
        <f>IFERROR(VLOOKUP(B54,'LEGEND&amp;DATA'!$AF$20:$AG$90,2,FALSE),"")</f>
        <v/>
      </c>
      <c r="D54" s="15" t="str">
        <f>IFERROR(VLOOKUP($C54,'LEGEND&amp;DATA'!$F$20:$AB$90,2,FALSE),"")</f>
        <v/>
      </c>
      <c r="E54" s="304" t="str">
        <f>IFERROR(VLOOKUP($C54,'LEGEND&amp;DATA'!$F$20:$AB$90,4,FALSE),"")</f>
        <v/>
      </c>
      <c r="F54" s="127" t="str">
        <f>IFERROR(VLOOKUP($C54,'LEGEND&amp;DATA'!$F$20:$AB$90,8,FALSE),"")</f>
        <v/>
      </c>
      <c r="G54" s="308" t="str">
        <f>IFERROR(VLOOKUP($C54,'LEGEND&amp;DATA'!$F$20:$AB$90,10,FALSE),"")</f>
        <v/>
      </c>
      <c r="H54" s="10" t="str">
        <f>IFERROR(VLOOKUP($C54,'LEGEND&amp;DATA'!$F$20:$AB$90,12,FALSE),"")</f>
        <v/>
      </c>
      <c r="I54" s="317" t="str">
        <f>IFERROR(VLOOKUP($C54,'LEGEND&amp;DATA'!$F$20:$AB$90,14,FALSE),"")</f>
        <v/>
      </c>
      <c r="J54" s="80" t="str">
        <f>IFERROR(VLOOKUP($C54,'LEGEND&amp;DATA'!$F$20:$AB$90,16,FALSE),"")</f>
        <v/>
      </c>
      <c r="K54" s="308" t="str">
        <f>IFERROR(VLOOKUP($C54,'LEGEND&amp;DATA'!$F$20:$AB$90,18,FALSE),"")</f>
        <v>-</v>
      </c>
      <c r="L54" s="80" t="str">
        <f>IFERROR(VLOOKUP($C54,'LEGEND&amp;DATA'!$F$20:$AB$90,20,FALSE),"")</f>
        <v/>
      </c>
      <c r="M54" s="318" t="str">
        <f>IFERROR(VLOOKUP($C54,'LEGEND&amp;DATA'!$F$20:$AB$90,22,FALSE),"")</f>
        <v/>
      </c>
      <c r="N54" s="128" t="str">
        <f>IFERROR(VLOOKUP($C54,'LEGEND&amp;DATA'!$F$20:$AE$90,26,FALSE),"")</f>
        <v/>
      </c>
      <c r="O54" s="9"/>
    </row>
    <row r="55" spans="1:15" ht="16" customHeight="1" x14ac:dyDescent="0.35">
      <c r="A55" s="86">
        <v>44</v>
      </c>
      <c r="B55" s="86" t="str">
        <f t="shared" si="0"/>
        <v>Arizona-44</v>
      </c>
      <c r="C55" s="3" t="str">
        <f>IFERROR(VLOOKUP(B55,'LEGEND&amp;DATA'!$AF$20:$AG$90,2,FALSE),"")</f>
        <v/>
      </c>
      <c r="D55" s="15" t="str">
        <f>IFERROR(VLOOKUP($C55,'LEGEND&amp;DATA'!$F$20:$AB$90,2,FALSE),"")</f>
        <v/>
      </c>
      <c r="E55" s="304" t="str">
        <f>IFERROR(VLOOKUP($C55,'LEGEND&amp;DATA'!$F$20:$AB$90,4,FALSE),"")</f>
        <v/>
      </c>
      <c r="F55" s="127" t="str">
        <f>IFERROR(VLOOKUP($C55,'LEGEND&amp;DATA'!$F$20:$AB$90,8,FALSE),"")</f>
        <v/>
      </c>
      <c r="G55" s="308" t="str">
        <f>IFERROR(VLOOKUP($C55,'LEGEND&amp;DATA'!$F$20:$AB$90,10,FALSE),"")</f>
        <v/>
      </c>
      <c r="H55" s="10" t="str">
        <f>IFERROR(VLOOKUP($C55,'LEGEND&amp;DATA'!$F$20:$AB$90,12,FALSE),"")</f>
        <v/>
      </c>
      <c r="I55" s="317" t="str">
        <f>IFERROR(VLOOKUP($C55,'LEGEND&amp;DATA'!$F$20:$AB$90,14,FALSE),"")</f>
        <v/>
      </c>
      <c r="J55" s="80" t="str">
        <f>IFERROR(VLOOKUP($C55,'LEGEND&amp;DATA'!$F$20:$AB$90,16,FALSE),"")</f>
        <v/>
      </c>
      <c r="K55" s="308" t="str">
        <f>IFERROR(VLOOKUP($C55,'LEGEND&amp;DATA'!$F$20:$AB$90,18,FALSE),"")</f>
        <v>-</v>
      </c>
      <c r="L55" s="80" t="str">
        <f>IFERROR(VLOOKUP($C55,'LEGEND&amp;DATA'!$F$20:$AB$90,20,FALSE),"")</f>
        <v/>
      </c>
      <c r="M55" s="318" t="str">
        <f>IFERROR(VLOOKUP($C55,'LEGEND&amp;DATA'!$F$20:$AB$90,22,FALSE),"")</f>
        <v/>
      </c>
      <c r="N55" s="128" t="str">
        <f>IFERROR(VLOOKUP($C55,'LEGEND&amp;DATA'!$F$20:$AE$90,26,FALSE),"")</f>
        <v/>
      </c>
      <c r="O55" s="9"/>
    </row>
    <row r="56" spans="1:15" ht="16" customHeight="1" x14ac:dyDescent="0.35">
      <c r="A56" s="86">
        <v>45</v>
      </c>
      <c r="B56" s="86" t="str">
        <f t="shared" si="0"/>
        <v>Arizona-45</v>
      </c>
      <c r="C56" s="3" t="str">
        <f>IFERROR(VLOOKUP(B56,'LEGEND&amp;DATA'!$AF$20:$AG$90,2,FALSE),"")</f>
        <v/>
      </c>
      <c r="D56" s="15" t="str">
        <f>IFERROR(VLOOKUP($C56,'LEGEND&amp;DATA'!$F$20:$AB$90,2,FALSE),"")</f>
        <v/>
      </c>
      <c r="E56" s="253" t="str">
        <f>IFERROR(VLOOKUP($C56,'LEGEND&amp;DATA'!$F$20:$AB$90,4,FALSE),"")</f>
        <v/>
      </c>
      <c r="F56" s="127" t="str">
        <f>IFERROR(VLOOKUP($C56,'LEGEND&amp;DATA'!$F$20:$AB$90,8,FALSE),"")</f>
        <v/>
      </c>
      <c r="G56" s="252" t="str">
        <f>IFERROR(VLOOKUP($C56,'LEGEND&amp;DATA'!$F$20:$AB$90,10,FALSE),"")</f>
        <v/>
      </c>
      <c r="H56" s="10" t="str">
        <f>IFERROR(VLOOKUP($C56,'LEGEND&amp;DATA'!$F$20:$AB$90,12,FALSE),"")</f>
        <v/>
      </c>
      <c r="I56" s="254" t="str">
        <f>IFERROR(VLOOKUP($C56,'LEGEND&amp;DATA'!$F$20:$AB$90,14,FALSE),"")</f>
        <v/>
      </c>
      <c r="J56" s="80" t="str">
        <f>IFERROR(VLOOKUP($C56,'LEGEND&amp;DATA'!$F$20:$AB$90,16,FALSE),"")</f>
        <v/>
      </c>
      <c r="K56" s="252" t="str">
        <f>IFERROR(VLOOKUP($C56,'LEGEND&amp;DATA'!$F$20:$AB$90,18,FALSE),"")</f>
        <v>-</v>
      </c>
      <c r="L56" s="80" t="str">
        <f>IFERROR(VLOOKUP($C56,'LEGEND&amp;DATA'!$F$20:$AB$90,20,FALSE),"")</f>
        <v/>
      </c>
      <c r="M56" s="255" t="str">
        <f>IFERROR(VLOOKUP($C56,'LEGEND&amp;DATA'!$F$20:$AB$90,22,FALSE),"")</f>
        <v/>
      </c>
      <c r="N56" s="128" t="str">
        <f>IFERROR(VLOOKUP($C56,'LEGEND&amp;DATA'!$F$20:$AE$90,26,FALSE),"")</f>
        <v/>
      </c>
      <c r="O56" s="9"/>
    </row>
    <row r="57" spans="1:15" ht="16" customHeight="1" x14ac:dyDescent="0.35">
      <c r="A57" s="86">
        <v>46</v>
      </c>
      <c r="B57" s="86" t="str">
        <f t="shared" si="0"/>
        <v>Arizona-46</v>
      </c>
      <c r="C57" s="3" t="str">
        <f>IFERROR(VLOOKUP(B57,'LEGEND&amp;DATA'!$AF$20:$AG$90,2,FALSE),"")</f>
        <v/>
      </c>
      <c r="D57" s="15" t="str">
        <f>IFERROR(VLOOKUP($C57,'LEGEND&amp;DATA'!$F$20:$AB$90,2,FALSE),"")</f>
        <v/>
      </c>
      <c r="E57" s="253" t="str">
        <f>IFERROR(VLOOKUP($C57,'LEGEND&amp;DATA'!$F$20:$AB$90,4,FALSE),"")</f>
        <v/>
      </c>
      <c r="F57" s="127" t="str">
        <f>IFERROR(VLOOKUP($C57,'LEGEND&amp;DATA'!$F$20:$AB$90,8,FALSE),"")</f>
        <v/>
      </c>
      <c r="G57" s="252" t="str">
        <f>IFERROR(VLOOKUP($C57,'LEGEND&amp;DATA'!$F$20:$AB$90,10,FALSE),"")</f>
        <v/>
      </c>
      <c r="H57" s="10" t="str">
        <f>IFERROR(VLOOKUP($C57,'LEGEND&amp;DATA'!$F$20:$AB$90,12,FALSE),"")</f>
        <v/>
      </c>
      <c r="I57" s="254" t="str">
        <f>IFERROR(VLOOKUP($C57,'LEGEND&amp;DATA'!$F$20:$AB$90,14,FALSE),"")</f>
        <v/>
      </c>
      <c r="J57" s="80" t="str">
        <f>IFERROR(VLOOKUP($C57,'LEGEND&amp;DATA'!$F$20:$AB$90,16,FALSE),"")</f>
        <v/>
      </c>
      <c r="K57" s="252" t="str">
        <f>IFERROR(VLOOKUP($C57,'LEGEND&amp;DATA'!$F$20:$AB$90,18,FALSE),"")</f>
        <v>-</v>
      </c>
      <c r="L57" s="80" t="str">
        <f>IFERROR(VLOOKUP($C57,'LEGEND&amp;DATA'!$F$20:$AB$90,20,FALSE),"")</f>
        <v/>
      </c>
      <c r="M57" s="255" t="str">
        <f>IFERROR(VLOOKUP($C57,'LEGEND&amp;DATA'!$F$20:$AB$90,22,FALSE),"")</f>
        <v/>
      </c>
      <c r="N57" s="128" t="str">
        <f>IFERROR(VLOOKUP($C57,'LEGEND&amp;DATA'!$F$20:$AE$90,26,FALSE),"")</f>
        <v/>
      </c>
      <c r="O57" s="9"/>
    </row>
    <row r="58" spans="1:15" ht="16" customHeight="1" x14ac:dyDescent="0.35">
      <c r="A58" s="86">
        <v>47</v>
      </c>
      <c r="B58" s="86" t="str">
        <f t="shared" si="0"/>
        <v>Arizona-47</v>
      </c>
      <c r="C58" s="3" t="str">
        <f>IFERROR(VLOOKUP(B58,'LEGEND&amp;DATA'!$AF$20:$AG$90,2,FALSE),"")</f>
        <v/>
      </c>
      <c r="D58" s="15" t="str">
        <f>IFERROR(VLOOKUP($C58,'LEGEND&amp;DATA'!$F$20:$AB$90,2,FALSE),"")</f>
        <v/>
      </c>
      <c r="E58" s="253" t="str">
        <f>IFERROR(VLOOKUP($C58,'LEGEND&amp;DATA'!$F$20:$AB$90,4,FALSE),"")</f>
        <v/>
      </c>
      <c r="F58" s="127" t="str">
        <f>IFERROR(VLOOKUP($C58,'LEGEND&amp;DATA'!$F$20:$AB$90,8,FALSE),"")</f>
        <v/>
      </c>
      <c r="G58" s="252" t="str">
        <f>IFERROR(VLOOKUP($C58,'LEGEND&amp;DATA'!$F$20:$AB$90,10,FALSE),"")</f>
        <v/>
      </c>
      <c r="H58" s="10" t="str">
        <f>IFERROR(VLOOKUP($C58,'LEGEND&amp;DATA'!$F$20:$AB$90,12,FALSE),"")</f>
        <v/>
      </c>
      <c r="I58" s="254" t="str">
        <f>IFERROR(VLOOKUP($C58,'LEGEND&amp;DATA'!$F$20:$AB$90,14,FALSE),"")</f>
        <v/>
      </c>
      <c r="J58" s="80" t="str">
        <f>IFERROR(VLOOKUP($C58,'LEGEND&amp;DATA'!$F$20:$AB$90,16,FALSE),"")</f>
        <v/>
      </c>
      <c r="K58" s="252" t="str">
        <f>IFERROR(VLOOKUP($C58,'LEGEND&amp;DATA'!$F$20:$AB$90,18,FALSE),"")</f>
        <v>-</v>
      </c>
      <c r="L58" s="80" t="str">
        <f>IFERROR(VLOOKUP($C58,'LEGEND&amp;DATA'!$F$20:$AB$90,20,FALSE),"")</f>
        <v/>
      </c>
      <c r="M58" s="255" t="str">
        <f>IFERROR(VLOOKUP($C58,'LEGEND&amp;DATA'!$F$20:$AB$90,22,FALSE),"")</f>
        <v/>
      </c>
      <c r="N58" s="128" t="str">
        <f>IFERROR(VLOOKUP($C58,'LEGEND&amp;DATA'!$F$20:$AE$90,26,FALSE),"")</f>
        <v/>
      </c>
      <c r="O58" s="9"/>
    </row>
    <row r="59" spans="1:15" ht="16" customHeight="1" x14ac:dyDescent="0.35">
      <c r="A59" s="86">
        <v>48</v>
      </c>
      <c r="B59" s="86" t="str">
        <f t="shared" si="0"/>
        <v>Arizona-48</v>
      </c>
      <c r="C59" s="3" t="str">
        <f>IFERROR(VLOOKUP(B59,'LEGEND&amp;DATA'!$AF$20:$AG$90,2,FALSE),"")</f>
        <v/>
      </c>
      <c r="D59" s="15" t="str">
        <f>IFERROR(VLOOKUP($C59,'LEGEND&amp;DATA'!$F$20:$AB$90,2,FALSE),"")</f>
        <v/>
      </c>
      <c r="E59" s="253" t="str">
        <f>IFERROR(VLOOKUP($C59,'LEGEND&amp;DATA'!$F$20:$AB$90,4,FALSE),"")</f>
        <v/>
      </c>
      <c r="F59" s="127" t="str">
        <f>IFERROR(VLOOKUP($C59,'LEGEND&amp;DATA'!$F$20:$AB$90,8,FALSE),"")</f>
        <v/>
      </c>
      <c r="G59" s="252" t="str">
        <f>IFERROR(VLOOKUP($C59,'LEGEND&amp;DATA'!$F$20:$AB$90,10,FALSE),"")</f>
        <v/>
      </c>
      <c r="H59" s="10" t="str">
        <f>IFERROR(VLOOKUP($C59,'LEGEND&amp;DATA'!$F$20:$AB$90,12,FALSE),"")</f>
        <v/>
      </c>
      <c r="I59" s="254" t="str">
        <f>IFERROR(VLOOKUP($C59,'LEGEND&amp;DATA'!$F$20:$AB$90,14,FALSE),"")</f>
        <v/>
      </c>
      <c r="J59" s="80" t="str">
        <f>IFERROR(VLOOKUP($C59,'LEGEND&amp;DATA'!$F$20:$AB$90,16,FALSE),"")</f>
        <v/>
      </c>
      <c r="K59" s="252" t="str">
        <f>IFERROR(VLOOKUP($C59,'LEGEND&amp;DATA'!$F$20:$AB$90,18,FALSE),"")</f>
        <v>-</v>
      </c>
      <c r="L59" s="80" t="str">
        <f>IFERROR(VLOOKUP($C59,'LEGEND&amp;DATA'!$F$20:$AB$90,20,FALSE),"")</f>
        <v/>
      </c>
      <c r="M59" s="255" t="str">
        <f>IFERROR(VLOOKUP($C59,'LEGEND&amp;DATA'!$F$20:$AB$90,22,FALSE),"")</f>
        <v/>
      </c>
      <c r="N59" s="128" t="str">
        <f>IFERROR(VLOOKUP($C59,'LEGEND&amp;DATA'!$F$20:$AE$90,26,FALSE),"")</f>
        <v/>
      </c>
      <c r="O59" s="9"/>
    </row>
    <row r="60" spans="1:15" ht="16" customHeight="1" x14ac:dyDescent="0.35">
      <c r="A60" s="86">
        <v>49</v>
      </c>
      <c r="B60" s="86" t="str">
        <f t="shared" si="0"/>
        <v>Arizona-49</v>
      </c>
      <c r="C60" s="3" t="str">
        <f>IFERROR(VLOOKUP(B60,'LEGEND&amp;DATA'!$AF$20:$AG$90,2,FALSE),"")</f>
        <v/>
      </c>
      <c r="D60" s="15" t="str">
        <f>IFERROR(VLOOKUP($C60,'LEGEND&amp;DATA'!$F$20:$AB$90,2,FALSE),"")</f>
        <v/>
      </c>
      <c r="E60" s="253" t="str">
        <f>IFERROR(VLOOKUP($C60,'LEGEND&amp;DATA'!$F$20:$AB$90,4,FALSE),"")</f>
        <v/>
      </c>
      <c r="F60" s="127" t="str">
        <f>IFERROR(VLOOKUP($C60,'LEGEND&amp;DATA'!$F$20:$AB$90,8,FALSE),"")</f>
        <v/>
      </c>
      <c r="G60" s="252" t="str">
        <f>IFERROR(VLOOKUP($C60,'LEGEND&amp;DATA'!$F$20:$AB$90,10,FALSE),"")</f>
        <v/>
      </c>
      <c r="H60" s="10" t="str">
        <f>IFERROR(VLOOKUP($C60,'LEGEND&amp;DATA'!$F$20:$AB$90,12,FALSE),"")</f>
        <v/>
      </c>
      <c r="I60" s="254" t="str">
        <f>IFERROR(VLOOKUP($C60,'LEGEND&amp;DATA'!$F$20:$AB$90,14,FALSE),"")</f>
        <v/>
      </c>
      <c r="J60" s="80" t="str">
        <f>IFERROR(VLOOKUP($C60,'LEGEND&amp;DATA'!$F$20:$AB$90,16,FALSE),"")</f>
        <v/>
      </c>
      <c r="K60" s="252" t="str">
        <f>IFERROR(VLOOKUP($C60,'LEGEND&amp;DATA'!$F$20:$AB$90,18,FALSE),"")</f>
        <v>-</v>
      </c>
      <c r="L60" s="80" t="str">
        <f>IFERROR(VLOOKUP($C60,'LEGEND&amp;DATA'!$F$20:$AB$90,20,FALSE),"")</f>
        <v/>
      </c>
      <c r="M60" s="255" t="str">
        <f>IFERROR(VLOOKUP($C60,'LEGEND&amp;DATA'!$F$20:$AB$90,22,FALSE),"")</f>
        <v/>
      </c>
      <c r="N60" s="128" t="str">
        <f>IFERROR(VLOOKUP($C60,'LEGEND&amp;DATA'!$F$20:$AE$90,26,FALSE),"")</f>
        <v/>
      </c>
      <c r="O60" s="9"/>
    </row>
    <row r="61" spans="1:15" ht="16" customHeight="1" x14ac:dyDescent="0.35">
      <c r="A61" s="86">
        <v>50</v>
      </c>
      <c r="B61" s="86" t="str">
        <f t="shared" si="0"/>
        <v>Arizona-50</v>
      </c>
      <c r="C61" s="3" t="str">
        <f>IFERROR(VLOOKUP(B61,'LEGEND&amp;DATA'!$AF$20:$AG$90,2,FALSE),"")</f>
        <v/>
      </c>
      <c r="D61" s="15" t="str">
        <f>IFERROR(VLOOKUP($C61,'LEGEND&amp;DATA'!$F$20:$AB$90,2,FALSE),"")</f>
        <v/>
      </c>
      <c r="E61" s="253" t="str">
        <f>IFERROR(VLOOKUP($C61,'LEGEND&amp;DATA'!$F$20:$AB$90,4,FALSE),"")</f>
        <v/>
      </c>
      <c r="F61" s="127" t="str">
        <f>IFERROR(VLOOKUP($C61,'LEGEND&amp;DATA'!$F$20:$AB$90,8,FALSE),"")</f>
        <v/>
      </c>
      <c r="G61" s="252" t="str">
        <f>IFERROR(VLOOKUP($C61,'LEGEND&amp;DATA'!$F$20:$AB$90,10,FALSE),"")</f>
        <v/>
      </c>
      <c r="H61" s="10" t="str">
        <f>IFERROR(VLOOKUP($C61,'LEGEND&amp;DATA'!$F$20:$AB$90,12,FALSE),"")</f>
        <v/>
      </c>
      <c r="I61" s="254" t="str">
        <f>IFERROR(VLOOKUP($C61,'LEGEND&amp;DATA'!$F$20:$AB$90,14,FALSE),"")</f>
        <v/>
      </c>
      <c r="J61" s="80" t="str">
        <f>IFERROR(VLOOKUP($C61,'LEGEND&amp;DATA'!$F$20:$AB$90,16,FALSE),"")</f>
        <v/>
      </c>
      <c r="K61" s="252" t="str">
        <f>IFERROR(VLOOKUP($C61,'LEGEND&amp;DATA'!$F$20:$AB$90,18,FALSE),"")</f>
        <v>-</v>
      </c>
      <c r="L61" s="80" t="str">
        <f>IFERROR(VLOOKUP($C61,'LEGEND&amp;DATA'!$F$20:$AB$90,20,FALSE),"")</f>
        <v/>
      </c>
      <c r="M61" s="255" t="str">
        <f>IFERROR(VLOOKUP($C61,'LEGEND&amp;DATA'!$F$20:$AB$90,22,FALSE),"")</f>
        <v/>
      </c>
      <c r="N61" s="128" t="str">
        <f>IFERROR(VLOOKUP($C61,'LEGEND&amp;DATA'!$F$20:$AE$90,26,FALSE),"")</f>
        <v/>
      </c>
      <c r="O61" s="9"/>
    </row>
    <row r="62" spans="1:15" ht="16" customHeight="1" x14ac:dyDescent="0.35">
      <c r="A62" s="86">
        <v>51</v>
      </c>
      <c r="B62" s="86" t="str">
        <f t="shared" si="0"/>
        <v>Arizona-51</v>
      </c>
      <c r="C62" s="3" t="str">
        <f>IFERROR(VLOOKUP(B62,'LEGEND&amp;DATA'!$AF$20:$AG$90,2,FALSE),"")</f>
        <v/>
      </c>
      <c r="D62" s="15" t="str">
        <f>IFERROR(VLOOKUP($C62,'LEGEND&amp;DATA'!$F$20:$AB$90,2,FALSE),"")</f>
        <v/>
      </c>
      <c r="E62" s="253" t="str">
        <f>IFERROR(VLOOKUP($C62,'LEGEND&amp;DATA'!$F$20:$AB$90,4,FALSE),"")</f>
        <v/>
      </c>
      <c r="F62" s="127" t="str">
        <f>IFERROR(VLOOKUP($C62,'LEGEND&amp;DATA'!$F$20:$AB$90,8,FALSE),"")</f>
        <v/>
      </c>
      <c r="G62" s="252" t="str">
        <f>IFERROR(VLOOKUP($C62,'LEGEND&amp;DATA'!$F$20:$AB$90,10,FALSE),"")</f>
        <v/>
      </c>
      <c r="H62" s="10" t="str">
        <f>IFERROR(VLOOKUP($C62,'LEGEND&amp;DATA'!$F$20:$AB$90,12,FALSE),"")</f>
        <v/>
      </c>
      <c r="I62" s="254" t="str">
        <f>IFERROR(VLOOKUP($C62,'LEGEND&amp;DATA'!$F$20:$AB$90,14,FALSE),"")</f>
        <v/>
      </c>
      <c r="J62" s="80" t="str">
        <f>IFERROR(VLOOKUP($C62,'LEGEND&amp;DATA'!$F$20:$AB$90,16,FALSE),"")</f>
        <v/>
      </c>
      <c r="K62" s="252" t="str">
        <f>IFERROR(VLOOKUP($C62,'LEGEND&amp;DATA'!$F$20:$AB$90,18,FALSE),"")</f>
        <v>-</v>
      </c>
      <c r="L62" s="80" t="str">
        <f>IFERROR(VLOOKUP($C62,'LEGEND&amp;DATA'!$F$20:$AB$90,20,FALSE),"")</f>
        <v/>
      </c>
      <c r="M62" s="255" t="str">
        <f>IFERROR(VLOOKUP($C62,'LEGEND&amp;DATA'!$F$20:$AB$90,22,FALSE),"")</f>
        <v/>
      </c>
      <c r="N62" s="128" t="str">
        <f>IFERROR(VLOOKUP($C62,'LEGEND&amp;DATA'!$F$20:$AE$90,26,FALSE),"")</f>
        <v/>
      </c>
      <c r="O62" s="9"/>
    </row>
    <row r="63" spans="1:15" ht="16" customHeight="1" x14ac:dyDescent="0.35">
      <c r="A63" s="86">
        <v>52</v>
      </c>
      <c r="B63" s="86" t="str">
        <f t="shared" si="0"/>
        <v>Arizona-52</v>
      </c>
      <c r="C63" s="3" t="str">
        <f>IFERROR(VLOOKUP(B63,'LEGEND&amp;DATA'!$AF$20:$AG$90,2,FALSE),"")</f>
        <v/>
      </c>
      <c r="D63" s="15" t="str">
        <f>IFERROR(VLOOKUP($C63,'LEGEND&amp;DATA'!$F$20:$AB$90,2,FALSE),"")</f>
        <v/>
      </c>
      <c r="E63" s="253" t="str">
        <f>IFERROR(VLOOKUP($C63,'LEGEND&amp;DATA'!$F$20:$AB$90,4,FALSE),"")</f>
        <v/>
      </c>
      <c r="F63" s="127" t="str">
        <f>IFERROR(VLOOKUP($C63,'LEGEND&amp;DATA'!$F$20:$AB$90,8,FALSE),"")</f>
        <v/>
      </c>
      <c r="G63" s="252" t="str">
        <f>IFERROR(VLOOKUP($C63,'LEGEND&amp;DATA'!$F$20:$AB$90,10,FALSE),"")</f>
        <v/>
      </c>
      <c r="H63" s="10" t="str">
        <f>IFERROR(VLOOKUP($C63,'LEGEND&amp;DATA'!$F$20:$AB$90,12,FALSE),"")</f>
        <v/>
      </c>
      <c r="I63" s="254" t="str">
        <f>IFERROR(VLOOKUP($C63,'LEGEND&amp;DATA'!$F$20:$AB$90,14,FALSE),"")</f>
        <v/>
      </c>
      <c r="J63" s="80" t="str">
        <f>IFERROR(VLOOKUP($C63,'LEGEND&amp;DATA'!$F$20:$AB$90,16,FALSE),"")</f>
        <v/>
      </c>
      <c r="K63" s="252" t="str">
        <f>IFERROR(VLOOKUP($C63,'LEGEND&amp;DATA'!$F$20:$AB$90,18,FALSE),"")</f>
        <v>-</v>
      </c>
      <c r="L63" s="80" t="str">
        <f>IFERROR(VLOOKUP($C63,'LEGEND&amp;DATA'!$F$20:$AB$90,20,FALSE),"")</f>
        <v/>
      </c>
      <c r="M63" s="255" t="str">
        <f>IFERROR(VLOOKUP($C63,'LEGEND&amp;DATA'!$F$20:$AB$90,22,FALSE),"")</f>
        <v/>
      </c>
      <c r="N63" s="128" t="str">
        <f>IFERROR(VLOOKUP($C63,'LEGEND&amp;DATA'!$F$20:$AE$90,26,FALSE),"")</f>
        <v/>
      </c>
      <c r="O63" s="9"/>
    </row>
    <row r="64" spans="1:15" ht="16" customHeight="1" x14ac:dyDescent="0.35">
      <c r="A64" s="86">
        <v>53</v>
      </c>
      <c r="B64" s="86" t="str">
        <f t="shared" si="0"/>
        <v>Arizona-53</v>
      </c>
      <c r="C64" s="3" t="str">
        <f>IFERROR(VLOOKUP(B64,'LEGEND&amp;DATA'!$AF$20:$AG$90,2,FALSE),"")</f>
        <v/>
      </c>
      <c r="D64" s="15" t="str">
        <f>IFERROR(VLOOKUP($C64,'LEGEND&amp;DATA'!$F$20:$AB$90,2,FALSE),"")</f>
        <v/>
      </c>
      <c r="E64" s="253" t="str">
        <f>IFERROR(VLOOKUP($C64,'LEGEND&amp;DATA'!$F$20:$AB$90,4,FALSE),"")</f>
        <v/>
      </c>
      <c r="F64" s="127" t="str">
        <f>IFERROR(VLOOKUP($C64,'LEGEND&amp;DATA'!$F$20:$AB$90,8,FALSE),"")</f>
        <v/>
      </c>
      <c r="G64" s="252" t="str">
        <f>IFERROR(VLOOKUP($C64,'LEGEND&amp;DATA'!$F$20:$AB$90,10,FALSE),"")</f>
        <v/>
      </c>
      <c r="H64" s="10" t="str">
        <f>IFERROR(VLOOKUP($C64,'LEGEND&amp;DATA'!$F$20:$AB$90,12,FALSE),"")</f>
        <v/>
      </c>
      <c r="I64" s="254" t="str">
        <f>IFERROR(VLOOKUP($C64,'LEGEND&amp;DATA'!$F$20:$AB$90,14,FALSE),"")</f>
        <v/>
      </c>
      <c r="J64" s="80" t="str">
        <f>IFERROR(VLOOKUP($C64,'LEGEND&amp;DATA'!$F$20:$AB$90,16,FALSE),"")</f>
        <v/>
      </c>
      <c r="K64" s="252" t="str">
        <f>IFERROR(VLOOKUP($C64,'LEGEND&amp;DATA'!$F$20:$AB$90,18,FALSE),"")</f>
        <v>-</v>
      </c>
      <c r="L64" s="80" t="str">
        <f>IFERROR(VLOOKUP($C64,'LEGEND&amp;DATA'!$F$20:$AB$90,20,FALSE),"")</f>
        <v/>
      </c>
      <c r="M64" s="255" t="str">
        <f>IFERROR(VLOOKUP($C64,'LEGEND&amp;DATA'!$F$20:$AB$90,22,FALSE),"")</f>
        <v/>
      </c>
      <c r="N64" s="128" t="str">
        <f>IFERROR(VLOOKUP($C64,'LEGEND&amp;DATA'!$F$20:$AE$90,26,FALSE),"")</f>
        <v/>
      </c>
      <c r="O64" s="9"/>
    </row>
    <row r="65" spans="1:15" ht="16" customHeight="1" x14ac:dyDescent="0.35">
      <c r="A65" s="86">
        <v>54</v>
      </c>
      <c r="B65" s="86" t="str">
        <f t="shared" si="0"/>
        <v>Arizona-54</v>
      </c>
      <c r="C65" s="3" t="str">
        <f>IFERROR(VLOOKUP(B65,'LEGEND&amp;DATA'!$AF$20:$AG$90,2,FALSE),"")</f>
        <v/>
      </c>
      <c r="D65" s="15" t="str">
        <f>IFERROR(VLOOKUP($C65,'LEGEND&amp;DATA'!$F$20:$AB$90,2,FALSE),"")</f>
        <v/>
      </c>
      <c r="E65" s="253" t="str">
        <f>IFERROR(VLOOKUP($C65,'LEGEND&amp;DATA'!$F$20:$AB$90,4,FALSE),"")</f>
        <v/>
      </c>
      <c r="F65" s="127" t="str">
        <f>IFERROR(VLOOKUP($C65,'LEGEND&amp;DATA'!$F$20:$AB$90,8,FALSE),"")</f>
        <v/>
      </c>
      <c r="G65" s="252" t="str">
        <f>IFERROR(VLOOKUP($C65,'LEGEND&amp;DATA'!$F$20:$AB$90,10,FALSE),"")</f>
        <v/>
      </c>
      <c r="H65" s="10" t="str">
        <f>IFERROR(VLOOKUP($C65,'LEGEND&amp;DATA'!$F$20:$AB$90,12,FALSE),"")</f>
        <v/>
      </c>
      <c r="I65" s="254" t="str">
        <f>IFERROR(VLOOKUP($C65,'LEGEND&amp;DATA'!$F$20:$AB$90,14,FALSE),"")</f>
        <v/>
      </c>
      <c r="J65" s="80" t="str">
        <f>IFERROR(VLOOKUP($C65,'LEGEND&amp;DATA'!$F$20:$AB$90,16,FALSE),"")</f>
        <v/>
      </c>
      <c r="K65" s="252" t="str">
        <f>IFERROR(VLOOKUP($C65,'LEGEND&amp;DATA'!$F$20:$AB$90,18,FALSE),"")</f>
        <v>-</v>
      </c>
      <c r="L65" s="80" t="str">
        <f>IFERROR(VLOOKUP($C65,'LEGEND&amp;DATA'!$F$20:$AB$90,20,FALSE),"")</f>
        <v/>
      </c>
      <c r="M65" s="255" t="str">
        <f>IFERROR(VLOOKUP($C65,'LEGEND&amp;DATA'!$F$20:$AB$90,22,FALSE),"")</f>
        <v/>
      </c>
      <c r="N65" s="128" t="str">
        <f>IFERROR(VLOOKUP($C65,'LEGEND&amp;DATA'!$F$20:$AE$90,26,FALSE),"")</f>
        <v/>
      </c>
      <c r="O65" s="9"/>
    </row>
    <row r="66" spans="1:15" ht="16" customHeight="1" x14ac:dyDescent="0.35">
      <c r="A66" s="86">
        <v>55</v>
      </c>
      <c r="B66" s="86" t="str">
        <f t="shared" si="0"/>
        <v>Arizona-55</v>
      </c>
      <c r="C66" s="3" t="str">
        <f>IFERROR(VLOOKUP(B66,'LEGEND&amp;DATA'!$AF$20:$AG$90,2,FALSE),"")</f>
        <v/>
      </c>
      <c r="D66" s="15" t="str">
        <f>IFERROR(VLOOKUP($C66,'LEGEND&amp;DATA'!$F$20:$AB$90,2,FALSE),"")</f>
        <v/>
      </c>
      <c r="E66" s="253" t="str">
        <f>IFERROR(VLOOKUP($C66,'LEGEND&amp;DATA'!$F$20:$AB$90,4,FALSE),"")</f>
        <v/>
      </c>
      <c r="F66" s="127" t="str">
        <f>IFERROR(VLOOKUP($C66,'LEGEND&amp;DATA'!$F$20:$AB$90,8,FALSE),"")</f>
        <v/>
      </c>
      <c r="G66" s="252" t="str">
        <f>IFERROR(VLOOKUP($C66,'LEGEND&amp;DATA'!$F$20:$AB$90,10,FALSE),"")</f>
        <v/>
      </c>
      <c r="H66" s="10" t="str">
        <f>IFERROR(VLOOKUP($C66,'LEGEND&amp;DATA'!$F$20:$AB$90,12,FALSE),"")</f>
        <v/>
      </c>
      <c r="I66" s="254" t="str">
        <f>IFERROR(VLOOKUP($C66,'LEGEND&amp;DATA'!$F$20:$AB$90,14,FALSE),"")</f>
        <v/>
      </c>
      <c r="J66" s="80" t="str">
        <f>IFERROR(VLOOKUP($C66,'LEGEND&amp;DATA'!$F$20:$AB$90,16,FALSE),"")</f>
        <v/>
      </c>
      <c r="K66" s="252" t="str">
        <f>IFERROR(VLOOKUP($C66,'LEGEND&amp;DATA'!$F$20:$AB$90,18,FALSE),"")</f>
        <v>-</v>
      </c>
      <c r="L66" s="80" t="str">
        <f>IFERROR(VLOOKUP($C66,'LEGEND&amp;DATA'!$F$20:$AB$90,20,FALSE),"")</f>
        <v/>
      </c>
      <c r="M66" s="255" t="str">
        <f>IFERROR(VLOOKUP($C66,'LEGEND&amp;DATA'!$F$20:$AB$90,22,FALSE),"")</f>
        <v/>
      </c>
      <c r="N66" s="128" t="str">
        <f>IFERROR(VLOOKUP($C66,'LEGEND&amp;DATA'!$F$20:$AE$90,26,FALSE),"")</f>
        <v/>
      </c>
      <c r="O66" s="9"/>
    </row>
  </sheetData>
  <sheetProtection sheet="1" objects="1" scenarios="1"/>
  <mergeCells count="1">
    <mergeCell ref="D5:E5"/>
  </mergeCells>
  <conditionalFormatting sqref="C12:M66">
    <cfRule type="expression" dxfId="2" priority="1">
      <formula>$C12=""</formula>
    </cfRule>
  </conditionalFormatting>
  <conditionalFormatting sqref="N8:N66">
    <cfRule type="colorScale" priority="2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46" orientation="landscape" r:id="rId1"/>
  <ignoredErrors>
    <ignoredError sqref="E7:N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1F5D7D-063E-7A49-8508-FAA88E79961C}">
          <x14:formula1>
            <xm:f>'LEGEND&amp;DATA'!$F$92:$F$99</xm:f>
          </x14:formula1>
          <xm:sqref>D5:E5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F6A0-5487-3F4D-9CD5-FE88077F313C}">
  <sheetPr codeName="Sheet3">
    <pageSetUpPr fitToPage="1"/>
  </sheetPr>
  <dimension ref="A1:CB209"/>
  <sheetViews>
    <sheetView showGridLines="0" topLeftCell="F1" zoomScale="90" zoomScaleNormal="90" workbookViewId="0">
      <pane xSplit="7" topLeftCell="M1" activePane="topRight" state="frozen"/>
      <selection activeCell="F1" sqref="F1"/>
      <selection pane="topRight" activeCell="F28" sqref="A28:XFD28"/>
    </sheetView>
  </sheetViews>
  <sheetFormatPr defaultColWidth="11" defaultRowHeight="15.5" x14ac:dyDescent="0.35"/>
  <cols>
    <col min="1" max="1" width="2.33203125" style="16" hidden="1" customWidth="1"/>
    <col min="2" max="5" width="16.83203125" hidden="1" customWidth="1"/>
    <col min="6" max="6" width="31.33203125" customWidth="1"/>
    <col min="7" max="7" width="11.33203125" customWidth="1"/>
    <col min="8" max="8" width="11" customWidth="1"/>
    <col min="9" max="9" width="19.08203125" customWidth="1"/>
    <col min="10" max="10" width="20.5" hidden="1" customWidth="1"/>
    <col min="11" max="11" width="11.08203125" customWidth="1"/>
    <col min="12" max="12" width="18.83203125" hidden="1" customWidth="1"/>
    <col min="13" max="13" width="15.83203125" customWidth="1"/>
    <col min="14" max="14" width="11.08203125" customWidth="1"/>
    <col min="15" max="16" width="13.58203125" customWidth="1"/>
    <col min="17" max="20" width="11" customWidth="1"/>
    <col min="21" max="21" width="11.33203125" customWidth="1"/>
    <col min="22" max="22" width="11" customWidth="1"/>
    <col min="23" max="24" width="13.83203125" hidden="1" customWidth="1"/>
    <col min="25" max="28" width="13.83203125" customWidth="1"/>
    <col min="29" max="29" width="11" style="24" customWidth="1"/>
    <col min="30" max="30" width="14.33203125" style="24" customWidth="1"/>
    <col min="31" max="31" width="11" customWidth="1"/>
    <col min="32" max="32" width="22.08203125" hidden="1" customWidth="1"/>
    <col min="33" max="33" width="34" hidden="1" customWidth="1"/>
    <col min="34" max="34" width="19" hidden="1" customWidth="1"/>
    <col min="35" max="40" width="11" hidden="1" customWidth="1"/>
    <col min="41" max="41" width="11" style="91" hidden="1" customWidth="1"/>
    <col min="42" max="42" width="11" hidden="1" customWidth="1"/>
    <col min="53" max="80" width="11" style="1"/>
  </cols>
  <sheetData>
    <row r="1" spans="2:28" ht="23" x14ac:dyDescent="0.5">
      <c r="B1" s="14"/>
      <c r="C1" s="14"/>
      <c r="D1" s="14"/>
      <c r="E1" s="14"/>
      <c r="F1" s="14" t="s">
        <v>19</v>
      </c>
    </row>
    <row r="2" spans="2:28" x14ac:dyDescent="0.35">
      <c r="B2" s="1"/>
      <c r="C2" s="1"/>
      <c r="D2" s="1"/>
      <c r="E2" s="1"/>
      <c r="F2" s="1" t="s">
        <v>20</v>
      </c>
    </row>
    <row r="4" spans="2:28" ht="48" customHeight="1" x14ac:dyDescent="0.35">
      <c r="B4" s="13"/>
      <c r="C4" s="13"/>
      <c r="D4" s="13"/>
      <c r="E4" s="13"/>
      <c r="F4" s="13"/>
      <c r="G4" s="489" t="s">
        <v>21</v>
      </c>
      <c r="H4" s="490"/>
      <c r="I4" s="191" t="s">
        <v>22</v>
      </c>
      <c r="J4" s="192"/>
      <c r="K4" s="193"/>
      <c r="L4" s="489" t="s">
        <v>23</v>
      </c>
      <c r="M4" s="492"/>
      <c r="N4" s="490"/>
      <c r="O4" s="491" t="s">
        <v>24</v>
      </c>
      <c r="P4" s="486"/>
      <c r="Q4" s="489" t="s">
        <v>25</v>
      </c>
      <c r="R4" s="490"/>
      <c r="S4" s="485" t="s">
        <v>7</v>
      </c>
      <c r="T4" s="486"/>
      <c r="U4" s="479" t="s">
        <v>26</v>
      </c>
      <c r="V4" s="480"/>
      <c r="W4" s="483" t="s">
        <v>27</v>
      </c>
      <c r="X4" s="484"/>
      <c r="Y4" s="485" t="s">
        <v>28</v>
      </c>
      <c r="Z4" s="486"/>
      <c r="AA4" s="479" t="s">
        <v>29</v>
      </c>
      <c r="AB4" s="480"/>
    </row>
    <row r="5" spans="2:28" ht="35.15" customHeight="1" x14ac:dyDescent="0.35">
      <c r="B5" s="13"/>
      <c r="C5" s="13"/>
      <c r="D5" s="13"/>
      <c r="E5" s="13"/>
      <c r="F5" s="13"/>
      <c r="G5" s="481" t="s">
        <v>30</v>
      </c>
      <c r="H5" s="482"/>
      <c r="I5" s="195" t="s">
        <v>31</v>
      </c>
      <c r="J5" s="196"/>
      <c r="K5" s="197"/>
      <c r="L5" s="481" t="s">
        <v>32</v>
      </c>
      <c r="M5" s="493"/>
      <c r="N5" s="482"/>
      <c r="O5" s="493" t="s">
        <v>33</v>
      </c>
      <c r="P5" s="482"/>
      <c r="Q5" s="481" t="s">
        <v>34</v>
      </c>
      <c r="R5" s="482"/>
      <c r="S5" s="481" t="s">
        <v>35</v>
      </c>
      <c r="T5" s="482"/>
      <c r="U5" s="481" t="s">
        <v>36</v>
      </c>
      <c r="V5" s="482"/>
      <c r="W5" s="481" t="s">
        <v>37</v>
      </c>
      <c r="X5" s="482"/>
      <c r="Y5" s="481" t="s">
        <v>38</v>
      </c>
      <c r="Z5" s="482"/>
      <c r="AA5" s="481" t="s">
        <v>39</v>
      </c>
      <c r="AB5" s="482"/>
    </row>
    <row r="6" spans="2:28" ht="25.5" thickBot="1" x14ac:dyDescent="0.4">
      <c r="B6" s="8"/>
      <c r="C6" s="8"/>
      <c r="D6" s="8"/>
      <c r="E6" s="8"/>
      <c r="F6" s="8" t="s">
        <v>40</v>
      </c>
      <c r="G6" s="25" t="s">
        <v>41</v>
      </c>
      <c r="H6" s="26" t="s">
        <v>42</v>
      </c>
      <c r="I6" s="200" t="s">
        <v>41</v>
      </c>
      <c r="J6" s="194"/>
      <c r="K6" s="29" t="s">
        <v>42</v>
      </c>
      <c r="L6" s="25"/>
      <c r="M6" s="25" t="s">
        <v>41</v>
      </c>
      <c r="N6" s="26" t="s">
        <v>42</v>
      </c>
      <c r="O6" s="28" t="s">
        <v>41</v>
      </c>
      <c r="P6" s="27" t="s">
        <v>42</v>
      </c>
      <c r="Q6" s="25" t="s">
        <v>41</v>
      </c>
      <c r="R6" s="26" t="s">
        <v>42</v>
      </c>
      <c r="S6" s="28" t="s">
        <v>41</v>
      </c>
      <c r="T6" s="30" t="s">
        <v>42</v>
      </c>
      <c r="U6" s="25" t="s">
        <v>41</v>
      </c>
      <c r="V6" s="26" t="s">
        <v>42</v>
      </c>
      <c r="W6" s="31" t="s">
        <v>41</v>
      </c>
      <c r="X6" s="30" t="s">
        <v>42</v>
      </c>
      <c r="Y6" s="28" t="s">
        <v>41</v>
      </c>
      <c r="Z6" s="30" t="s">
        <v>42</v>
      </c>
      <c r="AA6" s="25" t="s">
        <v>41</v>
      </c>
      <c r="AB6" s="26" t="s">
        <v>42</v>
      </c>
    </row>
    <row r="7" spans="2:28" x14ac:dyDescent="0.35">
      <c r="B7" s="3"/>
      <c r="C7" s="3"/>
      <c r="D7" s="3"/>
      <c r="E7" s="3"/>
      <c r="F7" s="3" t="s">
        <v>43</v>
      </c>
      <c r="G7" s="11" t="s">
        <v>44</v>
      </c>
      <c r="H7" s="33">
        <v>0</v>
      </c>
      <c r="I7" s="201" t="s">
        <v>45</v>
      </c>
      <c r="J7" s="198"/>
      <c r="K7" s="34">
        <v>0</v>
      </c>
      <c r="L7" s="11"/>
      <c r="M7" s="35" t="s">
        <v>46</v>
      </c>
      <c r="N7" s="33">
        <v>0</v>
      </c>
      <c r="O7" s="10" t="s">
        <v>47</v>
      </c>
      <c r="P7" s="36">
        <v>0</v>
      </c>
      <c r="Q7" s="11" t="s">
        <v>48</v>
      </c>
      <c r="R7" s="33">
        <v>0</v>
      </c>
      <c r="S7" s="10" t="s">
        <v>49</v>
      </c>
      <c r="T7" s="34">
        <v>0</v>
      </c>
      <c r="U7" s="11" t="s">
        <v>50</v>
      </c>
      <c r="V7" s="33">
        <v>0</v>
      </c>
      <c r="W7" s="38" t="s">
        <v>51</v>
      </c>
      <c r="X7" s="37">
        <v>0</v>
      </c>
      <c r="Y7" s="10" t="s">
        <v>47</v>
      </c>
      <c r="Z7" s="34">
        <v>0</v>
      </c>
      <c r="AA7" s="11" t="s">
        <v>52</v>
      </c>
      <c r="AB7" s="33">
        <v>0</v>
      </c>
    </row>
    <row r="8" spans="2:28" x14ac:dyDescent="0.35">
      <c r="B8" s="3"/>
      <c r="C8" s="3"/>
      <c r="D8" s="3"/>
      <c r="E8" s="3"/>
      <c r="F8" s="3" t="s">
        <v>43</v>
      </c>
      <c r="G8" s="11" t="s">
        <v>53</v>
      </c>
      <c r="H8" s="33">
        <v>5</v>
      </c>
      <c r="I8" s="202" t="s">
        <v>54</v>
      </c>
      <c r="J8" s="199"/>
      <c r="K8" s="34">
        <v>5</v>
      </c>
      <c r="L8" s="12"/>
      <c r="M8" s="12">
        <v>0.5</v>
      </c>
      <c r="N8" s="33">
        <v>3</v>
      </c>
      <c r="O8" s="10">
        <v>0.6</v>
      </c>
      <c r="P8" s="36">
        <v>1</v>
      </c>
      <c r="Q8" s="41" t="s">
        <v>55</v>
      </c>
      <c r="R8" s="33">
        <v>4</v>
      </c>
      <c r="S8" s="10" t="s">
        <v>56</v>
      </c>
      <c r="T8" s="34">
        <v>4</v>
      </c>
      <c r="U8" s="11" t="s">
        <v>57</v>
      </c>
      <c r="V8" s="33">
        <v>4</v>
      </c>
      <c r="W8" s="38" t="s">
        <v>58</v>
      </c>
      <c r="X8" s="37">
        <v>10</v>
      </c>
      <c r="Y8" s="10" t="s">
        <v>54</v>
      </c>
      <c r="Z8" s="34">
        <v>2</v>
      </c>
      <c r="AA8" s="11" t="s">
        <v>59</v>
      </c>
      <c r="AB8" s="33">
        <v>4</v>
      </c>
    </row>
    <row r="9" spans="2:28" x14ac:dyDescent="0.35">
      <c r="B9" s="3"/>
      <c r="C9" s="3"/>
      <c r="D9" s="3"/>
      <c r="E9" s="3"/>
      <c r="F9" s="3" t="s">
        <v>43</v>
      </c>
      <c r="G9" s="11" t="s">
        <v>60</v>
      </c>
      <c r="H9" s="33">
        <v>7</v>
      </c>
      <c r="I9" s="202" t="s">
        <v>61</v>
      </c>
      <c r="J9" s="199"/>
      <c r="K9" s="34">
        <v>7</v>
      </c>
      <c r="L9" s="42"/>
      <c r="M9" s="42">
        <v>1</v>
      </c>
      <c r="N9" s="33">
        <v>6</v>
      </c>
      <c r="O9" s="10">
        <v>0.7</v>
      </c>
      <c r="P9" s="36">
        <v>2</v>
      </c>
      <c r="Q9" s="11">
        <v>0.09</v>
      </c>
      <c r="R9" s="33">
        <v>6</v>
      </c>
      <c r="S9" s="10" t="s">
        <v>62</v>
      </c>
      <c r="T9" s="34">
        <v>6</v>
      </c>
      <c r="U9" s="11" t="s">
        <v>63</v>
      </c>
      <c r="V9" s="33">
        <v>6</v>
      </c>
      <c r="W9" s="38" t="s">
        <v>64</v>
      </c>
      <c r="X9" s="37" t="s">
        <v>64</v>
      </c>
      <c r="Y9" s="10" t="s">
        <v>65</v>
      </c>
      <c r="Z9" s="34">
        <v>4</v>
      </c>
      <c r="AA9" s="11" t="s">
        <v>66</v>
      </c>
      <c r="AB9" s="33">
        <v>6</v>
      </c>
    </row>
    <row r="10" spans="2:28" x14ac:dyDescent="0.35">
      <c r="B10" s="3"/>
      <c r="C10" s="3"/>
      <c r="D10" s="3"/>
      <c r="E10" s="3"/>
      <c r="F10" s="3" t="s">
        <v>43</v>
      </c>
      <c r="G10" s="11" t="s">
        <v>67</v>
      </c>
      <c r="H10" s="33">
        <v>9</v>
      </c>
      <c r="I10" s="202" t="s">
        <v>68</v>
      </c>
      <c r="J10" s="199"/>
      <c r="K10" s="34">
        <v>9</v>
      </c>
      <c r="L10" s="43"/>
      <c r="M10" s="43">
        <v>1.5</v>
      </c>
      <c r="N10" s="33">
        <v>9</v>
      </c>
      <c r="O10" s="10">
        <v>0.8</v>
      </c>
      <c r="P10" s="36">
        <v>3</v>
      </c>
      <c r="Q10" s="11">
        <v>0.1</v>
      </c>
      <c r="R10" s="33">
        <v>8</v>
      </c>
      <c r="S10" s="10" t="s">
        <v>69</v>
      </c>
      <c r="T10" s="34">
        <v>8</v>
      </c>
      <c r="U10" s="11" t="s">
        <v>70</v>
      </c>
      <c r="V10" s="33">
        <v>8</v>
      </c>
      <c r="W10" s="38" t="s">
        <v>64</v>
      </c>
      <c r="X10" s="37" t="s">
        <v>64</v>
      </c>
      <c r="Y10" s="10" t="s">
        <v>71</v>
      </c>
      <c r="Z10" s="34">
        <v>6</v>
      </c>
      <c r="AA10" s="11" t="s">
        <v>72</v>
      </c>
      <c r="AB10" s="33">
        <v>8</v>
      </c>
    </row>
    <row r="11" spans="2:28" x14ac:dyDescent="0.35">
      <c r="B11" s="3"/>
      <c r="C11" s="3"/>
      <c r="D11" s="3"/>
      <c r="E11" s="3"/>
      <c r="F11" s="3" t="s">
        <v>43</v>
      </c>
      <c r="G11" s="11" t="s">
        <v>73</v>
      </c>
      <c r="H11" s="33">
        <v>10</v>
      </c>
      <c r="I11" s="202" t="s">
        <v>67</v>
      </c>
      <c r="J11" s="199"/>
      <c r="K11" s="34">
        <v>10</v>
      </c>
      <c r="L11" s="43"/>
      <c r="M11" s="43" t="s">
        <v>74</v>
      </c>
      <c r="N11" s="33">
        <v>12</v>
      </c>
      <c r="O11" s="10" t="s">
        <v>75</v>
      </c>
      <c r="P11" s="36">
        <v>4</v>
      </c>
      <c r="Q11" s="11" t="s">
        <v>76</v>
      </c>
      <c r="R11" s="33">
        <v>10</v>
      </c>
      <c r="S11" s="10" t="s">
        <v>77</v>
      </c>
      <c r="T11" s="34">
        <v>10</v>
      </c>
      <c r="U11" s="11" t="s">
        <v>78</v>
      </c>
      <c r="V11" s="33">
        <v>10</v>
      </c>
      <c r="W11" s="38" t="s">
        <v>64</v>
      </c>
      <c r="X11" s="37" t="s">
        <v>64</v>
      </c>
      <c r="Y11" s="10" t="s">
        <v>53</v>
      </c>
      <c r="Z11" s="34">
        <v>8</v>
      </c>
      <c r="AA11" s="11" t="s">
        <v>79</v>
      </c>
      <c r="AB11" s="33">
        <v>10</v>
      </c>
    </row>
    <row r="12" spans="2:28" x14ac:dyDescent="0.35">
      <c r="B12" s="3"/>
      <c r="C12" s="3"/>
      <c r="D12" s="3"/>
      <c r="E12" s="3"/>
      <c r="F12" s="3"/>
      <c r="G12" s="11" t="s">
        <v>80</v>
      </c>
      <c r="H12" s="33">
        <v>12</v>
      </c>
      <c r="I12" s="202" t="s">
        <v>81</v>
      </c>
      <c r="J12" s="199"/>
      <c r="K12" s="34">
        <v>12</v>
      </c>
      <c r="L12" s="12"/>
      <c r="M12" s="12"/>
      <c r="N12" s="33"/>
      <c r="O12" s="10"/>
      <c r="P12" s="36"/>
      <c r="Q12" s="11" t="s">
        <v>82</v>
      </c>
      <c r="R12" s="33">
        <v>12</v>
      </c>
      <c r="S12" s="10" t="s">
        <v>83</v>
      </c>
      <c r="T12" s="34">
        <v>12</v>
      </c>
      <c r="U12" s="43" t="s">
        <v>84</v>
      </c>
      <c r="V12" s="33">
        <v>12</v>
      </c>
      <c r="W12" s="38"/>
      <c r="X12" s="37"/>
      <c r="Y12" s="10" t="s">
        <v>60</v>
      </c>
      <c r="Z12" s="34">
        <v>10</v>
      </c>
      <c r="AA12" s="43" t="s">
        <v>85</v>
      </c>
      <c r="AB12" s="33">
        <v>12</v>
      </c>
    </row>
    <row r="13" spans="2:28" hidden="1" x14ac:dyDescent="0.35">
      <c r="B13" s="3"/>
      <c r="C13" s="3"/>
      <c r="D13" s="3"/>
      <c r="E13" s="3"/>
      <c r="F13" s="3"/>
      <c r="G13" s="11"/>
      <c r="H13" s="33"/>
      <c r="I13" s="202"/>
      <c r="J13" s="199"/>
      <c r="K13" s="34"/>
      <c r="L13" s="43"/>
      <c r="M13" s="43"/>
      <c r="N13" s="33"/>
      <c r="O13" s="10"/>
      <c r="P13" s="36"/>
      <c r="Q13" s="11"/>
      <c r="R13" s="33"/>
      <c r="S13" s="10"/>
      <c r="T13" s="34"/>
      <c r="U13" s="11"/>
      <c r="V13" s="33"/>
      <c r="W13" s="38"/>
      <c r="X13" s="37"/>
      <c r="Y13" s="10" t="s">
        <v>67</v>
      </c>
      <c r="Z13" s="34">
        <v>11</v>
      </c>
      <c r="AA13" s="11"/>
      <c r="AB13" s="33"/>
    </row>
    <row r="14" spans="2:28" hidden="1" x14ac:dyDescent="0.35">
      <c r="B14" s="3"/>
      <c r="C14" s="3"/>
      <c r="D14" s="3"/>
      <c r="E14" s="3"/>
      <c r="F14" s="3" t="s">
        <v>43</v>
      </c>
      <c r="G14" s="11"/>
      <c r="H14" s="33"/>
      <c r="I14" s="202"/>
      <c r="J14" s="199"/>
      <c r="K14" s="34"/>
      <c r="L14" s="43"/>
      <c r="M14" s="43"/>
      <c r="N14" s="33"/>
      <c r="O14" s="10"/>
      <c r="P14" s="36"/>
      <c r="Q14" s="11"/>
      <c r="R14" s="33"/>
      <c r="S14" s="10"/>
      <c r="T14" s="34"/>
      <c r="U14" s="11"/>
      <c r="V14" s="33"/>
      <c r="W14" s="38" t="s">
        <v>64</v>
      </c>
      <c r="X14" s="37" t="s">
        <v>64</v>
      </c>
      <c r="Y14" s="10" t="s">
        <v>81</v>
      </c>
      <c r="Z14" s="34">
        <v>12</v>
      </c>
      <c r="AA14" s="43"/>
      <c r="AB14" s="33"/>
    </row>
    <row r="15" spans="2:28" ht="12" hidden="1" customHeight="1" x14ac:dyDescent="0.35"/>
    <row r="16" spans="2:28" ht="12" customHeight="1" x14ac:dyDescent="0.35"/>
    <row r="17" spans="1:80" ht="12" customHeight="1" x14ac:dyDescent="0.35"/>
    <row r="18" spans="1:80" ht="6" customHeight="1" x14ac:dyDescent="0.35"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/>
      <c r="AD18" s="45"/>
      <c r="AE18" s="46"/>
      <c r="AF18" s="1"/>
      <c r="AG18" s="1"/>
      <c r="AH18" s="1"/>
      <c r="AI18" s="1"/>
    </row>
    <row r="19" spans="1:80" s="1" customFormat="1" ht="45" customHeight="1" thickBot="1" x14ac:dyDescent="0.4">
      <c r="A19" s="7"/>
      <c r="B19" s="47" t="s">
        <v>86</v>
      </c>
      <c r="C19" s="47" t="s">
        <v>87</v>
      </c>
      <c r="D19" s="47" t="s">
        <v>88</v>
      </c>
      <c r="E19" s="47" t="s">
        <v>89</v>
      </c>
      <c r="F19" s="8" t="s">
        <v>1</v>
      </c>
      <c r="G19" s="32" t="s">
        <v>90</v>
      </c>
      <c r="H19" s="48" t="s">
        <v>91</v>
      </c>
      <c r="I19" s="31" t="s">
        <v>92</v>
      </c>
      <c r="J19" s="28" t="s">
        <v>93</v>
      </c>
      <c r="K19" s="29" t="s">
        <v>91</v>
      </c>
      <c r="L19" s="487" t="s">
        <v>94</v>
      </c>
      <c r="M19" s="488"/>
      <c r="N19" s="48" t="s">
        <v>91</v>
      </c>
      <c r="O19" s="31" t="s">
        <v>95</v>
      </c>
      <c r="P19" s="29" t="s">
        <v>91</v>
      </c>
      <c r="Q19" s="25" t="s">
        <v>6</v>
      </c>
      <c r="R19" s="48" t="s">
        <v>91</v>
      </c>
      <c r="S19" s="31" t="s">
        <v>7</v>
      </c>
      <c r="T19" s="29" t="s">
        <v>91</v>
      </c>
      <c r="U19" s="50" t="s">
        <v>96</v>
      </c>
      <c r="V19" s="51" t="s">
        <v>91</v>
      </c>
      <c r="W19" s="52" t="s">
        <v>27</v>
      </c>
      <c r="X19" s="53" t="s">
        <v>91</v>
      </c>
      <c r="Y19" s="31" t="s">
        <v>97</v>
      </c>
      <c r="Z19" s="29" t="s">
        <v>91</v>
      </c>
      <c r="AA19" s="50" t="s">
        <v>98</v>
      </c>
      <c r="AB19" s="51" t="s">
        <v>91</v>
      </c>
      <c r="AC19" s="55" t="s">
        <v>99</v>
      </c>
      <c r="AD19" s="55" t="s">
        <v>100</v>
      </c>
      <c r="AE19" s="55" t="s">
        <v>101</v>
      </c>
      <c r="AK19" s="323"/>
      <c r="AL19" s="325"/>
      <c r="AO19" s="85" t="s">
        <v>102</v>
      </c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</row>
    <row r="20" spans="1:80" s="1" customFormat="1" ht="15" customHeight="1" x14ac:dyDescent="0.35">
      <c r="A20" s="86"/>
      <c r="B20" s="57">
        <v>1</v>
      </c>
      <c r="C20" s="57">
        <f t="shared" ref="C20:C28" si="0">IF($F20="","",RANK(AE20,$AE$20:$AE$90))</f>
        <v>28</v>
      </c>
      <c r="D20" s="57">
        <f>IF($F20="","",C20+(B20/100))</f>
        <v>28.01</v>
      </c>
      <c r="E20" s="57">
        <f t="shared" ref="E20:E28" si="1">IF($F20="","",RANK(D20,$D$20:$D$90,1))</f>
        <v>28</v>
      </c>
      <c r="F20" s="3" t="str">
        <f>IF($B20&gt;KEY!$B$2,"",IFERROR(VLOOKUP($B20,KEY!$A$5:$B$74,2),""))</f>
        <v>Acura North Scottsdale</v>
      </c>
      <c r="G20" s="71">
        <f>IFERROR(VLOOKUP($F20,WORKSHEET!$AA$7:$AJ$76,2,FALSE),"-")</f>
        <v>0.91566265060240959</v>
      </c>
      <c r="H20" s="63">
        <f t="shared" ref="H20:H28" si="2">IF($F20="","",IFERROR((IF(G20&lt;G$122,0,H$122)+IF(G20&lt;G$123,0,H$123)+IF(G20&lt;G$124,0,H$124)+IF(G20&lt;G$125,0,H$125)+IF(G20&lt;G$126,0,H$126)+IF(G20&lt;G$129,0,H$129)+IF(G20&lt;G$128,0,H$128)+IF(G20&lt;G$127,0,H$127)),0))</f>
        <v>9</v>
      </c>
      <c r="I20" s="38">
        <f>IFERROR(VLOOKUP($F20,WORKSHEET!$AA$7:$AJ$76,3,FALSE),"-")</f>
        <v>2.125</v>
      </c>
      <c r="J20" s="6">
        <f>IF($F20="","",IFERROR($I20/3,"N/A"))</f>
        <v>0.70833333333333337</v>
      </c>
      <c r="K20" s="59">
        <f t="shared" ref="K20:K28" si="3">IF($F20="","",IFERROR((IF(J20&lt;J$122,0,K$122)+IF(J20&lt;J$123,0,K$123)+IF(J20&lt;J$124,0,K$124)+IF(J20&lt;J$125,0,K$125)+IF(J20&lt;J$126,0,K$126)+IF(J20&lt;J$129,0,K$129)+IF(J20&lt;J$127,0,K$127)+IF(J20&lt;J$128,0,K$128)),0))</f>
        <v>12</v>
      </c>
      <c r="L20" s="60"/>
      <c r="M20" s="61">
        <f>IFERROR(VLOOKUP($F20,WORKSHEET!$AA$7:$AJ$76,4,FALSE),"-")</f>
        <v>2.5714285714285716</v>
      </c>
      <c r="N20" s="63">
        <f t="shared" ref="N20:N28" si="4">IF($F20="","",IFERROR((IF(M20&lt;M$122,0,N$122)+IF(M20&lt;M$123,0,N$123)+IF(M20&lt;M$124,0,N$124)+IF(M20&lt;M$125,0,N$125)+IF(M20&lt;M$126,0,N$126)+IF(M20&lt;M$129,0,N$129)+IF(M20&lt;M$128,0,N$128)+IF(M20&lt;M$127,0,N$127)),0))</f>
        <v>12</v>
      </c>
      <c r="O20" s="38">
        <f>IFERROR(VLOOKUP($F20,WORKSHEET!$AA$7:$AJ$76,5,FALSE),"-")</f>
        <v>0.75</v>
      </c>
      <c r="P20" s="59">
        <f t="shared" ref="P20:P28" si="5">IF($F20="","",IFERROR((IF(O20&lt;O$122,0,P$122)+IF(O20&lt;O$123,0,P$123)+IF(O20&lt;O$124,0,P$124)+IF(O20&lt;O$125,0,P$125)+IF(O20&lt;O$126,0,P$126)+IF(O20&lt;O$129,0,P$129)+IF(O20&lt;O$128,0,P$128)+IF(O20&lt;O$127,0,P$127)),0))</f>
        <v>2</v>
      </c>
      <c r="Q20" s="11">
        <f>IFERROR(VLOOKUP($F20,WORKSHEET!$AA$7:$AJ$76,6,FALSE),"-")</f>
        <v>0.15753424657534246</v>
      </c>
      <c r="R20" s="63">
        <f t="shared" ref="R20:R28" si="6">IF($F20="","",IFERROR((IF(Q20&lt;Q$122,0,R$122)+IF(Q20&lt;Q$123,0,R$123)+IF(Q20&lt;Q$124,0,R$124)+IF(Q20&lt;Q$125,0,R$125)+IF(Q20&lt;Q$126,0,R$126)+IF(Q20&lt;Q$129,0,R$129)+IF(Q20&lt;Q$128,0,R$128)+IF(Q20&lt;Q$127,0,R$127)),0))</f>
        <v>12</v>
      </c>
      <c r="S20" s="15">
        <f>IFERROR(VLOOKUP($F20,WORKSHEET!$AA$7:$AJ$76,7,FALSE),"-")</f>
        <v>0.19480519480519481</v>
      </c>
      <c r="T20" s="59">
        <f t="shared" ref="T20:T28" si="7">IF($F20="","",IFERROR((IF(S20&lt;S$122,0,T$122)+IF(S20&lt;S$123,0,T$123)+IF(S20&lt;S$124,0,T$124)+IF(S20&lt;S$125,0,T$125)+IF(S20&lt;S$126,0,T$126)+IF(S20&lt;S$129,0,T$129)+IF(S20&lt;S$128,0,T$128)+IF(S20&lt;S$127,0,T$127)),0))</f>
        <v>8</v>
      </c>
      <c r="U20" s="62">
        <f>IFERROR(VLOOKUP($F20,WORKSHEET!$AA$7:$AJ$76,8,FALSE),"-")</f>
        <v>0.63636363636363635</v>
      </c>
      <c r="V20" s="63">
        <f t="shared" ref="V20:V28" si="8">IF($F20="","",IFERROR((IF(U20&lt;U$122,0,V$122)+IF(U20&lt;U$123,0,V$123)+IF(U20&lt;U$124,0,V$124)+IF(U20&lt;U$125,0,V$125)+IF(U20&lt;U$126,0,V$126)+IF(U20&lt;U$129,0,V$129)+IF(U20&lt;U$128,0,V$128)+IF(U20&lt;U$127,0,V$127)),0))</f>
        <v>8</v>
      </c>
      <c r="W20" s="64" t="str">
        <f>IF(WORKSHEET!W7="","-",WORKSHEET!W7)</f>
        <v>-</v>
      </c>
      <c r="X20" s="59">
        <f t="shared" ref="X20:X28" si="9">IFERROR((IF(W20&lt;W$122,0,X$122)+IF(W20&lt;W$123,0,X$123)+IF(W20&lt;W$124,0,X$124)+IF(W20&lt;W$125,0,X$125)+IF(W20&lt;W$126,0,X$126)+IF(W20&lt;W$129,0,X$129)+IF(W20&lt;W$128,0,X$128)+IF(W20&lt;W$127,0,X$127)),0)</f>
        <v>0</v>
      </c>
      <c r="Y20" s="15">
        <f>IFERROR(VLOOKUP($F20,WORKSHEET!$AA$7:$AJ$76,9,FALSE),"-")</f>
        <v>0.79870129870129869</v>
      </c>
      <c r="Z20" s="59">
        <f t="shared" ref="Z20:Z28" si="10">IF($F20="","",IFERROR((IF(Y20&lt;Y$122,0,Z$122)+IF(Y20&lt;Y$123,0,Z$123)+IF(Y20&lt;Y$124,0,Z$124)+IF(Y20&lt;Y$125,0,Z$125)+IF(Y20&lt;Y$126,0,Z$126)+IF(Y20&lt;Y$129,0,Z$129)+IF(Y20&lt;Y$128,0,Z$128)+IF(Y20&lt;Y$127,0,Z$127)),0))</f>
        <v>8</v>
      </c>
      <c r="AA20" s="62">
        <f>IFERROR(VLOOKUP($F20,WORKSHEET!$AA$7:$AJ$76,10,FALSE),"-")</f>
        <v>0.81578947368421051</v>
      </c>
      <c r="AB20" s="63">
        <f t="shared" ref="AB20:AB28" si="11">IF($F20="","",IFERROR((IF(AA20&lt;AA$122,0,AB$122)+IF(AA20&lt;AA$123,0,AB$123)+IF(AA20&lt;AA$124,0,AB$124)+IF(AA20&lt;AA$125,0,AB$125)+IF(AA20&lt;AA$126,0,AB$126)+IF(AA20&lt;AA$129,0,AB$129)+IF(AA20&lt;AA$128,0,AB$128)+IF(AA20&lt;AA$127,0,AB$127)),0))</f>
        <v>12</v>
      </c>
      <c r="AC20" s="66">
        <f t="shared" ref="AC20:AC51" si="12">IF($F20="","",(H20+R20+T20+V20+N20+Z20+AB20+P20+K20))</f>
        <v>83</v>
      </c>
      <c r="AD20" s="67">
        <f>IF($F20="","",100-AO20)</f>
        <v>100</v>
      </c>
      <c r="AE20" s="68">
        <f t="shared" ref="AE20:AE45" si="13">IF($F20="","",IFERROR(AC20/AD20,0))</f>
        <v>0.83</v>
      </c>
      <c r="AF20" s="414" t="str">
        <f t="shared" ref="AF20:AF51" si="14">IF(F20="","",AH20&amp;"-"&amp;AI20)</f>
        <v>Arizona-9</v>
      </c>
      <c r="AG20" s="414" t="str">
        <f t="shared" ref="AG20:AG51" si="15">IF(F20="","",F20)</f>
        <v>Acura North Scottsdale</v>
      </c>
      <c r="AH20" s="415" t="str">
        <f>IF($B20&gt;KEY!$B$2,"",IFERROR(VLOOKUP($B20,KEY!$A$5:$D$74,4,FALSE),""))</f>
        <v>Arizona</v>
      </c>
      <c r="AI20" s="415">
        <f t="shared" ref="AI20:AI28" si="16">IF(F20="","",COUNTIFS($AH$20:$AH$90,$AH20,$D$20:$D$90,"&lt;"&amp;$D20)+1)</f>
        <v>9</v>
      </c>
      <c r="AJ20" s="416"/>
      <c r="AK20" s="324"/>
      <c r="AL20" s="322"/>
      <c r="AN20" s="319"/>
      <c r="AO20" s="85">
        <f t="shared" ref="AO20:AO28" si="17">SUMIFS($G$130:$AB$130,$F20:$AA20,"N/A")</f>
        <v>0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s="1" customFormat="1" ht="15" customHeight="1" x14ac:dyDescent="0.35">
      <c r="A21" s="86"/>
      <c r="B21" s="57">
        <v>2</v>
      </c>
      <c r="C21" s="57">
        <f t="shared" si="0"/>
        <v>47</v>
      </c>
      <c r="D21" s="57">
        <f t="shared" ref="D21:D84" si="18">IF($F21="","",C21+(B21/100))</f>
        <v>47.02</v>
      </c>
      <c r="E21" s="57">
        <f t="shared" si="1"/>
        <v>47</v>
      </c>
      <c r="F21" s="3" t="str">
        <f>IF($B21&gt;KEY!$B$2,"",IFERROR(VLOOKUP($B21,KEY!$A$5:$B$74,2),""))</f>
        <v>Acura of Escondido</v>
      </c>
      <c r="G21" s="71">
        <f>IFERROR(VLOOKUP($F21,WORKSHEET!$AA$7:$AJ$76,2,FALSE),"-")</f>
        <v>0.89090909090909087</v>
      </c>
      <c r="H21" s="63">
        <f t="shared" si="2"/>
        <v>7</v>
      </c>
      <c r="I21" s="38">
        <f>IFERROR(VLOOKUP($F21,WORKSHEET!$AA$7:$AJ$76,3,FALSE),"-")</f>
        <v>1.75</v>
      </c>
      <c r="J21" s="6">
        <f t="shared" ref="J21:J84" si="19">IF($F21="","",IFERROR($I21/3,"N/A"))</f>
        <v>0.58333333333333337</v>
      </c>
      <c r="K21" s="59">
        <f t="shared" si="3"/>
        <v>12</v>
      </c>
      <c r="L21" s="60"/>
      <c r="M21" s="61">
        <f>IFERROR(VLOOKUP($F21,WORKSHEET!$AA$7:$AJ$76,4,FALSE),"-")</f>
        <v>1</v>
      </c>
      <c r="N21" s="63">
        <f t="shared" si="4"/>
        <v>6</v>
      </c>
      <c r="O21" s="38">
        <f>IFERROR(VLOOKUP($F21,WORKSHEET!$AA$7:$AJ$76,5,FALSE),"-")</f>
        <v>0.875</v>
      </c>
      <c r="P21" s="59">
        <f t="shared" si="5"/>
        <v>3</v>
      </c>
      <c r="Q21" s="11">
        <f>IFERROR(VLOOKUP($F21,WORKSHEET!$AA$7:$AJ$76,6,FALSE),"-")</f>
        <v>0.13861386138613863</v>
      </c>
      <c r="R21" s="63">
        <f t="shared" si="6"/>
        <v>12</v>
      </c>
      <c r="S21" s="15">
        <f>IFERROR(VLOOKUP($F21,WORKSHEET!$AA$7:$AJ$76,7,FALSE),"-")</f>
        <v>0.27500000000000002</v>
      </c>
      <c r="T21" s="59">
        <f t="shared" si="7"/>
        <v>12</v>
      </c>
      <c r="U21" s="62">
        <f>IFERROR(VLOOKUP($F21,WORKSHEET!$AA$7:$AJ$76,8,FALSE),"-")</f>
        <v>0.44444444444444442</v>
      </c>
      <c r="V21" s="63">
        <f t="shared" si="8"/>
        <v>0</v>
      </c>
      <c r="W21" s="64" t="str">
        <f>IF(WORKSHEET!W8="","-",WORKSHEET!W8)</f>
        <v>-</v>
      </c>
      <c r="X21" s="59">
        <f t="shared" si="9"/>
        <v>0</v>
      </c>
      <c r="Y21" s="15">
        <f>IFERROR(VLOOKUP($F21,WORKSHEET!$AA$7:$AJ$76,9,FALSE),"-")</f>
        <v>0.77272727272727271</v>
      </c>
      <c r="Z21" s="59">
        <f t="shared" si="10"/>
        <v>6</v>
      </c>
      <c r="AA21" s="62">
        <f>IFERROR(VLOOKUP($F21,WORKSHEET!$AA$7:$AJ$76,10,FALSE),"-")</f>
        <v>0.83673469387755106</v>
      </c>
      <c r="AB21" s="63">
        <f t="shared" si="11"/>
        <v>12</v>
      </c>
      <c r="AC21" s="66">
        <f t="shared" si="12"/>
        <v>70</v>
      </c>
      <c r="AD21" s="70">
        <f t="shared" ref="AD21:AD84" si="20">IF($F21="","",100-AO21)</f>
        <v>100</v>
      </c>
      <c r="AE21" s="68">
        <f t="shared" si="13"/>
        <v>0.7</v>
      </c>
      <c r="AF21" s="414" t="str">
        <f t="shared" si="14"/>
        <v>Southern California-8</v>
      </c>
      <c r="AG21" s="414" t="str">
        <f t="shared" si="15"/>
        <v>Acura of Escondido</v>
      </c>
      <c r="AH21" s="415" t="str">
        <f>IF($B21&gt;KEY!$B$2,"",IFERROR(VLOOKUP($B21,KEY!$A$5:$D$74,4,FALSE),""))</f>
        <v>Southern California</v>
      </c>
      <c r="AI21" s="415">
        <f t="shared" si="16"/>
        <v>8</v>
      </c>
      <c r="AJ21" s="414"/>
      <c r="AK21" s="324"/>
      <c r="AL21" s="322"/>
      <c r="AO21" s="85">
        <f t="shared" si="17"/>
        <v>0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s="1" customFormat="1" ht="15" customHeight="1" x14ac:dyDescent="0.35">
      <c r="A22" s="86"/>
      <c r="B22" s="57">
        <v>3</v>
      </c>
      <c r="C22" s="57">
        <f t="shared" si="0"/>
        <v>35</v>
      </c>
      <c r="D22" s="57">
        <f t="shared" si="18"/>
        <v>35.03</v>
      </c>
      <c r="E22" s="57">
        <f t="shared" si="1"/>
        <v>35</v>
      </c>
      <c r="F22" s="3" t="str">
        <f>IF($B22&gt;KEY!$B$2,"",IFERROR(VLOOKUP($B22,KEY!$A$5:$B$74,2),""))</f>
        <v>Audi Chandler</v>
      </c>
      <c r="G22" s="71">
        <f>IFERROR(VLOOKUP($F22,WORKSHEET!$AA$7:$AJ$76,2,FALSE),"-")</f>
        <v>0.9285714285714286</v>
      </c>
      <c r="H22" s="63">
        <f t="shared" si="2"/>
        <v>9</v>
      </c>
      <c r="I22" s="38">
        <f>IFERROR(VLOOKUP($F22,WORKSHEET!$AA$7:$AJ$76,3,FALSE),"-")</f>
        <v>2.8333333333333335</v>
      </c>
      <c r="J22" s="6">
        <f t="shared" si="19"/>
        <v>0.94444444444444453</v>
      </c>
      <c r="K22" s="59">
        <f t="shared" si="3"/>
        <v>12</v>
      </c>
      <c r="L22" s="60"/>
      <c r="M22" s="61">
        <f>IFERROR(VLOOKUP($F22,WORKSHEET!$AA$7:$AJ$76,4,FALSE),"-")</f>
        <v>1.3333333333333333</v>
      </c>
      <c r="N22" s="63">
        <f t="shared" si="4"/>
        <v>6</v>
      </c>
      <c r="O22" s="38">
        <f>IFERROR(VLOOKUP($F22,WORKSHEET!$AA$7:$AJ$76,5,FALSE),"-")</f>
        <v>0.625</v>
      </c>
      <c r="P22" s="59">
        <f t="shared" si="5"/>
        <v>1</v>
      </c>
      <c r="Q22" s="11">
        <f>IFERROR(VLOOKUP($F22,WORKSHEET!$AA$7:$AJ$76,6,FALSE),"-")</f>
        <v>0.15107913669064749</v>
      </c>
      <c r="R22" s="63">
        <f t="shared" si="6"/>
        <v>12</v>
      </c>
      <c r="S22" s="15">
        <f>IFERROR(VLOOKUP($F22,WORKSHEET!$AA$7:$AJ$76,7,FALSE),"-")</f>
        <v>0.29545454545454547</v>
      </c>
      <c r="T22" s="59">
        <f t="shared" si="7"/>
        <v>12</v>
      </c>
      <c r="U22" s="62">
        <f>IFERROR(VLOOKUP($F22,WORKSHEET!$AA$7:$AJ$76,8,FALSE),"-")</f>
        <v>0.5714285714285714</v>
      </c>
      <c r="V22" s="63">
        <f t="shared" si="8"/>
        <v>6</v>
      </c>
      <c r="W22" s="64" t="str">
        <f>IF(WORKSHEET!W9="","-",WORKSHEET!W9)</f>
        <v>-</v>
      </c>
      <c r="X22" s="59">
        <f t="shared" si="9"/>
        <v>0</v>
      </c>
      <c r="Y22" s="15">
        <f>IFERROR(VLOOKUP($F22,WORKSHEET!$AA$7:$AJ$76,9,FALSE),"-")</f>
        <v>1.1742424242424243</v>
      </c>
      <c r="Z22" s="59">
        <f t="shared" si="10"/>
        <v>12</v>
      </c>
      <c r="AA22" s="62">
        <f>IFERROR(VLOOKUP($F22,WORKSHEET!$AA$7:$AJ$76,10,FALSE),"-")</f>
        <v>0.98750000000000004</v>
      </c>
      <c r="AB22" s="63">
        <f t="shared" si="11"/>
        <v>12</v>
      </c>
      <c r="AC22" s="66">
        <f t="shared" si="12"/>
        <v>82</v>
      </c>
      <c r="AD22" s="70">
        <f t="shared" si="20"/>
        <v>100</v>
      </c>
      <c r="AE22" s="68">
        <f t="shared" si="13"/>
        <v>0.82</v>
      </c>
      <c r="AF22" s="414" t="str">
        <f t="shared" si="14"/>
        <v>Arizona-13</v>
      </c>
      <c r="AG22" s="414" t="str">
        <f t="shared" si="15"/>
        <v>Audi Chandler</v>
      </c>
      <c r="AH22" s="415" t="str">
        <f>IF($B22&gt;KEY!$B$2,"",IFERROR(VLOOKUP($B22,KEY!$A$5:$D$74,4,FALSE),""))</f>
        <v>Arizona</v>
      </c>
      <c r="AI22" s="415">
        <f t="shared" si="16"/>
        <v>13</v>
      </c>
      <c r="AJ22" s="414"/>
      <c r="AK22" s="324"/>
      <c r="AL22" s="322"/>
      <c r="AO22" s="85">
        <f t="shared" si="17"/>
        <v>0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</row>
    <row r="23" spans="1:80" s="1" customFormat="1" ht="15" customHeight="1" x14ac:dyDescent="0.35">
      <c r="A23" s="86"/>
      <c r="B23" s="57">
        <v>4</v>
      </c>
      <c r="C23" s="57">
        <f t="shared" si="0"/>
        <v>19</v>
      </c>
      <c r="D23" s="57">
        <f t="shared" si="18"/>
        <v>19.04</v>
      </c>
      <c r="E23" s="57">
        <f t="shared" si="1"/>
        <v>19</v>
      </c>
      <c r="F23" s="3" t="str">
        <f>IF($B23&gt;KEY!$B$2,"",IFERROR(VLOOKUP($B23,KEY!$A$5:$B$74,2),""))</f>
        <v>Audi Escondido</v>
      </c>
      <c r="G23" s="71">
        <f>IFERROR(VLOOKUP($F23,WORKSHEET!$AA$7:$AJ$76,2,FALSE),"-")</f>
        <v>1.1551724137931034</v>
      </c>
      <c r="H23" s="63">
        <f t="shared" si="2"/>
        <v>12</v>
      </c>
      <c r="I23" s="38">
        <f>IFERROR(VLOOKUP($F23,WORKSHEET!$AA$7:$AJ$76,3,FALSE),"-")</f>
        <v>3</v>
      </c>
      <c r="J23" s="6">
        <f t="shared" si="19"/>
        <v>1</v>
      </c>
      <c r="K23" s="59">
        <f t="shared" si="3"/>
        <v>12</v>
      </c>
      <c r="L23" s="60"/>
      <c r="M23" s="61">
        <f>IFERROR(VLOOKUP($F23,WORKSHEET!$AA$7:$AJ$76,4,FALSE),"-")</f>
        <v>4</v>
      </c>
      <c r="N23" s="63">
        <f t="shared" si="4"/>
        <v>12</v>
      </c>
      <c r="O23" s="38">
        <f>IFERROR(VLOOKUP($F23,WORKSHEET!$AA$7:$AJ$76,5,FALSE),"-")</f>
        <v>0.875</v>
      </c>
      <c r="P23" s="59">
        <f t="shared" si="5"/>
        <v>3</v>
      </c>
      <c r="Q23" s="11">
        <f>IFERROR(VLOOKUP($F23,WORKSHEET!$AA$7:$AJ$76,6,FALSE),"-")</f>
        <v>0.22535211267605634</v>
      </c>
      <c r="R23" s="63">
        <f t="shared" si="6"/>
        <v>12</v>
      </c>
      <c r="S23" s="15">
        <f>IFERROR(VLOOKUP($F23,WORKSHEET!$AA$7:$AJ$76,7,FALSE),"-")</f>
        <v>0.55172413793103448</v>
      </c>
      <c r="T23" s="59">
        <f t="shared" si="7"/>
        <v>12</v>
      </c>
      <c r="U23" s="62">
        <f>IFERROR(VLOOKUP($F23,WORKSHEET!$AA$7:$AJ$76,8,FALSE),"-")</f>
        <v>0.8</v>
      </c>
      <c r="V23" s="63">
        <f t="shared" si="8"/>
        <v>12</v>
      </c>
      <c r="W23" s="64" t="str">
        <f>IF(WORKSHEET!W10="","-",WORKSHEET!W10)</f>
        <v>-</v>
      </c>
      <c r="X23" s="59">
        <f t="shared" si="9"/>
        <v>0</v>
      </c>
      <c r="Y23" s="15">
        <f>IFERROR(VLOOKUP($F23,WORKSHEET!$AA$7:$AJ$76,9,FALSE),"-")</f>
        <v>0.65454545454545454</v>
      </c>
      <c r="Z23" s="59">
        <f t="shared" si="10"/>
        <v>2</v>
      </c>
      <c r="AA23" s="62">
        <f>IFERROR(VLOOKUP($F23,WORKSHEET!$AA$7:$AJ$76,10,FALSE),"-")</f>
        <v>0.59701492537313428</v>
      </c>
      <c r="AB23" s="63">
        <f t="shared" si="11"/>
        <v>12</v>
      </c>
      <c r="AC23" s="66">
        <f t="shared" si="12"/>
        <v>89</v>
      </c>
      <c r="AD23" s="70">
        <f t="shared" si="20"/>
        <v>100</v>
      </c>
      <c r="AE23" s="68">
        <f>IF($F23="","",IFERROR(AC23/AD23,0))</f>
        <v>0.89</v>
      </c>
      <c r="AF23" s="414" t="str">
        <f t="shared" si="14"/>
        <v>Southern California-5</v>
      </c>
      <c r="AG23" s="414" t="str">
        <f t="shared" si="15"/>
        <v>Audi Escondido</v>
      </c>
      <c r="AH23" s="415" t="str">
        <f>IF($B23&gt;KEY!$B$2,"",IFERROR(VLOOKUP($B23,KEY!$A$5:$D$74,4,FALSE),""))</f>
        <v>Southern California</v>
      </c>
      <c r="AI23" s="415">
        <f t="shared" si="16"/>
        <v>5</v>
      </c>
      <c r="AJ23" s="414"/>
      <c r="AK23" s="324"/>
      <c r="AL23" s="322"/>
      <c r="AO23" s="85">
        <f t="shared" si="17"/>
        <v>0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</row>
    <row r="24" spans="1:80" s="1" customFormat="1" ht="15" customHeight="1" x14ac:dyDescent="0.35">
      <c r="A24" s="86"/>
      <c r="B24" s="57">
        <v>5</v>
      </c>
      <c r="C24" s="57">
        <f t="shared" si="0"/>
        <v>28</v>
      </c>
      <c r="D24" s="57">
        <f t="shared" si="18"/>
        <v>28.05</v>
      </c>
      <c r="E24" s="57">
        <f t="shared" si="1"/>
        <v>29</v>
      </c>
      <c r="F24" s="3" t="str">
        <f>IF($B24&gt;KEY!$B$2,"",IFERROR(VLOOKUP($B24,KEY!$A$5:$B$74,2),""))</f>
        <v>Audi North OC</v>
      </c>
      <c r="G24" s="71">
        <f>IFERROR(VLOOKUP($F24,WORKSHEET!$AA$7:$AJ$76,2,FALSE),"-")</f>
        <v>1.2857142857142858</v>
      </c>
      <c r="H24" s="63">
        <f t="shared" si="2"/>
        <v>12</v>
      </c>
      <c r="I24" s="38">
        <f>IFERROR(VLOOKUP($F24,WORKSHEET!$AA$7:$AJ$76,3,FALSE),"-")</f>
        <v>3</v>
      </c>
      <c r="J24" s="6">
        <f t="shared" si="19"/>
        <v>1</v>
      </c>
      <c r="K24" s="59">
        <f t="shared" si="3"/>
        <v>12</v>
      </c>
      <c r="L24" s="60"/>
      <c r="M24" s="61">
        <f>IFERROR(VLOOKUP($F24,WORKSHEET!$AA$7:$AJ$76,4,FALSE),"-")</f>
        <v>1.8</v>
      </c>
      <c r="N24" s="63">
        <f t="shared" si="4"/>
        <v>9</v>
      </c>
      <c r="O24" s="38">
        <f>IFERROR(VLOOKUP($F24,WORKSHEET!$AA$7:$AJ$76,5,FALSE),"-")</f>
        <v>1</v>
      </c>
      <c r="P24" s="59">
        <f t="shared" si="5"/>
        <v>4</v>
      </c>
      <c r="Q24" s="11">
        <f>IFERROR(VLOOKUP($F24,WORKSHEET!$AA$7:$AJ$76,6,FALSE),"-")</f>
        <v>0.23232323232323232</v>
      </c>
      <c r="R24" s="63">
        <f t="shared" si="6"/>
        <v>12</v>
      </c>
      <c r="S24" s="15">
        <f>IFERROR(VLOOKUP($F24,WORKSHEET!$AA$7:$AJ$76,7,FALSE),"-")</f>
        <v>0.34375</v>
      </c>
      <c r="T24" s="59">
        <f t="shared" si="7"/>
        <v>12</v>
      </c>
      <c r="U24" s="62">
        <f>IFERROR(VLOOKUP($F24,WORKSHEET!$AA$7:$AJ$76,8,FALSE),"-")</f>
        <v>0.5</v>
      </c>
      <c r="V24" s="63">
        <f t="shared" si="8"/>
        <v>4</v>
      </c>
      <c r="W24" s="64" t="str">
        <f>IF(WORKSHEET!W11="","-",WORKSHEET!W11)</f>
        <v>-</v>
      </c>
      <c r="X24" s="59">
        <f t="shared" si="9"/>
        <v>0</v>
      </c>
      <c r="Y24" s="15">
        <f>IFERROR(VLOOKUP($F24,WORKSHEET!$AA$7:$AJ$76,9,FALSE),"-")</f>
        <v>0.78181818181818186</v>
      </c>
      <c r="Z24" s="59">
        <f t="shared" si="10"/>
        <v>6</v>
      </c>
      <c r="AA24" s="62">
        <f>IFERROR(VLOOKUP($F24,WORKSHEET!$AA$7:$AJ$76,10,FALSE),"-")</f>
        <v>0.8571428571428571</v>
      </c>
      <c r="AB24" s="63">
        <f t="shared" si="11"/>
        <v>12</v>
      </c>
      <c r="AC24" s="66">
        <f t="shared" si="12"/>
        <v>83</v>
      </c>
      <c r="AD24" s="70">
        <f t="shared" si="20"/>
        <v>100</v>
      </c>
      <c r="AE24" s="68">
        <f t="shared" si="13"/>
        <v>0.83</v>
      </c>
      <c r="AF24" s="414" t="str">
        <f t="shared" si="14"/>
        <v>Orange County-5</v>
      </c>
      <c r="AG24" s="414" t="str">
        <f t="shared" si="15"/>
        <v>Audi North OC</v>
      </c>
      <c r="AH24" s="415" t="str">
        <f>IF($B24&gt;KEY!$B$2,"",IFERROR(VLOOKUP($B24,KEY!$A$5:$D$74,4,FALSE),""))</f>
        <v>Orange County</v>
      </c>
      <c r="AI24" s="415">
        <f t="shared" si="16"/>
        <v>5</v>
      </c>
      <c r="AJ24" s="414"/>
      <c r="AK24" s="324"/>
      <c r="AL24" s="322"/>
      <c r="AO24" s="85">
        <f t="shared" si="17"/>
        <v>0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</row>
    <row r="25" spans="1:80" s="1" customFormat="1" x14ac:dyDescent="0.35">
      <c r="A25" s="86"/>
      <c r="B25" s="57">
        <v>6</v>
      </c>
      <c r="C25" s="57">
        <f t="shared" si="0"/>
        <v>21</v>
      </c>
      <c r="D25" s="57">
        <f t="shared" si="18"/>
        <v>21.06</v>
      </c>
      <c r="E25" s="57">
        <f t="shared" si="1"/>
        <v>21</v>
      </c>
      <c r="F25" s="3" t="str">
        <f>IF($B25&gt;KEY!$B$2,"",IFERROR(VLOOKUP($B25,KEY!$A$5:$B$74,2),""))</f>
        <v>Audi North Scottsdale</v>
      </c>
      <c r="G25" s="71">
        <f>IFERROR(VLOOKUP($F25,WORKSHEET!$AA$7:$AJ$76,2,FALSE),"-")</f>
        <v>1.0070422535211268</v>
      </c>
      <c r="H25" s="63">
        <f t="shared" si="2"/>
        <v>12</v>
      </c>
      <c r="I25" s="38">
        <f>IFERROR(VLOOKUP($F25,WORKSHEET!$AA$7:$AJ$76,3,FALSE),"-")</f>
        <v>0.9375</v>
      </c>
      <c r="J25" s="6">
        <f t="shared" si="19"/>
        <v>0.3125</v>
      </c>
      <c r="K25" s="59">
        <f t="shared" si="3"/>
        <v>12</v>
      </c>
      <c r="L25" s="60"/>
      <c r="M25" s="61">
        <f>IFERROR(VLOOKUP($F25,WORKSHEET!$AA$7:$AJ$76,4,FALSE),"-")</f>
        <v>2.5</v>
      </c>
      <c r="N25" s="63">
        <f t="shared" si="4"/>
        <v>12</v>
      </c>
      <c r="O25" s="38">
        <f>IFERROR(VLOOKUP($F25,WORKSHEET!$AA$7:$AJ$76,5,FALSE),"-")</f>
        <v>1</v>
      </c>
      <c r="P25" s="59">
        <f t="shared" si="5"/>
        <v>4</v>
      </c>
      <c r="Q25" s="11">
        <f>IFERROR(VLOOKUP($F25,WORKSHEET!$AA$7:$AJ$76,6,FALSE),"-")</f>
        <v>0.13898305084745763</v>
      </c>
      <c r="R25" s="63">
        <f t="shared" si="6"/>
        <v>12</v>
      </c>
      <c r="S25" s="15">
        <f>IFERROR(VLOOKUP($F25,WORKSHEET!$AA$7:$AJ$76,7,FALSE),"-")</f>
        <v>0.18461538461538463</v>
      </c>
      <c r="T25" s="59">
        <f t="shared" si="7"/>
        <v>8</v>
      </c>
      <c r="U25" s="62">
        <f>IFERROR(VLOOKUP($F25,WORKSHEET!$AA$7:$AJ$76,8,FALSE),"-")</f>
        <v>0.5714285714285714</v>
      </c>
      <c r="V25" s="63">
        <f t="shared" si="8"/>
        <v>6</v>
      </c>
      <c r="W25" s="64" t="str">
        <f>IF(WORKSHEET!W12="","-",WORKSHEET!W12)</f>
        <v>-</v>
      </c>
      <c r="X25" s="59">
        <f t="shared" si="9"/>
        <v>0</v>
      </c>
      <c r="Y25" s="15">
        <f>IFERROR(VLOOKUP($F25,WORKSHEET!$AA$7:$AJ$76,9,FALSE),"-")</f>
        <v>0.89090909090909087</v>
      </c>
      <c r="Z25" s="59">
        <f t="shared" si="10"/>
        <v>10</v>
      </c>
      <c r="AA25" s="62">
        <f>IFERROR(VLOOKUP($F25,WORKSHEET!$AA$7:$AJ$76,10,FALSE),"-")</f>
        <v>0.68531468531468531</v>
      </c>
      <c r="AB25" s="63">
        <f t="shared" si="11"/>
        <v>12</v>
      </c>
      <c r="AC25" s="66">
        <f t="shared" si="12"/>
        <v>88</v>
      </c>
      <c r="AD25" s="70">
        <f t="shared" si="20"/>
        <v>100</v>
      </c>
      <c r="AE25" s="68">
        <f t="shared" si="13"/>
        <v>0.88</v>
      </c>
      <c r="AF25" s="414" t="str">
        <f t="shared" si="14"/>
        <v>Arizona-6</v>
      </c>
      <c r="AG25" s="414" t="str">
        <f t="shared" si="15"/>
        <v>Audi North Scottsdale</v>
      </c>
      <c r="AH25" s="415" t="str">
        <f>IF($B25&gt;KEY!$B$2,"",IFERROR(VLOOKUP($B25,KEY!$A$5:$D$74,4,FALSE),""))</f>
        <v>Arizona</v>
      </c>
      <c r="AI25" s="415">
        <f t="shared" si="16"/>
        <v>6</v>
      </c>
      <c r="AJ25" s="414"/>
      <c r="AK25" s="324"/>
      <c r="AL25" s="322"/>
      <c r="AO25" s="85">
        <f t="shared" si="17"/>
        <v>0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s="1" customFormat="1" x14ac:dyDescent="0.35">
      <c r="A26" s="86"/>
      <c r="B26" s="57">
        <v>7</v>
      </c>
      <c r="C26" s="57">
        <f t="shared" si="0"/>
        <v>53</v>
      </c>
      <c r="D26" s="57">
        <f t="shared" si="18"/>
        <v>53.07</v>
      </c>
      <c r="E26" s="57">
        <f t="shared" si="1"/>
        <v>53</v>
      </c>
      <c r="F26" s="3" t="str">
        <f>IF($B26&gt;KEY!$B$2,"",IFERROR(VLOOKUP($B26,KEY!$A$5:$B$74,2),""))</f>
        <v>Audi San Jose</v>
      </c>
      <c r="G26" s="71">
        <f>IFERROR(VLOOKUP($F26,WORKSHEET!$AA$7:$AJ$76,2,FALSE),"-")</f>
        <v>0.77777777777777779</v>
      </c>
      <c r="H26" s="63">
        <f t="shared" si="2"/>
        <v>0</v>
      </c>
      <c r="I26" s="38">
        <f>IFERROR(VLOOKUP($F26,WORKSHEET!$AA$7:$AJ$76,3,FALSE),"-")</f>
        <v>1.2162162162162162</v>
      </c>
      <c r="J26" s="6">
        <f t="shared" si="19"/>
        <v>0.40540540540540543</v>
      </c>
      <c r="K26" s="59">
        <f t="shared" si="3"/>
        <v>12</v>
      </c>
      <c r="L26" s="60"/>
      <c r="M26" s="61">
        <f>IFERROR(VLOOKUP($F26,WORKSHEET!$AA$7:$AJ$76,4,FALSE),"-")</f>
        <v>0.4</v>
      </c>
      <c r="N26" s="63">
        <f t="shared" si="4"/>
        <v>0</v>
      </c>
      <c r="O26" s="38">
        <f>IFERROR(VLOOKUP($F26,WORKSHEET!$AA$7:$AJ$76,5,FALSE),"-")</f>
        <v>0.75</v>
      </c>
      <c r="P26" s="59">
        <f t="shared" si="5"/>
        <v>2</v>
      </c>
      <c r="Q26" s="11">
        <f>IFERROR(VLOOKUP($F26,WORKSHEET!$AA$7:$AJ$76,6,FALSE),"-")</f>
        <v>0.12087912087912088</v>
      </c>
      <c r="R26" s="63">
        <f t="shared" si="6"/>
        <v>10</v>
      </c>
      <c r="S26" s="15">
        <f>IFERROR(VLOOKUP($F26,WORKSHEET!$AA$7:$AJ$76,7,FALSE),"-")</f>
        <v>0.20765027322404372</v>
      </c>
      <c r="T26" s="59">
        <f t="shared" si="7"/>
        <v>10</v>
      </c>
      <c r="U26" s="62">
        <f>IFERROR(VLOOKUP($F26,WORKSHEET!$AA$7:$AJ$76,8,FALSE),"-")</f>
        <v>0.47169811320754718</v>
      </c>
      <c r="V26" s="63">
        <f t="shared" si="8"/>
        <v>4</v>
      </c>
      <c r="W26" s="64" t="str">
        <f>IF(WORKSHEET!W13="","-",WORKSHEET!W13)</f>
        <v>-</v>
      </c>
      <c r="X26" s="59">
        <f t="shared" si="9"/>
        <v>0</v>
      </c>
      <c r="Y26" s="15">
        <f>IFERROR(VLOOKUP($F26,WORKSHEET!$AA$7:$AJ$76,9,FALSE),"-")</f>
        <v>1.5545454545454545</v>
      </c>
      <c r="Z26" s="59">
        <f t="shared" si="10"/>
        <v>12</v>
      </c>
      <c r="AA26" s="62">
        <f>IFERROR(VLOOKUP($F26,WORKSHEET!$AA$7:$AJ$76,10,FALSE),"-")</f>
        <v>0.93827160493827155</v>
      </c>
      <c r="AB26" s="63">
        <f t="shared" si="11"/>
        <v>12</v>
      </c>
      <c r="AC26" s="66">
        <f t="shared" si="12"/>
        <v>62</v>
      </c>
      <c r="AD26" s="70">
        <f t="shared" si="20"/>
        <v>100</v>
      </c>
      <c r="AE26" s="68">
        <f t="shared" si="13"/>
        <v>0.62</v>
      </c>
      <c r="AF26" s="414" t="str">
        <f t="shared" si="14"/>
        <v>Northern California-7</v>
      </c>
      <c r="AG26" s="414" t="str">
        <f t="shared" si="15"/>
        <v>Audi San Jose</v>
      </c>
      <c r="AH26" s="415" t="str">
        <f>IF($B26&gt;KEY!$B$2,"",IFERROR(VLOOKUP($B26,KEY!$A$5:$D$74,4,FALSE),""))</f>
        <v>Northern California</v>
      </c>
      <c r="AI26" s="415">
        <f t="shared" si="16"/>
        <v>7</v>
      </c>
      <c r="AJ26" s="414"/>
      <c r="AK26" s="324"/>
      <c r="AL26" s="322"/>
      <c r="AO26" s="85">
        <f t="shared" si="17"/>
        <v>0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</row>
    <row r="27" spans="1:80" s="1" customFormat="1" x14ac:dyDescent="0.35">
      <c r="A27" s="86"/>
      <c r="B27" s="57">
        <v>8</v>
      </c>
      <c r="C27" s="57">
        <f t="shared" si="0"/>
        <v>40</v>
      </c>
      <c r="D27" s="57">
        <f t="shared" si="18"/>
        <v>40.08</v>
      </c>
      <c r="E27" s="57">
        <f t="shared" si="1"/>
        <v>40</v>
      </c>
      <c r="F27" s="3" t="str">
        <f>IF($B27&gt;KEY!$B$2,"",IFERROR(VLOOKUP($B27,KEY!$A$5:$B$74,2),""))</f>
        <v>Audi South Coast</v>
      </c>
      <c r="G27" s="71">
        <f>IFERROR(VLOOKUP($F27,WORKSHEET!$AA$7:$AJ$76,2,FALSE),"-")</f>
        <v>0.7927927927927928</v>
      </c>
      <c r="H27" s="63">
        <f t="shared" si="2"/>
        <v>0</v>
      </c>
      <c r="I27" s="38">
        <f>IFERROR(VLOOKUP($F27,WORKSHEET!$AA$7:$AJ$76,3,FALSE),"-")</f>
        <v>3.1578947368421053</v>
      </c>
      <c r="J27" s="6">
        <f t="shared" si="19"/>
        <v>1.0526315789473684</v>
      </c>
      <c r="K27" s="59">
        <f t="shared" si="3"/>
        <v>12</v>
      </c>
      <c r="L27" s="60"/>
      <c r="M27" s="61">
        <f>IFERROR(VLOOKUP($F27,WORKSHEET!$AA$7:$AJ$76,4,FALSE),"-")</f>
        <v>2.6666666666666665</v>
      </c>
      <c r="N27" s="63">
        <f t="shared" si="4"/>
        <v>12</v>
      </c>
      <c r="O27" s="38">
        <f>IFERROR(VLOOKUP($F27,WORKSHEET!$AA$7:$AJ$76,5,FALSE),"-")</f>
        <v>0.75</v>
      </c>
      <c r="P27" s="59">
        <f t="shared" si="5"/>
        <v>2</v>
      </c>
      <c r="Q27" s="11">
        <f>IFERROR(VLOOKUP($F27,WORKSHEET!$AA$7:$AJ$76,6,FALSE),"-")</f>
        <v>0.16923076923076924</v>
      </c>
      <c r="R27" s="63">
        <f t="shared" si="6"/>
        <v>12</v>
      </c>
      <c r="S27" s="15">
        <f>IFERROR(VLOOKUP($F27,WORKSHEET!$AA$7:$AJ$76,7,FALSE),"-")</f>
        <v>0.26666666666666666</v>
      </c>
      <c r="T27" s="59">
        <f t="shared" si="7"/>
        <v>12</v>
      </c>
      <c r="U27" s="62">
        <f>IFERROR(VLOOKUP($F27,WORKSHEET!$AA$7:$AJ$76,8,FALSE),"-")</f>
        <v>0.50980392156862742</v>
      </c>
      <c r="V27" s="63">
        <f t="shared" si="8"/>
        <v>4</v>
      </c>
      <c r="W27" s="64" t="str">
        <f>IF(WORKSHEET!W14="","-",WORKSHEET!W14)</f>
        <v>-</v>
      </c>
      <c r="X27" s="59">
        <f t="shared" si="9"/>
        <v>0</v>
      </c>
      <c r="Y27" s="15">
        <f>IFERROR(VLOOKUP($F27,WORKSHEET!$AA$7:$AJ$76,9,FALSE),"-")</f>
        <v>0.99242424242424243</v>
      </c>
      <c r="Z27" s="59">
        <f t="shared" si="10"/>
        <v>12</v>
      </c>
      <c r="AA27" s="62">
        <f>IFERROR(VLOOKUP($F27,WORKSHEET!$AA$7:$AJ$76,10,FALSE),"-")</f>
        <v>0.78409090909090906</v>
      </c>
      <c r="AB27" s="63">
        <f t="shared" si="11"/>
        <v>12</v>
      </c>
      <c r="AC27" s="66">
        <f t="shared" si="12"/>
        <v>78</v>
      </c>
      <c r="AD27" s="70">
        <f t="shared" si="20"/>
        <v>100</v>
      </c>
      <c r="AE27" s="68">
        <f t="shared" si="13"/>
        <v>0.78</v>
      </c>
      <c r="AF27" s="414" t="str">
        <f t="shared" si="14"/>
        <v>Orange County-7</v>
      </c>
      <c r="AG27" s="414" t="str">
        <f t="shared" si="15"/>
        <v>Audi South Coast</v>
      </c>
      <c r="AH27" s="415" t="str">
        <f>IF($B27&gt;KEY!$B$2,"",IFERROR(VLOOKUP($B27,KEY!$A$5:$D$74,4,FALSE),""))</f>
        <v>Orange County</v>
      </c>
      <c r="AI27" s="415">
        <f t="shared" si="16"/>
        <v>7</v>
      </c>
      <c r="AJ27" s="414"/>
      <c r="AK27" s="324"/>
      <c r="AL27" s="322"/>
      <c r="AO27" s="85">
        <f t="shared" si="17"/>
        <v>0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</row>
    <row r="28" spans="1:80" s="1" customFormat="1" x14ac:dyDescent="0.35">
      <c r="A28" s="86"/>
      <c r="B28" s="57">
        <v>9</v>
      </c>
      <c r="C28" s="57">
        <f t="shared" si="0"/>
        <v>1</v>
      </c>
      <c r="D28" s="57">
        <f t="shared" si="18"/>
        <v>1.0900000000000001</v>
      </c>
      <c r="E28" s="57">
        <f t="shared" si="1"/>
        <v>1</v>
      </c>
      <c r="F28" s="3" t="str">
        <f>IF($B28&gt;KEY!$B$2,"",IFERROR(VLOOKUP($B28,KEY!$A$5:$B$74,2),""))</f>
        <v>Bentley Scottsdale</v>
      </c>
      <c r="G28" s="71">
        <f>IFERROR(VLOOKUP($F28,WORKSHEET!$AA$7:$AJ$76,2,FALSE),"-")</f>
        <v>1.173913043478261</v>
      </c>
      <c r="H28" s="63">
        <f t="shared" si="2"/>
        <v>12</v>
      </c>
      <c r="I28" s="38">
        <f>IFERROR(VLOOKUP($F28,WORKSHEET!$AA$7:$AJ$76,3,FALSE),"-")</f>
        <v>1</v>
      </c>
      <c r="J28" s="6">
        <f t="shared" si="19"/>
        <v>0.33333333333333331</v>
      </c>
      <c r="K28" s="59">
        <f t="shared" si="3"/>
        <v>12</v>
      </c>
      <c r="L28" s="60"/>
      <c r="M28" s="61">
        <f>IFERROR(VLOOKUP($F28,WORKSHEET!$AA$7:$AJ$76,4,FALSE),"-")</f>
        <v>2</v>
      </c>
      <c r="N28" s="63">
        <f t="shared" si="4"/>
        <v>12</v>
      </c>
      <c r="O28" s="38">
        <f>IFERROR(VLOOKUP($F28,WORKSHEET!$AA$7:$AJ$76,5,FALSE),"-")</f>
        <v>1</v>
      </c>
      <c r="P28" s="59">
        <f t="shared" si="5"/>
        <v>4</v>
      </c>
      <c r="Q28" s="11">
        <f>IFERROR(VLOOKUP($F28,WORKSHEET!$AA$7:$AJ$76,6,FALSE),"-")</f>
        <v>0.19444444444444445</v>
      </c>
      <c r="R28" s="63">
        <f t="shared" si="6"/>
        <v>12</v>
      </c>
      <c r="S28" s="15">
        <f>IFERROR(VLOOKUP($F28,WORKSHEET!$AA$7:$AJ$76,7,FALSE),"-")</f>
        <v>0.43478260869565216</v>
      </c>
      <c r="T28" s="59">
        <f t="shared" si="7"/>
        <v>12</v>
      </c>
      <c r="U28" s="62" t="str">
        <f>IFERROR(VLOOKUP($F28,WORKSHEET!$AA$7:$AJ$76,8,FALSE),"-")</f>
        <v>N/A</v>
      </c>
      <c r="V28" s="63">
        <f t="shared" si="8"/>
        <v>0</v>
      </c>
      <c r="W28" s="64" t="str">
        <f>IF(WORKSHEET!W15="","-",WORKSHEET!W15)</f>
        <v>-</v>
      </c>
      <c r="X28" s="59">
        <f t="shared" si="9"/>
        <v>0</v>
      </c>
      <c r="Y28" s="15">
        <f>IFERROR(VLOOKUP($F28,WORKSHEET!$AA$7:$AJ$76,9,FALSE),"-")</f>
        <v>2.6666666666666665</v>
      </c>
      <c r="Z28" s="59">
        <f t="shared" si="10"/>
        <v>12</v>
      </c>
      <c r="AA28" s="62">
        <f>IFERROR(VLOOKUP($F28,WORKSHEET!$AA$7:$AJ$76,10,FALSE),"-")</f>
        <v>0.5714285714285714</v>
      </c>
      <c r="AB28" s="63">
        <f t="shared" si="11"/>
        <v>12</v>
      </c>
      <c r="AC28" s="66">
        <f t="shared" si="12"/>
        <v>88</v>
      </c>
      <c r="AD28" s="70">
        <f t="shared" si="20"/>
        <v>88</v>
      </c>
      <c r="AE28" s="68">
        <f t="shared" si="13"/>
        <v>1</v>
      </c>
      <c r="AF28" s="414" t="str">
        <f t="shared" si="14"/>
        <v>Arizona-1</v>
      </c>
      <c r="AG28" s="414" t="str">
        <f t="shared" si="15"/>
        <v>Bentley Scottsdale</v>
      </c>
      <c r="AH28" s="415" t="str">
        <f>IF($B28&gt;KEY!$B$2,"",IFERROR(VLOOKUP($B28,KEY!$A$5:$D$74,4,FALSE),""))</f>
        <v>Arizona</v>
      </c>
      <c r="AI28" s="415">
        <f t="shared" si="16"/>
        <v>1</v>
      </c>
      <c r="AJ28" s="414"/>
      <c r="AK28" s="324"/>
      <c r="AL28" s="322"/>
      <c r="AO28" s="85">
        <f t="shared" si="17"/>
        <v>12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</row>
    <row r="29" spans="1:80" s="1" customFormat="1" hidden="1" x14ac:dyDescent="0.35">
      <c r="A29" s="86"/>
      <c r="B29" s="57"/>
      <c r="C29" s="57"/>
      <c r="D29" s="57"/>
      <c r="E29" s="57"/>
      <c r="F29" s="3"/>
      <c r="G29" s="71"/>
      <c r="H29" s="63"/>
      <c r="I29" s="38"/>
      <c r="J29" s="6"/>
      <c r="K29" s="59"/>
      <c r="L29" s="60"/>
      <c r="M29" s="61"/>
      <c r="N29" s="63"/>
      <c r="O29" s="38"/>
      <c r="P29" s="59"/>
      <c r="Q29" s="11"/>
      <c r="R29" s="63"/>
      <c r="S29" s="15"/>
      <c r="T29" s="59"/>
      <c r="U29" s="62"/>
      <c r="V29" s="63"/>
      <c r="W29" s="64"/>
      <c r="X29" s="59"/>
      <c r="Y29" s="15"/>
      <c r="Z29" s="59"/>
      <c r="AA29" s="62"/>
      <c r="AB29" s="63"/>
      <c r="AC29" s="66"/>
      <c r="AD29" s="70"/>
      <c r="AE29" s="68" t="str">
        <f t="shared" si="13"/>
        <v/>
      </c>
      <c r="AF29" s="414"/>
      <c r="AG29" s="414"/>
      <c r="AH29" s="415"/>
      <c r="AI29" s="415"/>
      <c r="AJ29" s="414"/>
      <c r="AK29" s="324"/>
      <c r="AL29" s="322"/>
      <c r="AO29" s="85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</row>
    <row r="30" spans="1:80" s="1" customFormat="1" x14ac:dyDescent="0.35">
      <c r="A30" s="86"/>
      <c r="B30" s="57">
        <v>11</v>
      </c>
      <c r="C30" s="57">
        <f t="shared" ref="C30:C61" si="21">IF($F30="","",RANK(AE30,$AE$20:$AE$90))</f>
        <v>44</v>
      </c>
      <c r="D30" s="57">
        <f t="shared" si="18"/>
        <v>44.11</v>
      </c>
      <c r="E30" s="57">
        <f t="shared" ref="E30:E61" si="22">IF($F30="","",RANK(D30,$D$20:$D$90,1))</f>
        <v>44</v>
      </c>
      <c r="F30" s="3" t="str">
        <f>IF($B30&gt;KEY!$B$2,"",IFERROR(VLOOKUP($B30,KEY!$A$5:$B$74,2),""))</f>
        <v>BMW North Scottsdale</v>
      </c>
      <c r="G30" s="71">
        <f>IFERROR(VLOOKUP($F30,WORKSHEET!$AA$7:$AJ$76,2,FALSE),"-")</f>
        <v>0.93006993006993011</v>
      </c>
      <c r="H30" s="63">
        <f t="shared" ref="H30:H61" si="23">IF($F30="","",IFERROR((IF(G30&lt;G$122,0,H$122)+IF(G30&lt;G$123,0,H$123)+IF(G30&lt;G$124,0,H$124)+IF(G30&lt;G$125,0,H$125)+IF(G30&lt;G$126,0,H$126)+IF(G30&lt;G$129,0,H$129)+IF(G30&lt;G$128,0,H$128)+IF(G30&lt;G$127,0,H$127)),0))</f>
        <v>9</v>
      </c>
      <c r="I30" s="38">
        <f>IFERROR(VLOOKUP($F30,WORKSHEET!$AA$7:$AJ$76,3,FALSE),"-")</f>
        <v>0.5</v>
      </c>
      <c r="J30" s="6">
        <f t="shared" si="19"/>
        <v>0.16666666666666666</v>
      </c>
      <c r="K30" s="59">
        <f t="shared" ref="K30:K61" si="24">IF($F30="","",IFERROR((IF(J30&lt;J$122,0,K$122)+IF(J30&lt;J$123,0,K$123)+IF(J30&lt;J$124,0,K$124)+IF(J30&lt;J$125,0,K$125)+IF(J30&lt;J$126,0,K$126)+IF(J30&lt;J$129,0,K$129)+IF(J30&lt;J$127,0,K$127)+IF(J30&lt;J$128,0,K$128)),0))</f>
        <v>0</v>
      </c>
      <c r="L30" s="60"/>
      <c r="M30" s="61">
        <f>IFERROR(VLOOKUP($F30,WORKSHEET!$AA$7:$AJ$76,4,FALSE),"-")</f>
        <v>2.8928571428571428</v>
      </c>
      <c r="N30" s="63">
        <f t="shared" ref="N30:N61" si="25">IF($F30="","",IFERROR((IF(M30&lt;M$122,0,N$122)+IF(M30&lt;M$123,0,N$123)+IF(M30&lt;M$124,0,N$124)+IF(M30&lt;M$125,0,N$125)+IF(M30&lt;M$126,0,N$126)+IF(M30&lt;M$129,0,N$129)+IF(M30&lt;M$128,0,N$128)+IF(M30&lt;M$127,0,N$127)),0))</f>
        <v>12</v>
      </c>
      <c r="O30" s="38">
        <f>IFERROR(VLOOKUP($F30,WORKSHEET!$AA$7:$AJ$76,5,FALSE),"-")</f>
        <v>0.625</v>
      </c>
      <c r="P30" s="59">
        <f t="shared" ref="P30:P61" si="26">IF($F30="","",IFERROR((IF(O30&lt;O$122,0,P$122)+IF(O30&lt;O$123,0,P$123)+IF(O30&lt;O$124,0,P$124)+IF(O30&lt;O$125,0,P$125)+IF(O30&lt;O$126,0,P$126)+IF(O30&lt;O$129,0,P$129)+IF(O30&lt;O$128,0,P$128)+IF(O30&lt;O$127,0,P$127)),0))</f>
        <v>1</v>
      </c>
      <c r="Q30" s="11">
        <f>IFERROR(VLOOKUP($F30,WORKSHEET!$AA$7:$AJ$76,6,FALSE),"-")</f>
        <v>0.15745393634840871</v>
      </c>
      <c r="R30" s="63">
        <f t="shared" ref="R30:R61" si="27">IF($F30="","",IFERROR((IF(Q30&lt;Q$122,0,R$122)+IF(Q30&lt;Q$123,0,R$123)+IF(Q30&lt;Q$124,0,R$124)+IF(Q30&lt;Q$125,0,R$125)+IF(Q30&lt;Q$126,0,R$126)+IF(Q30&lt;Q$129,0,R$129)+IF(Q30&lt;Q$128,0,R$128)+IF(Q30&lt;Q$127,0,R$127)),0))</f>
        <v>12</v>
      </c>
      <c r="S30" s="15">
        <f>IFERROR(VLOOKUP($F30,WORKSHEET!$AA$7:$AJ$76,7,FALSE),"-")</f>
        <v>0.15857605177993528</v>
      </c>
      <c r="T30" s="59">
        <f t="shared" ref="T30:T61" si="28">IF($F30="","",IFERROR((IF(S30&lt;S$122,0,T$122)+IF(S30&lt;S$123,0,T$123)+IF(S30&lt;S$124,0,T$124)+IF(S30&lt;S$125,0,T$125)+IF(S30&lt;S$126,0,T$126)+IF(S30&lt;S$129,0,T$129)+IF(S30&lt;S$128,0,T$128)+IF(S30&lt;S$127,0,T$127)),0))</f>
        <v>6</v>
      </c>
      <c r="U30" s="62">
        <f>IFERROR(VLOOKUP($F30,WORKSHEET!$AA$7:$AJ$76,8,FALSE),"-")</f>
        <v>0.77358490566037741</v>
      </c>
      <c r="V30" s="63">
        <f t="shared" ref="V30:V61" si="29">IF($F30="","",IFERROR((IF(U30&lt;U$122,0,V$122)+IF(U30&lt;U$123,0,V$123)+IF(U30&lt;U$124,0,V$124)+IF(U30&lt;U$125,0,V$125)+IF(U30&lt;U$126,0,V$126)+IF(U30&lt;U$129,0,V$129)+IF(U30&lt;U$128,0,V$128)+IF(U30&lt;U$127,0,V$127)),0))</f>
        <v>12</v>
      </c>
      <c r="W30" s="64" t="str">
        <f>IF(WORKSHEET!W17="","-",WORKSHEET!W17)</f>
        <v>-</v>
      </c>
      <c r="X30" s="59">
        <f t="shared" ref="X30:X61" si="30">IFERROR((IF(W30&lt;W$122,0,X$122)+IF(W30&lt;W$123,0,X$123)+IF(W30&lt;W$124,0,X$124)+IF(W30&lt;W$125,0,X$125)+IF(W30&lt;W$126,0,X$126)+IF(W30&lt;W$129,0,X$129)+IF(W30&lt;W$128,0,X$128)+IF(W30&lt;W$127,0,X$127)),0)</f>
        <v>0</v>
      </c>
      <c r="Y30" s="15">
        <f>IFERROR(VLOOKUP($F30,WORKSHEET!$AA$7:$AJ$76,9,FALSE),"-")</f>
        <v>0.93831168831168832</v>
      </c>
      <c r="Z30" s="59">
        <f t="shared" ref="Z30:Z61" si="31">IF($F30="","",IFERROR((IF(Y30&lt;Y$122,0,Z$122)+IF(Y30&lt;Y$123,0,Z$123)+IF(Y30&lt;Y$124,0,Z$124)+IF(Y30&lt;Y$125,0,Z$125)+IF(Y30&lt;Y$126,0,Z$126)+IF(Y30&lt;Y$129,0,Z$129)+IF(Y30&lt;Y$128,0,Z$128)+IF(Y30&lt;Y$127,0,Z$127)),0))</f>
        <v>11</v>
      </c>
      <c r="AA30" s="62">
        <f>IFERROR(VLOOKUP($F30,WORKSHEET!$AA$7:$AJ$76,10,FALSE),"-")</f>
        <v>0.60847880299251866</v>
      </c>
      <c r="AB30" s="63">
        <f t="shared" ref="AB30:AB61" si="32">IF($F30="","",IFERROR((IF(AA30&lt;AA$122,0,AB$122)+IF(AA30&lt;AA$123,0,AB$123)+IF(AA30&lt;AA$124,0,AB$124)+IF(AA30&lt;AA$125,0,AB$125)+IF(AA30&lt;AA$126,0,AB$126)+IF(AA30&lt;AA$129,0,AB$129)+IF(AA30&lt;AA$128,0,AB$128)+IF(AA30&lt;AA$127,0,AB$127)),0))</f>
        <v>12</v>
      </c>
      <c r="AC30" s="66">
        <f t="shared" si="12"/>
        <v>75</v>
      </c>
      <c r="AD30" s="70">
        <f t="shared" si="20"/>
        <v>100</v>
      </c>
      <c r="AE30" s="68">
        <f t="shared" si="13"/>
        <v>0.75</v>
      </c>
      <c r="AF30" s="414" t="str">
        <f t="shared" si="14"/>
        <v>Arizona-16</v>
      </c>
      <c r="AG30" s="414" t="str">
        <f t="shared" si="15"/>
        <v>BMW North Scottsdale</v>
      </c>
      <c r="AH30" s="415" t="str">
        <f>IF($B30&gt;KEY!$B$2,"",IFERROR(VLOOKUP($B30,KEY!$A$5:$D$74,4,FALSE),""))</f>
        <v>Arizona</v>
      </c>
      <c r="AI30" s="415">
        <f t="shared" ref="AI30:AI61" si="33">IF(F30="","",COUNTIFS($AH$20:$AH$90,$AH30,$D$20:$D$90,"&lt;"&amp;$D30)+1)</f>
        <v>16</v>
      </c>
      <c r="AJ30" s="414"/>
      <c r="AK30" s="324"/>
      <c r="AL30" s="322"/>
      <c r="AO30" s="85">
        <f t="shared" ref="AO30:AO61" si="34">SUMIFS($G$130:$AB$130,$F30:$AA30,"N/A")</f>
        <v>0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</row>
    <row r="31" spans="1:80" s="1" customFormat="1" x14ac:dyDescent="0.35">
      <c r="A31" s="86"/>
      <c r="B31" s="57">
        <v>12</v>
      </c>
      <c r="C31" s="57">
        <f t="shared" si="21"/>
        <v>42</v>
      </c>
      <c r="D31" s="57">
        <f t="shared" si="18"/>
        <v>42.12</v>
      </c>
      <c r="E31" s="57">
        <f t="shared" si="22"/>
        <v>42</v>
      </c>
      <c r="F31" s="3" t="str">
        <f>IF($B31&gt;KEY!$B$2,"",IFERROR(VLOOKUP($B31,KEY!$A$5:$B$74,2),""))</f>
        <v>BMW of Austin</v>
      </c>
      <c r="G31" s="71">
        <f>IFERROR(VLOOKUP($F31,WORKSHEET!$AA$7:$AJ$76,2,FALSE),"-")</f>
        <v>0.92835820895522392</v>
      </c>
      <c r="H31" s="63">
        <f t="shared" si="23"/>
        <v>9</v>
      </c>
      <c r="I31" s="38">
        <f>IFERROR(VLOOKUP($F31,WORKSHEET!$AA$7:$AJ$76,3,FALSE),"-")</f>
        <v>0.86956521739130432</v>
      </c>
      <c r="J31" s="6">
        <f t="shared" si="19"/>
        <v>0.28985507246376813</v>
      </c>
      <c r="K31" s="59">
        <f t="shared" si="24"/>
        <v>9</v>
      </c>
      <c r="L31" s="60"/>
      <c r="M31" s="61">
        <f>IFERROR(VLOOKUP($F31,WORKSHEET!$AA$7:$AJ$76,4,FALSE),"-")</f>
        <v>1.375</v>
      </c>
      <c r="N31" s="63">
        <f t="shared" si="25"/>
        <v>6</v>
      </c>
      <c r="O31" s="38">
        <f>IFERROR(VLOOKUP($F31,WORKSHEET!$AA$7:$AJ$76,5,FALSE),"-")</f>
        <v>0.875</v>
      </c>
      <c r="P31" s="59">
        <f t="shared" si="26"/>
        <v>3</v>
      </c>
      <c r="Q31" s="11">
        <f>IFERROR(VLOOKUP($F31,WORKSHEET!$AA$7:$AJ$76,6,FALSE),"-")</f>
        <v>0.17721518987341772</v>
      </c>
      <c r="R31" s="63">
        <f t="shared" si="27"/>
        <v>12</v>
      </c>
      <c r="S31" s="15">
        <f>IFERROR(VLOOKUP($F31,WORKSHEET!$AA$7:$AJ$76,7,FALSE),"-")</f>
        <v>0.14963503649635038</v>
      </c>
      <c r="T31" s="59">
        <f t="shared" si="28"/>
        <v>6</v>
      </c>
      <c r="U31" s="62">
        <f>IFERROR(VLOOKUP($F31,WORKSHEET!$AA$7:$AJ$76,8,FALSE),"-")</f>
        <v>0.8</v>
      </c>
      <c r="V31" s="63">
        <f t="shared" si="29"/>
        <v>12</v>
      </c>
      <c r="W31" s="64" t="str">
        <f>IF(WORKSHEET!W18="","-",WORKSHEET!W18)</f>
        <v>-</v>
      </c>
      <c r="X31" s="59">
        <f t="shared" si="30"/>
        <v>0</v>
      </c>
      <c r="Y31" s="15">
        <f>IFERROR(VLOOKUP($F31,WORKSHEET!$AA$7:$AJ$76,9,FALSE),"-")</f>
        <v>0.83901515151515149</v>
      </c>
      <c r="Z31" s="59">
        <f t="shared" si="31"/>
        <v>8</v>
      </c>
      <c r="AA31" s="62">
        <f>IFERROR(VLOOKUP($F31,WORKSHEET!$AA$7:$AJ$76,10,FALSE),"-")</f>
        <v>0.50961538461538458</v>
      </c>
      <c r="AB31" s="63">
        <f t="shared" si="32"/>
        <v>12</v>
      </c>
      <c r="AC31" s="66">
        <f t="shared" si="12"/>
        <v>77</v>
      </c>
      <c r="AD31" s="70">
        <f t="shared" si="20"/>
        <v>100</v>
      </c>
      <c r="AE31" s="68">
        <f t="shared" si="13"/>
        <v>0.77</v>
      </c>
      <c r="AF31" s="414" t="str">
        <f t="shared" si="14"/>
        <v>Texas-7</v>
      </c>
      <c r="AG31" s="414" t="str">
        <f t="shared" si="15"/>
        <v>BMW of Austin</v>
      </c>
      <c r="AH31" s="415" t="str">
        <f>IF($B31&gt;KEY!$B$2,"",IFERROR(VLOOKUP($B31,KEY!$A$5:$D$74,4,FALSE),""))</f>
        <v>Texas</v>
      </c>
      <c r="AI31" s="415">
        <f t="shared" si="33"/>
        <v>7</v>
      </c>
      <c r="AJ31" s="414"/>
      <c r="AK31" s="324"/>
      <c r="AL31" s="322"/>
      <c r="AO31" s="85">
        <f t="shared" si="34"/>
        <v>0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0" s="1" customFormat="1" x14ac:dyDescent="0.35">
      <c r="A32" s="86"/>
      <c r="B32" s="57">
        <v>13</v>
      </c>
      <c r="C32" s="57">
        <f t="shared" si="21"/>
        <v>50</v>
      </c>
      <c r="D32" s="57">
        <f t="shared" si="18"/>
        <v>50.13</v>
      </c>
      <c r="E32" s="57">
        <f t="shared" si="22"/>
        <v>50</v>
      </c>
      <c r="F32" s="3" t="str">
        <f>IF($B32&gt;KEY!$B$2,"",IFERROR(VLOOKUP($B32,KEY!$A$5:$B$74,2),""))</f>
        <v>BMW of Bloomfield Hills</v>
      </c>
      <c r="G32" s="71">
        <f>IFERROR(VLOOKUP($F32,WORKSHEET!$AA$7:$AJ$76,2,FALSE),"-")</f>
        <v>1.0192307692307692</v>
      </c>
      <c r="H32" s="63">
        <f t="shared" si="23"/>
        <v>12</v>
      </c>
      <c r="I32" s="38">
        <f>IFERROR(VLOOKUP($F32,WORKSHEET!$AA$7:$AJ$76,3,FALSE),"-")</f>
        <v>5.0909090909090908</v>
      </c>
      <c r="J32" s="6">
        <f t="shared" si="19"/>
        <v>1.696969696969697</v>
      </c>
      <c r="K32" s="59">
        <f t="shared" si="24"/>
        <v>12</v>
      </c>
      <c r="L32" s="60"/>
      <c r="M32" s="61">
        <f>IFERROR(VLOOKUP($F32,WORKSHEET!$AA$7:$AJ$76,4,FALSE),"-")</f>
        <v>0.66666666666666663</v>
      </c>
      <c r="N32" s="63">
        <f t="shared" si="25"/>
        <v>3</v>
      </c>
      <c r="O32" s="38">
        <f>IFERROR(VLOOKUP($F32,WORKSHEET!$AA$7:$AJ$76,5,FALSE),"-")</f>
        <v>0.375</v>
      </c>
      <c r="P32" s="59">
        <f t="shared" si="26"/>
        <v>0</v>
      </c>
      <c r="Q32" s="11">
        <f>IFERROR(VLOOKUP($F32,WORKSHEET!$AA$7:$AJ$76,6,FALSE),"-")</f>
        <v>0.16245487364620939</v>
      </c>
      <c r="R32" s="63">
        <f t="shared" si="27"/>
        <v>12</v>
      </c>
      <c r="S32" s="15">
        <f>IFERROR(VLOOKUP($F32,WORKSHEET!$AA$7:$AJ$76,7,FALSE),"-")</f>
        <v>0.15675675675675677</v>
      </c>
      <c r="T32" s="59">
        <f t="shared" si="28"/>
        <v>6</v>
      </c>
      <c r="U32" s="62">
        <f>IFERROR(VLOOKUP($F32,WORKSHEET!$AA$7:$AJ$76,8,FALSE),"-")</f>
        <v>0</v>
      </c>
      <c r="V32" s="63">
        <f t="shared" si="29"/>
        <v>0</v>
      </c>
      <c r="W32" s="64" t="str">
        <f>IF(WORKSHEET!W19="","-",WORKSHEET!W19)</f>
        <v>-</v>
      </c>
      <c r="X32" s="59">
        <f t="shared" si="30"/>
        <v>0</v>
      </c>
      <c r="Y32" s="15">
        <f>IFERROR(VLOOKUP($F32,WORKSHEET!$AA$7:$AJ$76,9,FALSE),"-")</f>
        <v>0.90151515151515149</v>
      </c>
      <c r="Z32" s="59">
        <f t="shared" si="31"/>
        <v>11</v>
      </c>
      <c r="AA32" s="62">
        <f>IFERROR(VLOOKUP($F32,WORKSHEET!$AA$7:$AJ$76,10,FALSE),"-")</f>
        <v>0.5220125786163522</v>
      </c>
      <c r="AB32" s="63">
        <f t="shared" si="32"/>
        <v>12</v>
      </c>
      <c r="AC32" s="66">
        <f t="shared" si="12"/>
        <v>68</v>
      </c>
      <c r="AD32" s="70">
        <f t="shared" si="20"/>
        <v>100</v>
      </c>
      <c r="AE32" s="68">
        <f t="shared" si="13"/>
        <v>0.68</v>
      </c>
      <c r="AF32" s="414" t="str">
        <f t="shared" si="14"/>
        <v>Michigan &amp; Minnesota-3</v>
      </c>
      <c r="AG32" s="414" t="str">
        <f t="shared" si="15"/>
        <v>BMW of Bloomfield Hills</v>
      </c>
      <c r="AH32" s="415" t="str">
        <f>IF($B32&gt;KEY!$B$2,"",IFERROR(VLOOKUP($B32,KEY!$A$5:$D$74,4,FALSE),""))</f>
        <v>Michigan &amp; Minnesota</v>
      </c>
      <c r="AI32" s="415">
        <f t="shared" si="33"/>
        <v>3</v>
      </c>
      <c r="AJ32" s="414"/>
      <c r="AK32" s="324"/>
      <c r="AL32" s="322"/>
      <c r="AO32" s="85">
        <f t="shared" si="34"/>
        <v>0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</row>
    <row r="33" spans="1:80" s="1" customFormat="1" x14ac:dyDescent="0.35">
      <c r="A33" s="86"/>
      <c r="B33" s="57">
        <v>14</v>
      </c>
      <c r="C33" s="57">
        <f t="shared" si="21"/>
        <v>59</v>
      </c>
      <c r="D33" s="57">
        <f t="shared" si="18"/>
        <v>59.14</v>
      </c>
      <c r="E33" s="57">
        <f t="shared" si="22"/>
        <v>59</v>
      </c>
      <c r="F33" s="3" t="str">
        <f>IF($B33&gt;KEY!$B$2,"",IFERROR(VLOOKUP($B33,KEY!$A$5:$B$74,2),""))</f>
        <v>BMW/MINI of Escondido</v>
      </c>
      <c r="G33" s="71">
        <f>IFERROR(VLOOKUP($F33,WORKSHEET!$AA$7:$AJ$76,2,FALSE),"-")</f>
        <v>0.73267326732673266</v>
      </c>
      <c r="H33" s="63">
        <f t="shared" si="23"/>
        <v>0</v>
      </c>
      <c r="I33" s="38">
        <f>IFERROR(VLOOKUP($F33,WORKSHEET!$AA$7:$AJ$76,3,FALSE),"-")</f>
        <v>0.77777777777777779</v>
      </c>
      <c r="J33" s="6">
        <f t="shared" si="19"/>
        <v>0.25925925925925924</v>
      </c>
      <c r="K33" s="59">
        <f t="shared" si="24"/>
        <v>7</v>
      </c>
      <c r="L33" s="60"/>
      <c r="M33" s="61">
        <f>IFERROR(VLOOKUP($F33,WORKSHEET!$AA$7:$AJ$76,4,FALSE),"-")</f>
        <v>2.7777777777777777</v>
      </c>
      <c r="N33" s="63">
        <f t="shared" si="25"/>
        <v>12</v>
      </c>
      <c r="O33" s="38">
        <f>IFERROR(VLOOKUP($F33,WORKSHEET!$AA$7:$AJ$76,5,FALSE),"-")</f>
        <v>0.625</v>
      </c>
      <c r="P33" s="59">
        <f t="shared" si="26"/>
        <v>1</v>
      </c>
      <c r="Q33" s="11">
        <f>IFERROR(VLOOKUP($F33,WORKSHEET!$AA$7:$AJ$76,6,FALSE),"-")</f>
        <v>7.3275862068965511E-2</v>
      </c>
      <c r="R33" s="63">
        <f t="shared" si="27"/>
        <v>4</v>
      </c>
      <c r="S33" s="15">
        <f>IFERROR(VLOOKUP($F33,WORKSHEET!$AA$7:$AJ$76,7,FALSE),"-")</f>
        <v>0.12</v>
      </c>
      <c r="T33" s="59">
        <f t="shared" si="28"/>
        <v>4</v>
      </c>
      <c r="U33" s="62">
        <f>IFERROR(VLOOKUP($F33,WORKSHEET!$AA$7:$AJ$76,8,FALSE),"-")</f>
        <v>0.46666666666666667</v>
      </c>
      <c r="V33" s="63">
        <f t="shared" si="29"/>
        <v>4</v>
      </c>
      <c r="W33" s="64" t="str">
        <f>IF(WORKSHEET!W20="","-",WORKSHEET!W20)</f>
        <v>-</v>
      </c>
      <c r="X33" s="59">
        <f t="shared" si="30"/>
        <v>0</v>
      </c>
      <c r="Y33" s="15">
        <f>IFERROR(VLOOKUP($F33,WORKSHEET!$AA$7:$AJ$76,9,FALSE),"-")</f>
        <v>0.80808080808080807</v>
      </c>
      <c r="Z33" s="59">
        <f t="shared" si="31"/>
        <v>8</v>
      </c>
      <c r="AA33" s="62">
        <f>IFERROR(VLOOKUP($F33,WORKSHEET!$AA$7:$AJ$76,10,FALSE),"-")</f>
        <v>0.6</v>
      </c>
      <c r="AB33" s="63">
        <f t="shared" si="32"/>
        <v>12</v>
      </c>
      <c r="AC33" s="66">
        <f t="shared" si="12"/>
        <v>52</v>
      </c>
      <c r="AD33" s="70">
        <f t="shared" si="20"/>
        <v>100</v>
      </c>
      <c r="AE33" s="68">
        <f t="shared" si="13"/>
        <v>0.52</v>
      </c>
      <c r="AF33" s="414" t="str">
        <f t="shared" si="14"/>
        <v>Southern California-10</v>
      </c>
      <c r="AG33" s="414" t="str">
        <f t="shared" si="15"/>
        <v>BMW/MINI of Escondido</v>
      </c>
      <c r="AH33" s="415" t="str">
        <f>IF($B33&gt;KEY!$B$2,"",IFERROR(VLOOKUP($B33,KEY!$A$5:$D$74,4,FALSE),""))</f>
        <v>Southern California</v>
      </c>
      <c r="AI33" s="415">
        <f t="shared" si="33"/>
        <v>10</v>
      </c>
      <c r="AJ33" s="414"/>
      <c r="AK33" s="324"/>
      <c r="AL33" s="322"/>
      <c r="AO33" s="85">
        <f t="shared" si="34"/>
        <v>0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s="1" customFormat="1" x14ac:dyDescent="0.35">
      <c r="A34" s="86"/>
      <c r="B34" s="57">
        <v>15</v>
      </c>
      <c r="C34" s="57">
        <f t="shared" si="21"/>
        <v>14</v>
      </c>
      <c r="D34" s="57">
        <f t="shared" si="18"/>
        <v>14.15</v>
      </c>
      <c r="E34" s="57">
        <f t="shared" si="22"/>
        <v>14</v>
      </c>
      <c r="F34" s="3" t="str">
        <f>IF($B34&gt;KEY!$B$2,"",IFERROR(VLOOKUP($B34,KEY!$A$5:$B$74,2),""))</f>
        <v>BMW of Ontario</v>
      </c>
      <c r="G34" s="71">
        <f>IFERROR(VLOOKUP($F34,WORKSHEET!$AA$7:$AJ$76,2,FALSE),"-")</f>
        <v>1.0027777777777778</v>
      </c>
      <c r="H34" s="63">
        <f t="shared" si="23"/>
        <v>12</v>
      </c>
      <c r="I34" s="38">
        <f>IFERROR(VLOOKUP($F34,WORKSHEET!$AA$7:$AJ$76,3,FALSE),"-")</f>
        <v>1.6909090909090909</v>
      </c>
      <c r="J34" s="6">
        <f t="shared" si="19"/>
        <v>0.5636363636363636</v>
      </c>
      <c r="K34" s="59">
        <f t="shared" si="24"/>
        <v>12</v>
      </c>
      <c r="L34" s="60"/>
      <c r="M34" s="61">
        <f>IFERROR(VLOOKUP($F34,WORKSHEET!$AA$7:$AJ$76,4,FALSE),"-")</f>
        <v>2</v>
      </c>
      <c r="N34" s="63">
        <f t="shared" si="25"/>
        <v>12</v>
      </c>
      <c r="O34" s="38">
        <f>IFERROR(VLOOKUP($F34,WORKSHEET!$AA$7:$AJ$76,5,FALSE),"-")</f>
        <v>1</v>
      </c>
      <c r="P34" s="59">
        <f t="shared" si="26"/>
        <v>4</v>
      </c>
      <c r="Q34" s="11" t="str">
        <f>IFERROR(VLOOKUP($F34,WORKSHEET!$AA$7:$AJ$76,6,FALSE),"-")</f>
        <v>N/A</v>
      </c>
      <c r="R34" s="63">
        <f t="shared" si="27"/>
        <v>0</v>
      </c>
      <c r="S34" s="15" t="str">
        <f>IFERROR(VLOOKUP($F34,WORKSHEET!$AA$7:$AJ$76,7,FALSE),"-")</f>
        <v>N/A</v>
      </c>
      <c r="T34" s="59">
        <f t="shared" si="28"/>
        <v>0</v>
      </c>
      <c r="U34" s="62">
        <f>IFERROR(VLOOKUP($F34,WORKSHEET!$AA$7:$AJ$76,8,FALSE),"-")</f>
        <v>0.54838709677419351</v>
      </c>
      <c r="V34" s="63">
        <f t="shared" si="29"/>
        <v>6</v>
      </c>
      <c r="W34" s="64" t="str">
        <f>IF(WORKSHEET!W21="","-",WORKSHEET!W21)</f>
        <v>-</v>
      </c>
      <c r="X34" s="59">
        <f t="shared" si="30"/>
        <v>0</v>
      </c>
      <c r="Y34" s="15">
        <f>IFERROR(VLOOKUP($F34,WORKSHEET!$AA$7:$AJ$76,9,FALSE),"-")</f>
        <v>1.1318181818181818</v>
      </c>
      <c r="Z34" s="59">
        <f t="shared" si="31"/>
        <v>12</v>
      </c>
      <c r="AA34" s="62">
        <f>IFERROR(VLOOKUP($F34,WORKSHEET!$AA$7:$AJ$76,10,FALSE),"-")</f>
        <v>0.75609756097560976</v>
      </c>
      <c r="AB34" s="63">
        <f t="shared" si="32"/>
        <v>12</v>
      </c>
      <c r="AC34" s="66">
        <f t="shared" si="12"/>
        <v>70</v>
      </c>
      <c r="AD34" s="70">
        <f t="shared" si="20"/>
        <v>76</v>
      </c>
      <c r="AE34" s="68">
        <f t="shared" si="13"/>
        <v>0.92105263157894735</v>
      </c>
      <c r="AF34" s="414" t="str">
        <f t="shared" si="14"/>
        <v>Orange County-2</v>
      </c>
      <c r="AG34" s="414" t="str">
        <f t="shared" si="15"/>
        <v>BMW of Ontario</v>
      </c>
      <c r="AH34" s="415" t="str">
        <f>IF($B34&gt;KEY!$B$2,"",IFERROR(VLOOKUP($B34,KEY!$A$5:$D$74,4,FALSE),""))</f>
        <v>Orange County</v>
      </c>
      <c r="AI34" s="415">
        <f t="shared" si="33"/>
        <v>2</v>
      </c>
      <c r="AJ34" s="414"/>
      <c r="AK34" s="324"/>
      <c r="AL34" s="322"/>
      <c r="AO34" s="85">
        <f t="shared" si="34"/>
        <v>24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:80" s="1" customFormat="1" x14ac:dyDescent="0.35">
      <c r="A35" s="86"/>
      <c r="B35" s="57">
        <v>16</v>
      </c>
      <c r="C35" s="57">
        <f t="shared" si="21"/>
        <v>2</v>
      </c>
      <c r="D35" s="57">
        <f t="shared" si="18"/>
        <v>2.16</v>
      </c>
      <c r="E35" s="57">
        <f t="shared" si="22"/>
        <v>2</v>
      </c>
      <c r="F35" s="3" t="str">
        <f>IF($B35&gt;KEY!$B$2,"",IFERROR(VLOOKUP($B35,KEY!$A$5:$B$74,2),""))</f>
        <v>BMW of San Diego</v>
      </c>
      <c r="G35" s="71">
        <f>IFERROR(VLOOKUP($F35,WORKSHEET!$AA$7:$AJ$76,2,FALSE),"-")</f>
        <v>1.0472727272727274</v>
      </c>
      <c r="H35" s="63">
        <f t="shared" si="23"/>
        <v>12</v>
      </c>
      <c r="I35" s="38">
        <f>IFERROR(VLOOKUP($F35,WORKSHEET!$AA$7:$AJ$76,3,FALSE),"-")</f>
        <v>1.7999999999999998</v>
      </c>
      <c r="J35" s="6">
        <f t="shared" si="19"/>
        <v>0.6</v>
      </c>
      <c r="K35" s="59">
        <f t="shared" si="24"/>
        <v>12</v>
      </c>
      <c r="L35" s="60"/>
      <c r="M35" s="61">
        <f>IFERROR(VLOOKUP($F35,WORKSHEET!$AA$7:$AJ$76,4,FALSE),"-")</f>
        <v>2.7826086956521738</v>
      </c>
      <c r="N35" s="63">
        <f t="shared" si="25"/>
        <v>12</v>
      </c>
      <c r="O35" s="38">
        <f>IFERROR(VLOOKUP($F35,WORKSHEET!$AA$7:$AJ$76,5,FALSE),"-")</f>
        <v>0.88</v>
      </c>
      <c r="P35" s="59">
        <f t="shared" si="26"/>
        <v>3</v>
      </c>
      <c r="Q35" s="11">
        <f>IFERROR(VLOOKUP($F35,WORKSHEET!$AA$7:$AJ$76,6,FALSE),"-")</f>
        <v>0.18289085545722714</v>
      </c>
      <c r="R35" s="63">
        <f t="shared" si="27"/>
        <v>12</v>
      </c>
      <c r="S35" s="15">
        <f>IFERROR(VLOOKUP($F35,WORKSHEET!$AA$7:$AJ$76,7,FALSE),"-")</f>
        <v>0.25925925925925924</v>
      </c>
      <c r="T35" s="59">
        <f t="shared" si="28"/>
        <v>12</v>
      </c>
      <c r="U35" s="62">
        <f>IFERROR(VLOOKUP($F35,WORKSHEET!$AA$7:$AJ$76,8,FALSE),"-")</f>
        <v>0.82</v>
      </c>
      <c r="V35" s="63">
        <f t="shared" si="29"/>
        <v>12</v>
      </c>
      <c r="W35" s="64" t="str">
        <f>IF(WORKSHEET!W22="","-",WORKSHEET!W22)</f>
        <v>-</v>
      </c>
      <c r="X35" s="59">
        <f t="shared" si="30"/>
        <v>0</v>
      </c>
      <c r="Y35" s="15">
        <f>IFERROR(VLOOKUP($F35,WORKSHEET!$AA$7:$AJ$76,9,FALSE),"-")</f>
        <v>0.96047430830039526</v>
      </c>
      <c r="Z35" s="59">
        <f t="shared" si="31"/>
        <v>12</v>
      </c>
      <c r="AA35" s="62">
        <f>IFERROR(VLOOKUP($F35,WORKSHEET!$AA$7:$AJ$76,10,FALSE),"-")</f>
        <v>0.64827586206896548</v>
      </c>
      <c r="AB35" s="63">
        <f t="shared" si="32"/>
        <v>12</v>
      </c>
      <c r="AC35" s="66">
        <f t="shared" si="12"/>
        <v>99</v>
      </c>
      <c r="AD35" s="70">
        <f t="shared" si="20"/>
        <v>100</v>
      </c>
      <c r="AE35" s="68">
        <f t="shared" si="13"/>
        <v>0.99</v>
      </c>
      <c r="AF35" s="414" t="str">
        <f t="shared" si="14"/>
        <v>Southern California-1</v>
      </c>
      <c r="AG35" s="414" t="str">
        <f t="shared" si="15"/>
        <v>BMW of San Diego</v>
      </c>
      <c r="AH35" s="415" t="str">
        <f>IF($B35&gt;KEY!$B$2,"",IFERROR(VLOOKUP($B35,KEY!$A$5:$D$74,4,FALSE),""))</f>
        <v>Southern California</v>
      </c>
      <c r="AI35" s="415">
        <f t="shared" si="33"/>
        <v>1</v>
      </c>
      <c r="AJ35" s="414"/>
      <c r="AK35" s="324"/>
      <c r="AL35" s="322"/>
      <c r="AO35" s="85">
        <f t="shared" si="34"/>
        <v>0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s="1" customFormat="1" x14ac:dyDescent="0.35">
      <c r="A36" s="86"/>
      <c r="B36" s="57">
        <v>17</v>
      </c>
      <c r="C36" s="57">
        <f t="shared" si="21"/>
        <v>13</v>
      </c>
      <c r="D36" s="57">
        <f t="shared" si="18"/>
        <v>13.17</v>
      </c>
      <c r="E36" s="57">
        <f t="shared" si="22"/>
        <v>13</v>
      </c>
      <c r="F36" s="3" t="str">
        <f>IF($B36&gt;KEY!$B$2,"",IFERROR(VLOOKUP($B36,KEY!$A$5:$B$74,2),""))</f>
        <v>Capitol Acura</v>
      </c>
      <c r="G36" s="71">
        <f>IFERROR(VLOOKUP($F36,WORKSHEET!$AA$7:$AJ$76,2,FALSE),"-")</f>
        <v>1.0169491525423728</v>
      </c>
      <c r="H36" s="63">
        <f t="shared" si="23"/>
        <v>12</v>
      </c>
      <c r="I36" s="38">
        <f>IFERROR(VLOOKUP($F36,WORKSHEET!$AA$7:$AJ$76,3,FALSE),"-")</f>
        <v>2.2000000000000002</v>
      </c>
      <c r="J36" s="6">
        <f t="shared" si="19"/>
        <v>0.73333333333333339</v>
      </c>
      <c r="K36" s="59">
        <f t="shared" si="24"/>
        <v>12</v>
      </c>
      <c r="L36" s="60"/>
      <c r="M36" s="61">
        <f>IFERROR(VLOOKUP($F36,WORKSHEET!$AA$7:$AJ$76,4,FALSE),"-")</f>
        <v>1.5</v>
      </c>
      <c r="N36" s="63">
        <f t="shared" si="25"/>
        <v>9</v>
      </c>
      <c r="O36" s="38">
        <f>IFERROR(VLOOKUP($F36,WORKSHEET!$AA$7:$AJ$76,5,FALSE),"-")</f>
        <v>0.75</v>
      </c>
      <c r="P36" s="59">
        <f t="shared" si="26"/>
        <v>2</v>
      </c>
      <c r="Q36" s="11">
        <f>IFERROR(VLOOKUP($F36,WORKSHEET!$AA$7:$AJ$76,6,FALSE),"-")</f>
        <v>0.11267605633802817</v>
      </c>
      <c r="R36" s="63">
        <f t="shared" si="27"/>
        <v>10</v>
      </c>
      <c r="S36" s="15">
        <f>IFERROR(VLOOKUP($F36,WORKSHEET!$AA$7:$AJ$76,7,FALSE),"-")</f>
        <v>0.34285714285714286</v>
      </c>
      <c r="T36" s="59">
        <f t="shared" si="28"/>
        <v>12</v>
      </c>
      <c r="U36" s="62">
        <f>IFERROR(VLOOKUP($F36,WORKSHEET!$AA$7:$AJ$76,8,FALSE),"-")</f>
        <v>0.88888888888888884</v>
      </c>
      <c r="V36" s="63">
        <f t="shared" si="29"/>
        <v>12</v>
      </c>
      <c r="W36" s="64" t="str">
        <f>IF(WORKSHEET!W23="","-",WORKSHEET!W23)</f>
        <v>-</v>
      </c>
      <c r="X36" s="59">
        <f t="shared" si="30"/>
        <v>0</v>
      </c>
      <c r="Y36" s="15">
        <f>IFERROR(VLOOKUP($F36,WORKSHEET!$AA$7:$AJ$76,9,FALSE),"-")</f>
        <v>0.99242424242424243</v>
      </c>
      <c r="Z36" s="59">
        <f t="shared" si="31"/>
        <v>12</v>
      </c>
      <c r="AA36" s="62">
        <f>IFERROR(VLOOKUP($F36,WORKSHEET!$AA$7:$AJ$76,10,FALSE),"-")</f>
        <v>0.53333333333333333</v>
      </c>
      <c r="AB36" s="63">
        <f t="shared" si="32"/>
        <v>12</v>
      </c>
      <c r="AC36" s="66">
        <f t="shared" si="12"/>
        <v>93</v>
      </c>
      <c r="AD36" s="70">
        <f t="shared" si="20"/>
        <v>100</v>
      </c>
      <c r="AE36" s="68">
        <f t="shared" si="13"/>
        <v>0.93</v>
      </c>
      <c r="AF36" s="414" t="str">
        <f t="shared" si="14"/>
        <v>Northern California-3</v>
      </c>
      <c r="AG36" s="414" t="str">
        <f t="shared" si="15"/>
        <v>Capitol Acura</v>
      </c>
      <c r="AH36" s="415" t="str">
        <f>IF($B36&gt;KEY!$B$2,"",IFERROR(VLOOKUP($B36,KEY!$A$5:$D$74,4,FALSE),""))</f>
        <v>Northern California</v>
      </c>
      <c r="AI36" s="415">
        <f t="shared" si="33"/>
        <v>3</v>
      </c>
      <c r="AJ36" s="414"/>
      <c r="AK36" s="324"/>
      <c r="AL36" s="322"/>
      <c r="AO36" s="85">
        <f t="shared" si="34"/>
        <v>0</v>
      </c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:80" s="1" customFormat="1" x14ac:dyDescent="0.35">
      <c r="A37" s="86"/>
      <c r="B37" s="57">
        <v>18</v>
      </c>
      <c r="C37" s="57">
        <f t="shared" si="21"/>
        <v>55</v>
      </c>
      <c r="D37" s="57">
        <f t="shared" si="18"/>
        <v>55.18</v>
      </c>
      <c r="E37" s="57">
        <f t="shared" si="22"/>
        <v>55</v>
      </c>
      <c r="F37" s="3" t="str">
        <f>IF($B37&gt;KEY!$B$2,"",IFERROR(VLOOKUP($B37,KEY!$A$5:$B$74,2),""))</f>
        <v>Capitol Honda</v>
      </c>
      <c r="G37" s="71">
        <f>IFERROR(VLOOKUP($F37,WORKSHEET!$AA$7:$AJ$76,2,FALSE),"-")</f>
        <v>0.87984496124031009</v>
      </c>
      <c r="H37" s="63">
        <f t="shared" si="23"/>
        <v>7</v>
      </c>
      <c r="I37" s="38">
        <f>IFERROR(VLOOKUP($F37,WORKSHEET!$AA$7:$AJ$76,3,FALSE),"-")</f>
        <v>0.67164179104477617</v>
      </c>
      <c r="J37" s="6">
        <f t="shared" si="19"/>
        <v>0.22388059701492538</v>
      </c>
      <c r="K37" s="59">
        <f t="shared" si="24"/>
        <v>5</v>
      </c>
      <c r="L37" s="60"/>
      <c r="M37" s="61">
        <f>IFERROR(VLOOKUP($F37,WORKSHEET!$AA$7:$AJ$76,4,FALSE),"-")</f>
        <v>1.2173913043478262</v>
      </c>
      <c r="N37" s="63">
        <f t="shared" si="25"/>
        <v>6</v>
      </c>
      <c r="O37" s="38">
        <f>IFERROR(VLOOKUP($F37,WORKSHEET!$AA$7:$AJ$76,5,FALSE),"-")</f>
        <v>0.875</v>
      </c>
      <c r="P37" s="59">
        <f t="shared" si="26"/>
        <v>3</v>
      </c>
      <c r="Q37" s="11">
        <f>IFERROR(VLOOKUP($F37,WORKSHEET!$AA$7:$AJ$76,6,FALSE),"-")</f>
        <v>9.7510373443983403E-2</v>
      </c>
      <c r="R37" s="63">
        <f t="shared" si="27"/>
        <v>8</v>
      </c>
      <c r="S37" s="15">
        <f>IFERROR(VLOOKUP($F37,WORKSHEET!$AA$7:$AJ$76,7,FALSE),"-")</f>
        <v>0.18548387096774194</v>
      </c>
      <c r="T37" s="59">
        <f t="shared" si="28"/>
        <v>8</v>
      </c>
      <c r="U37" s="62">
        <f>IFERROR(VLOOKUP($F37,WORKSHEET!$AA$7:$AJ$76,8,FALSE),"-")</f>
        <v>0.90476190476190477</v>
      </c>
      <c r="V37" s="63">
        <f t="shared" si="29"/>
        <v>12</v>
      </c>
      <c r="W37" s="64" t="str">
        <f>IF(WORKSHEET!W24="","-",WORKSHEET!W24)</f>
        <v>-</v>
      </c>
      <c r="X37" s="59">
        <f t="shared" si="30"/>
        <v>0</v>
      </c>
      <c r="Y37" s="15">
        <f>IFERROR(VLOOKUP($F37,WORKSHEET!$AA$7:$AJ$76,9,FALSE),"-")</f>
        <v>0.72529644268774707</v>
      </c>
      <c r="Z37" s="59">
        <f t="shared" si="31"/>
        <v>4</v>
      </c>
      <c r="AA37" s="62">
        <f>IFERROR(VLOOKUP($F37,WORKSHEET!$AA$7:$AJ$76,10,FALSE),"-")</f>
        <v>0.37229437229437229</v>
      </c>
      <c r="AB37" s="63">
        <f t="shared" si="32"/>
        <v>6</v>
      </c>
      <c r="AC37" s="66">
        <f t="shared" si="12"/>
        <v>59</v>
      </c>
      <c r="AD37" s="70">
        <f t="shared" si="20"/>
        <v>100</v>
      </c>
      <c r="AE37" s="68">
        <f t="shared" si="13"/>
        <v>0.59</v>
      </c>
      <c r="AF37" s="414" t="str">
        <f t="shared" si="14"/>
        <v>Northern California-8</v>
      </c>
      <c r="AG37" s="414" t="str">
        <f t="shared" si="15"/>
        <v>Capitol Honda</v>
      </c>
      <c r="AH37" s="415" t="str">
        <f>IF($B37&gt;KEY!$B$2,"",IFERROR(VLOOKUP($B37,KEY!$A$5:$D$74,4,FALSE),""))</f>
        <v>Northern California</v>
      </c>
      <c r="AI37" s="415">
        <f t="shared" si="33"/>
        <v>8</v>
      </c>
      <c r="AJ37" s="414"/>
      <c r="AK37" s="324"/>
      <c r="AL37" s="322"/>
      <c r="AO37" s="85">
        <f t="shared" si="34"/>
        <v>0</v>
      </c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:80" s="1" customFormat="1" x14ac:dyDescent="0.35">
      <c r="A38" s="86"/>
      <c r="B38" s="57">
        <v>19</v>
      </c>
      <c r="C38" s="57">
        <f t="shared" si="21"/>
        <v>6</v>
      </c>
      <c r="D38" s="57">
        <f t="shared" si="18"/>
        <v>6.19</v>
      </c>
      <c r="E38" s="57">
        <f t="shared" si="22"/>
        <v>6</v>
      </c>
      <c r="F38" s="3" t="str">
        <f>IF($B38&gt;KEY!$B$2,"",IFERROR(VLOOKUP($B38,KEY!$A$5:$B$74,2),""))</f>
        <v>Crevier BMW</v>
      </c>
      <c r="G38" s="71">
        <f>IFERROR(VLOOKUP($F38,WORKSHEET!$AA$7:$AJ$76,2,FALSE),"-")</f>
        <v>0.86875000000000002</v>
      </c>
      <c r="H38" s="63">
        <f t="shared" si="23"/>
        <v>7</v>
      </c>
      <c r="I38" s="38">
        <f>IFERROR(VLOOKUP($F38,WORKSHEET!$AA$7:$AJ$76,3,FALSE),"-")</f>
        <v>1.6265060240963856</v>
      </c>
      <c r="J38" s="6">
        <f t="shared" si="19"/>
        <v>0.54216867469879515</v>
      </c>
      <c r="K38" s="59">
        <f t="shared" si="24"/>
        <v>12</v>
      </c>
      <c r="L38" s="60"/>
      <c r="M38" s="61">
        <f>IFERROR(VLOOKUP($F38,WORKSHEET!$AA$7:$AJ$76,4,FALSE),"-")</f>
        <v>3.6603773584905661</v>
      </c>
      <c r="N38" s="63">
        <f t="shared" si="25"/>
        <v>12</v>
      </c>
      <c r="O38" s="38">
        <f>IFERROR(VLOOKUP($F38,WORKSHEET!$AA$7:$AJ$76,5,FALSE),"-")</f>
        <v>1</v>
      </c>
      <c r="P38" s="59">
        <f t="shared" si="26"/>
        <v>4</v>
      </c>
      <c r="Q38" s="11">
        <f>IFERROR(VLOOKUP($F38,WORKSHEET!$AA$7:$AJ$76,6,FALSE),"-")</f>
        <v>0.20079260237780713</v>
      </c>
      <c r="R38" s="63">
        <f t="shared" si="27"/>
        <v>12</v>
      </c>
      <c r="S38" s="15">
        <f>IFERROR(VLOOKUP($F38,WORKSHEET!$AA$7:$AJ$76,7,FALSE),"-")</f>
        <v>0.32794457274826788</v>
      </c>
      <c r="T38" s="59">
        <f t="shared" si="28"/>
        <v>12</v>
      </c>
      <c r="U38" s="62">
        <f>IFERROR(VLOOKUP($F38,WORKSHEET!$AA$7:$AJ$76,8,FALSE),"-")</f>
        <v>0.72619047619047616</v>
      </c>
      <c r="V38" s="63">
        <f t="shared" si="29"/>
        <v>12</v>
      </c>
      <c r="W38" s="64" t="str">
        <f>IF(WORKSHEET!W25="","-",WORKSHEET!W25)</f>
        <v>-</v>
      </c>
      <c r="X38" s="59">
        <f t="shared" si="30"/>
        <v>0</v>
      </c>
      <c r="Y38" s="15">
        <f>IFERROR(VLOOKUP($F38,WORKSHEET!$AA$7:$AJ$76,9,FALSE),"-")</f>
        <v>1.4871355060034306</v>
      </c>
      <c r="Z38" s="59">
        <f t="shared" si="31"/>
        <v>12</v>
      </c>
      <c r="AA38" s="62">
        <f>IFERROR(VLOOKUP($F38,WORKSHEET!$AA$7:$AJ$76,10,FALSE),"-")</f>
        <v>0.60071301247771836</v>
      </c>
      <c r="AB38" s="63">
        <f t="shared" si="32"/>
        <v>12</v>
      </c>
      <c r="AC38" s="66">
        <f t="shared" si="12"/>
        <v>95</v>
      </c>
      <c r="AD38" s="70">
        <f t="shared" si="20"/>
        <v>100</v>
      </c>
      <c r="AE38" s="68">
        <f t="shared" si="13"/>
        <v>0.95</v>
      </c>
      <c r="AF38" s="414" t="str">
        <f t="shared" si="14"/>
        <v>Orange County-1</v>
      </c>
      <c r="AG38" s="414" t="str">
        <f t="shared" si="15"/>
        <v>Crevier BMW</v>
      </c>
      <c r="AH38" s="415" t="str">
        <f>IF($B38&gt;KEY!$B$2,"",IFERROR(VLOOKUP($B38,KEY!$A$5:$D$74,4,FALSE),""))</f>
        <v>Orange County</v>
      </c>
      <c r="AI38" s="415">
        <f t="shared" si="33"/>
        <v>1</v>
      </c>
      <c r="AJ38" s="414"/>
      <c r="AK38" s="324"/>
      <c r="AL38" s="322"/>
      <c r="AO38" s="85">
        <f t="shared" si="34"/>
        <v>0</v>
      </c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s="1" customFormat="1" x14ac:dyDescent="0.35">
      <c r="A39" s="86"/>
      <c r="B39" s="57">
        <v>20</v>
      </c>
      <c r="C39" s="57">
        <f t="shared" si="21"/>
        <v>21</v>
      </c>
      <c r="D39" s="57">
        <f t="shared" si="18"/>
        <v>21.2</v>
      </c>
      <c r="E39" s="57">
        <f t="shared" si="22"/>
        <v>22</v>
      </c>
      <c r="F39" s="3" t="str">
        <f>IF($B39&gt;KEY!$B$2,"",IFERROR(VLOOKUP($B39,KEY!$A$5:$B$74,2),""))</f>
        <v>Crevier MINI</v>
      </c>
      <c r="G39" s="71">
        <f>IFERROR(VLOOKUP($F39,WORKSHEET!$AA$7:$AJ$76,2,FALSE),"-")</f>
        <v>1.2619047619047619</v>
      </c>
      <c r="H39" s="63">
        <f t="shared" si="23"/>
        <v>12</v>
      </c>
      <c r="I39" s="38">
        <f>IFERROR(VLOOKUP($F39,WORKSHEET!$AA$7:$AJ$76,3,FALSE),"-")</f>
        <v>5.2941176470588234</v>
      </c>
      <c r="J39" s="6">
        <f t="shared" si="19"/>
        <v>1.7647058823529411</v>
      </c>
      <c r="K39" s="59">
        <f t="shared" si="24"/>
        <v>12</v>
      </c>
      <c r="L39" s="60"/>
      <c r="M39" s="61">
        <f>IFERROR(VLOOKUP($F39,WORKSHEET!$AA$7:$AJ$76,4,FALSE),"-")</f>
        <v>2</v>
      </c>
      <c r="N39" s="63">
        <f t="shared" si="25"/>
        <v>12</v>
      </c>
      <c r="O39" s="38">
        <f>IFERROR(VLOOKUP($F39,WORKSHEET!$AA$7:$AJ$76,5,FALSE),"-")</f>
        <v>1</v>
      </c>
      <c r="P39" s="59">
        <f t="shared" si="26"/>
        <v>4</v>
      </c>
      <c r="Q39" s="11">
        <f>IFERROR(VLOOKUP($F39,WORKSHEET!$AA$7:$AJ$76,6,FALSE),"-")</f>
        <v>0.33333333333333331</v>
      </c>
      <c r="R39" s="63">
        <f t="shared" si="27"/>
        <v>12</v>
      </c>
      <c r="S39" s="15">
        <f>IFERROR(VLOOKUP($F39,WORKSHEET!$AA$7:$AJ$76,7,FALSE),"-")</f>
        <v>0.25</v>
      </c>
      <c r="T39" s="59">
        <f t="shared" si="28"/>
        <v>12</v>
      </c>
      <c r="U39" s="62">
        <f>IFERROR(VLOOKUP($F39,WORKSHEET!$AA$7:$AJ$76,8,FALSE),"-")</f>
        <v>0.36363636363636365</v>
      </c>
      <c r="V39" s="63">
        <f t="shared" si="29"/>
        <v>0</v>
      </c>
      <c r="W39" s="64" t="str">
        <f>IF(WORKSHEET!W26="","-",WORKSHEET!W26)</f>
        <v>-</v>
      </c>
      <c r="X39" s="59">
        <f t="shared" si="30"/>
        <v>0</v>
      </c>
      <c r="Y39" s="15">
        <f>IFERROR(VLOOKUP($F39,WORKSHEET!$AA$7:$AJ$76,9,FALSE),"-")</f>
        <v>1.0649350649350648</v>
      </c>
      <c r="Z39" s="59">
        <f t="shared" si="31"/>
        <v>12</v>
      </c>
      <c r="AA39" s="62">
        <f>IFERROR(VLOOKUP($F39,WORKSHEET!$AA$7:$AJ$76,10,FALSE),"-")</f>
        <v>0.81481481481481477</v>
      </c>
      <c r="AB39" s="63">
        <f t="shared" si="32"/>
        <v>12</v>
      </c>
      <c r="AC39" s="66">
        <f t="shared" si="12"/>
        <v>88</v>
      </c>
      <c r="AD39" s="70">
        <f t="shared" si="20"/>
        <v>100</v>
      </c>
      <c r="AE39" s="68">
        <f t="shared" si="13"/>
        <v>0.88</v>
      </c>
      <c r="AF39" s="414" t="str">
        <f t="shared" si="14"/>
        <v>Orange County-3</v>
      </c>
      <c r="AG39" s="414" t="str">
        <f t="shared" si="15"/>
        <v>Crevier MINI</v>
      </c>
      <c r="AH39" s="415" t="str">
        <f>IF($B39&gt;KEY!$B$2,"",IFERROR(VLOOKUP($B39,KEY!$A$5:$D$74,4,FALSE),""))</f>
        <v>Orange County</v>
      </c>
      <c r="AI39" s="415">
        <f t="shared" si="33"/>
        <v>3</v>
      </c>
      <c r="AJ39" s="414"/>
      <c r="AK39" s="324"/>
      <c r="AL39" s="322"/>
      <c r="AO39" s="85">
        <f t="shared" si="34"/>
        <v>0</v>
      </c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s="1" customFormat="1" x14ac:dyDescent="0.35">
      <c r="A40" s="86"/>
      <c r="B40" s="57">
        <v>21</v>
      </c>
      <c r="C40" s="57">
        <f t="shared" si="21"/>
        <v>42</v>
      </c>
      <c r="D40" s="57">
        <f t="shared" si="18"/>
        <v>42.21</v>
      </c>
      <c r="E40" s="57">
        <f t="shared" si="22"/>
        <v>43</v>
      </c>
      <c r="F40" s="3" t="str">
        <f>IF($B40&gt;KEY!$B$2,"",IFERROR(VLOOKUP($B40,KEY!$A$5:$B$74,2),""))</f>
        <v>East Madison Toyota</v>
      </c>
      <c r="G40" s="71">
        <f>IFERROR(VLOOKUP($F40,WORKSHEET!$AA$7:$AJ$76,2,FALSE),"-")</f>
        <v>1.1111111111111112</v>
      </c>
      <c r="H40" s="63">
        <f t="shared" si="23"/>
        <v>12</v>
      </c>
      <c r="I40" s="38">
        <f>IFERROR(VLOOKUP($F40,WORKSHEET!$AA$7:$AJ$76,3,FALSE),"-")</f>
        <v>2.3571428571428572</v>
      </c>
      <c r="J40" s="6">
        <f t="shared" si="19"/>
        <v>0.7857142857142857</v>
      </c>
      <c r="K40" s="59">
        <f t="shared" si="24"/>
        <v>12</v>
      </c>
      <c r="L40" s="60"/>
      <c r="M40" s="61">
        <f>IFERROR(VLOOKUP($F40,WORKSHEET!$AA$7:$AJ$76,4,FALSE),"-")</f>
        <v>1.1333333333333333</v>
      </c>
      <c r="N40" s="63">
        <f t="shared" si="25"/>
        <v>6</v>
      </c>
      <c r="O40" s="38">
        <f>IFERROR(VLOOKUP($F40,WORKSHEET!$AA$7:$AJ$76,5,FALSE),"-")</f>
        <v>0.875</v>
      </c>
      <c r="P40" s="59">
        <f t="shared" si="26"/>
        <v>3</v>
      </c>
      <c r="Q40" s="11">
        <f>IFERROR(VLOOKUP($F40,WORKSHEET!$AA$7:$AJ$76,6,FALSE),"-")</f>
        <v>0.21612903225806451</v>
      </c>
      <c r="R40" s="63">
        <f t="shared" si="27"/>
        <v>12</v>
      </c>
      <c r="S40" s="15">
        <f>IFERROR(VLOOKUP($F40,WORKSHEET!$AA$7:$AJ$76,7,FALSE),"-")</f>
        <v>0.25388601036269431</v>
      </c>
      <c r="T40" s="59">
        <f t="shared" si="28"/>
        <v>12</v>
      </c>
      <c r="U40" s="62">
        <f>IFERROR(VLOOKUP($F40,WORKSHEET!$AA$7:$AJ$76,8,FALSE),"-")</f>
        <v>0.2857142857142857</v>
      </c>
      <c r="V40" s="63">
        <f t="shared" si="29"/>
        <v>0</v>
      </c>
      <c r="W40" s="64" t="str">
        <f>IF(WORKSHEET!W27="","-",WORKSHEET!W27)</f>
        <v>-</v>
      </c>
      <c r="X40" s="59">
        <f t="shared" si="30"/>
        <v>0</v>
      </c>
      <c r="Y40" s="15">
        <f>IFERROR(VLOOKUP($F40,WORKSHEET!$AA$7:$AJ$76,9,FALSE),"-")</f>
        <v>0.87878787878787878</v>
      </c>
      <c r="Z40" s="59">
        <f t="shared" si="31"/>
        <v>10</v>
      </c>
      <c r="AA40" s="62">
        <f>IFERROR(VLOOKUP($F40,WORKSHEET!$AA$7:$AJ$76,10,FALSE),"-")</f>
        <v>0.47599999999999998</v>
      </c>
      <c r="AB40" s="63">
        <f t="shared" si="32"/>
        <v>10</v>
      </c>
      <c r="AC40" s="66">
        <f t="shared" si="12"/>
        <v>77</v>
      </c>
      <c r="AD40" s="70">
        <f t="shared" si="20"/>
        <v>100</v>
      </c>
      <c r="AE40" s="68">
        <f t="shared" si="13"/>
        <v>0.77</v>
      </c>
      <c r="AF40" s="414" t="str">
        <f t="shared" si="14"/>
        <v>Wisconsin-1</v>
      </c>
      <c r="AG40" s="414" t="str">
        <f t="shared" si="15"/>
        <v>East Madison Toyota</v>
      </c>
      <c r="AH40" s="415" t="str">
        <f>IF($B40&gt;KEY!$B$2,"",IFERROR(VLOOKUP($B40,KEY!$A$5:$D$74,4,FALSE),""))</f>
        <v>Wisconsin</v>
      </c>
      <c r="AI40" s="415">
        <f t="shared" si="33"/>
        <v>1</v>
      </c>
      <c r="AJ40" s="414"/>
      <c r="AK40" s="324"/>
      <c r="AL40" s="322"/>
      <c r="AO40" s="85">
        <f t="shared" si="34"/>
        <v>0</v>
      </c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:80" s="1" customFormat="1" x14ac:dyDescent="0.35">
      <c r="A41" s="86"/>
      <c r="B41" s="57">
        <v>22</v>
      </c>
      <c r="C41" s="57">
        <f t="shared" si="21"/>
        <v>52</v>
      </c>
      <c r="D41" s="57">
        <f t="shared" si="18"/>
        <v>52.22</v>
      </c>
      <c r="E41" s="57">
        <f t="shared" si="22"/>
        <v>52</v>
      </c>
      <c r="F41" s="3" t="str">
        <f>IF($B41&gt;KEY!$B$2,"",IFERROR(VLOOKUP($B41,KEY!$A$5:$B$74,2),""))</f>
        <v>Genesis of Round Rock</v>
      </c>
      <c r="G41" s="71">
        <f>IFERROR(VLOOKUP($F41,WORKSHEET!$AA$7:$AJ$76,2,FALSE),"-")</f>
        <v>1</v>
      </c>
      <c r="H41" s="63">
        <f t="shared" si="23"/>
        <v>12</v>
      </c>
      <c r="I41" s="38">
        <f>IFERROR(VLOOKUP($F41,WORKSHEET!$AA$7:$AJ$76,3,FALSE),"-")</f>
        <v>0</v>
      </c>
      <c r="J41" s="6">
        <f t="shared" si="19"/>
        <v>0</v>
      </c>
      <c r="K41" s="59">
        <f t="shared" si="24"/>
        <v>0</v>
      </c>
      <c r="L41" s="60"/>
      <c r="M41" s="61">
        <f>IFERROR(VLOOKUP($F41,WORKSHEET!$AA$7:$AJ$76,4,FALSE),"-")</f>
        <v>0.6</v>
      </c>
      <c r="N41" s="63">
        <f t="shared" si="25"/>
        <v>3</v>
      </c>
      <c r="O41" s="38">
        <f>IFERROR(VLOOKUP($F41,WORKSHEET!$AA$7:$AJ$76,5,FALSE),"-")</f>
        <v>0.75</v>
      </c>
      <c r="P41" s="59">
        <f t="shared" si="26"/>
        <v>2</v>
      </c>
      <c r="Q41" s="11">
        <f>IFERROR(VLOOKUP($F41,WORKSHEET!$AA$7:$AJ$76,6,FALSE),"-")</f>
        <v>0.11483253588516747</v>
      </c>
      <c r="R41" s="63">
        <f t="shared" si="27"/>
        <v>10</v>
      </c>
      <c r="S41" s="15">
        <f>IFERROR(VLOOKUP($F41,WORKSHEET!$AA$7:$AJ$76,7,FALSE),"-")</f>
        <v>0.17582417582417584</v>
      </c>
      <c r="T41" s="59">
        <f t="shared" si="28"/>
        <v>8</v>
      </c>
      <c r="U41" s="62" t="str">
        <f>IFERROR(VLOOKUP($F41,WORKSHEET!$AA$7:$AJ$76,8,FALSE),"-")</f>
        <v>N/A</v>
      </c>
      <c r="V41" s="63">
        <f t="shared" si="29"/>
        <v>0</v>
      </c>
      <c r="W41" s="64" t="str">
        <f>IF(WORKSHEET!W28="","-",WORKSHEET!W28)</f>
        <v>-</v>
      </c>
      <c r="X41" s="59">
        <f t="shared" si="30"/>
        <v>0</v>
      </c>
      <c r="Y41" s="15">
        <f>IFERROR(VLOOKUP($F41,WORKSHEET!$AA$7:$AJ$76,9,FALSE),"-")</f>
        <v>0.9</v>
      </c>
      <c r="Z41" s="59">
        <f t="shared" si="31"/>
        <v>11</v>
      </c>
      <c r="AA41" s="62">
        <f>IFERROR(VLOOKUP($F41,WORKSHEET!$AA$7:$AJ$76,10,FALSE),"-")</f>
        <v>0.52380952380952384</v>
      </c>
      <c r="AB41" s="63">
        <f t="shared" si="32"/>
        <v>12</v>
      </c>
      <c r="AC41" s="66">
        <f t="shared" si="12"/>
        <v>58</v>
      </c>
      <c r="AD41" s="70">
        <f t="shared" si="20"/>
        <v>88</v>
      </c>
      <c r="AE41" s="68">
        <f t="shared" si="13"/>
        <v>0.65909090909090906</v>
      </c>
      <c r="AF41" s="414" t="str">
        <f t="shared" si="14"/>
        <v>Texas-9</v>
      </c>
      <c r="AG41" s="414" t="str">
        <f t="shared" si="15"/>
        <v>Genesis of Round Rock</v>
      </c>
      <c r="AH41" s="415" t="str">
        <f>IF($B41&gt;KEY!$B$2,"",IFERROR(VLOOKUP($B41,KEY!$A$5:$D$74,4,FALSE),""))</f>
        <v>Texas</v>
      </c>
      <c r="AI41" s="415">
        <f t="shared" si="33"/>
        <v>9</v>
      </c>
      <c r="AJ41" s="414"/>
      <c r="AK41" s="324"/>
      <c r="AL41" s="322"/>
      <c r="AO41" s="85">
        <f t="shared" si="34"/>
        <v>12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:80" s="1" customFormat="1" x14ac:dyDescent="0.35">
      <c r="A42" s="86"/>
      <c r="B42" s="57">
        <v>23</v>
      </c>
      <c r="C42" s="57">
        <f t="shared" si="21"/>
        <v>9</v>
      </c>
      <c r="D42" s="57">
        <f t="shared" si="18"/>
        <v>9.23</v>
      </c>
      <c r="E42" s="57">
        <f t="shared" si="22"/>
        <v>9</v>
      </c>
      <c r="F42" s="3" t="str">
        <f>IF($B42&gt;KEY!$B$2,"",IFERROR(VLOOKUP($B42,KEY!$A$5:$B$74,2),""))</f>
        <v>Honda Leander</v>
      </c>
      <c r="G42" s="71">
        <f>IFERROR(VLOOKUP($F42,WORKSHEET!$AA$7:$AJ$76,2,FALSE),"-")</f>
        <v>1.0909090909090908</v>
      </c>
      <c r="H42" s="63">
        <f t="shared" si="23"/>
        <v>12</v>
      </c>
      <c r="I42" s="38">
        <f>IFERROR(VLOOKUP($F42,WORKSHEET!$AA$7:$AJ$76,3,FALSE),"-")</f>
        <v>2.9285714285714284</v>
      </c>
      <c r="J42" s="6">
        <f t="shared" si="19"/>
        <v>0.97619047619047616</v>
      </c>
      <c r="K42" s="59">
        <f t="shared" si="24"/>
        <v>12</v>
      </c>
      <c r="L42" s="60"/>
      <c r="M42" s="61">
        <f>IFERROR(VLOOKUP($F42,WORKSHEET!$AA$7:$AJ$76,4,FALSE),"-")</f>
        <v>2.0714285714285716</v>
      </c>
      <c r="N42" s="63">
        <f t="shared" si="25"/>
        <v>12</v>
      </c>
      <c r="O42" s="38">
        <f>IFERROR(VLOOKUP($F42,WORKSHEET!$AA$7:$AJ$76,5,FALSE),"-")</f>
        <v>1</v>
      </c>
      <c r="P42" s="59">
        <f t="shared" si="26"/>
        <v>4</v>
      </c>
      <c r="Q42" s="11">
        <f>IFERROR(VLOOKUP($F42,WORKSHEET!$AA$7:$AJ$76,6,FALSE),"-")</f>
        <v>0.13364055299539171</v>
      </c>
      <c r="R42" s="63">
        <f t="shared" si="27"/>
        <v>12</v>
      </c>
      <c r="S42" s="15">
        <f>IFERROR(VLOOKUP($F42,WORKSHEET!$AA$7:$AJ$76,7,FALSE),"-")</f>
        <v>0.21383647798742139</v>
      </c>
      <c r="T42" s="59">
        <f t="shared" si="28"/>
        <v>10</v>
      </c>
      <c r="U42" s="62">
        <f>IFERROR(VLOOKUP($F42,WORKSHEET!$AA$7:$AJ$76,8,FALSE),"-")</f>
        <v>0.625</v>
      </c>
      <c r="V42" s="63">
        <f t="shared" si="29"/>
        <v>8</v>
      </c>
      <c r="W42" s="64" t="str">
        <f>IF(WORKSHEET!W29="","-",WORKSHEET!W29)</f>
        <v>-</v>
      </c>
      <c r="X42" s="59">
        <f t="shared" si="30"/>
        <v>0</v>
      </c>
      <c r="Y42" s="15">
        <f>IFERROR(VLOOKUP($F42,WORKSHEET!$AA$7:$AJ$76,9,FALSE),"-")</f>
        <v>1.2402597402597402</v>
      </c>
      <c r="Z42" s="59">
        <f t="shared" si="31"/>
        <v>12</v>
      </c>
      <c r="AA42" s="62">
        <f>IFERROR(VLOOKUP($F42,WORKSHEET!$AA$7:$AJ$76,10,FALSE),"-")</f>
        <v>0.51152073732718895</v>
      </c>
      <c r="AB42" s="63">
        <f t="shared" si="32"/>
        <v>12</v>
      </c>
      <c r="AC42" s="66">
        <f t="shared" si="12"/>
        <v>94</v>
      </c>
      <c r="AD42" s="70">
        <f t="shared" si="20"/>
        <v>100</v>
      </c>
      <c r="AE42" s="68">
        <f t="shared" si="13"/>
        <v>0.94</v>
      </c>
      <c r="AF42" s="414" t="str">
        <f t="shared" si="14"/>
        <v>Texas-1</v>
      </c>
      <c r="AG42" s="414" t="str">
        <f t="shared" si="15"/>
        <v>Honda Leander</v>
      </c>
      <c r="AH42" s="415" t="str">
        <f>IF($B42&gt;KEY!$B$2,"",IFERROR(VLOOKUP($B42,KEY!$A$5:$D$74,4,FALSE),""))</f>
        <v>Texas</v>
      </c>
      <c r="AI42" s="415">
        <f t="shared" si="33"/>
        <v>1</v>
      </c>
      <c r="AJ42" s="414"/>
      <c r="AK42" s="324"/>
      <c r="AL42" s="322"/>
      <c r="AO42" s="85">
        <f t="shared" si="34"/>
        <v>0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:80" s="1" customFormat="1" x14ac:dyDescent="0.35">
      <c r="A43" s="86"/>
      <c r="B43" s="57">
        <v>24</v>
      </c>
      <c r="C43" s="57">
        <f t="shared" si="21"/>
        <v>50</v>
      </c>
      <c r="D43" s="57">
        <f t="shared" si="18"/>
        <v>50.24</v>
      </c>
      <c r="E43" s="57">
        <f t="shared" si="22"/>
        <v>51</v>
      </c>
      <c r="F43" s="3" t="str">
        <f>IF($B43&gt;KEY!$B$2,"",IFERROR(VLOOKUP($B43,KEY!$A$5:$B$74,2),""))</f>
        <v>Honda North</v>
      </c>
      <c r="G43" s="71">
        <f>IFERROR(VLOOKUP($F43,WORKSHEET!$AA$7:$AJ$76,2,FALSE),"-")</f>
        <v>0.87027027027027026</v>
      </c>
      <c r="H43" s="63">
        <f t="shared" si="23"/>
        <v>7</v>
      </c>
      <c r="I43" s="38">
        <f>IFERROR(VLOOKUP($F43,WORKSHEET!$AA$7:$AJ$76,3,FALSE),"-")</f>
        <v>0</v>
      </c>
      <c r="J43" s="6">
        <f t="shared" si="19"/>
        <v>0</v>
      </c>
      <c r="K43" s="59">
        <f t="shared" si="24"/>
        <v>0</v>
      </c>
      <c r="L43" s="60"/>
      <c r="M43" s="61">
        <f>IFERROR(VLOOKUP($F43,WORKSHEET!$AA$7:$AJ$76,4,FALSE),"-")</f>
        <v>2.5714285714285716</v>
      </c>
      <c r="N43" s="63">
        <f t="shared" si="25"/>
        <v>12</v>
      </c>
      <c r="O43" s="38">
        <f>IFERROR(VLOOKUP($F43,WORKSHEET!$AA$7:$AJ$76,5,FALSE),"-")</f>
        <v>0.875</v>
      </c>
      <c r="P43" s="59">
        <f t="shared" si="26"/>
        <v>3</v>
      </c>
      <c r="Q43" s="11">
        <f>IFERROR(VLOOKUP($F43,WORKSHEET!$AA$7:$AJ$76,6,FALSE),"-")</f>
        <v>0.16949152542372881</v>
      </c>
      <c r="R43" s="63">
        <f t="shared" si="27"/>
        <v>12</v>
      </c>
      <c r="S43" s="15">
        <f>IFERROR(VLOOKUP($F43,WORKSHEET!$AA$7:$AJ$76,7,FALSE),"-")</f>
        <v>0.25675675675675674</v>
      </c>
      <c r="T43" s="59">
        <f t="shared" si="28"/>
        <v>12</v>
      </c>
      <c r="U43" s="62">
        <f>IFERROR(VLOOKUP($F43,WORKSHEET!$AA$7:$AJ$76,8,FALSE),"-")</f>
        <v>0.75</v>
      </c>
      <c r="V43" s="63">
        <f t="shared" si="29"/>
        <v>12</v>
      </c>
      <c r="W43" s="64" t="str">
        <f>IF(WORKSHEET!W30="","-",WORKSHEET!W30)</f>
        <v>-</v>
      </c>
      <c r="X43" s="59">
        <f t="shared" si="30"/>
        <v>0</v>
      </c>
      <c r="Y43" s="15">
        <f>IFERROR(VLOOKUP($F43,WORKSHEET!$AA$7:$AJ$76,9,FALSE),"-")</f>
        <v>0.71103896103896103</v>
      </c>
      <c r="Z43" s="59">
        <f t="shared" si="31"/>
        <v>4</v>
      </c>
      <c r="AA43" s="62">
        <f>IFERROR(VLOOKUP($F43,WORKSHEET!$AA$7:$AJ$76,10,FALSE),"-")</f>
        <v>0.38650306748466257</v>
      </c>
      <c r="AB43" s="63">
        <f t="shared" si="32"/>
        <v>6</v>
      </c>
      <c r="AC43" s="66">
        <f t="shared" si="12"/>
        <v>68</v>
      </c>
      <c r="AD43" s="70">
        <f t="shared" si="20"/>
        <v>100</v>
      </c>
      <c r="AE43" s="68">
        <f t="shared" si="13"/>
        <v>0.68</v>
      </c>
      <c r="AF43" s="414" t="str">
        <f t="shared" si="14"/>
        <v>Northern California-6</v>
      </c>
      <c r="AG43" s="414" t="str">
        <f t="shared" si="15"/>
        <v>Honda North</v>
      </c>
      <c r="AH43" s="415" t="str">
        <f>IF($B43&gt;KEY!$B$2,"",IFERROR(VLOOKUP($B43,KEY!$A$5:$D$74,4,FALSE),""))</f>
        <v>Northern California</v>
      </c>
      <c r="AI43" s="415">
        <f t="shared" si="33"/>
        <v>6</v>
      </c>
      <c r="AJ43" s="414"/>
      <c r="AK43" s="324"/>
      <c r="AL43" s="322"/>
      <c r="AO43" s="85">
        <f t="shared" si="34"/>
        <v>0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s="1" customFormat="1" x14ac:dyDescent="0.35">
      <c r="A44" s="86"/>
      <c r="B44" s="57">
        <v>25</v>
      </c>
      <c r="C44" s="57">
        <f t="shared" si="21"/>
        <v>53</v>
      </c>
      <c r="D44" s="57">
        <f t="shared" si="18"/>
        <v>53.25</v>
      </c>
      <c r="E44" s="57">
        <f t="shared" si="22"/>
        <v>54</v>
      </c>
      <c r="F44" s="3" t="str">
        <f>IF($B44&gt;KEY!$B$2,"",IFERROR(VLOOKUP($B44,KEY!$A$5:$B$74,2),""))</f>
        <v>Honda of Escondido</v>
      </c>
      <c r="G44" s="71">
        <f>IFERROR(VLOOKUP($F44,WORKSHEET!$AA$7:$AJ$76,2,FALSE),"-")</f>
        <v>0.875</v>
      </c>
      <c r="H44" s="63">
        <f t="shared" si="23"/>
        <v>7</v>
      </c>
      <c r="I44" s="38">
        <f>IFERROR(VLOOKUP($F44,WORKSHEET!$AA$7:$AJ$76,3,FALSE),"-")</f>
        <v>8.8235294117647051E-2</v>
      </c>
      <c r="J44" s="6">
        <f t="shared" si="19"/>
        <v>2.9411764705882349E-2</v>
      </c>
      <c r="K44" s="59">
        <f t="shared" si="24"/>
        <v>0</v>
      </c>
      <c r="L44" s="60"/>
      <c r="M44" s="61">
        <f>IFERROR(VLOOKUP($F44,WORKSHEET!$AA$7:$AJ$76,4,FALSE),"-")</f>
        <v>1.3333333333333333</v>
      </c>
      <c r="N44" s="63">
        <f t="shared" si="25"/>
        <v>6</v>
      </c>
      <c r="O44" s="38">
        <f>IFERROR(VLOOKUP($F44,WORKSHEET!$AA$7:$AJ$76,5,FALSE),"-")</f>
        <v>0.875</v>
      </c>
      <c r="P44" s="59">
        <f t="shared" si="26"/>
        <v>3</v>
      </c>
      <c r="Q44" s="11">
        <f>IFERROR(VLOOKUP($F44,WORKSHEET!$AA$7:$AJ$76,6,FALSE),"-")</f>
        <v>0.14663461538461539</v>
      </c>
      <c r="R44" s="63">
        <f t="shared" si="27"/>
        <v>12</v>
      </c>
      <c r="S44" s="15">
        <f>IFERROR(VLOOKUP($F44,WORKSHEET!$AA$7:$AJ$76,7,FALSE),"-")</f>
        <v>0.15723270440251572</v>
      </c>
      <c r="T44" s="59">
        <f t="shared" si="28"/>
        <v>6</v>
      </c>
      <c r="U44" s="62">
        <f>IFERROR(VLOOKUP($F44,WORKSHEET!$AA$7:$AJ$76,8,FALSE),"-")</f>
        <v>0.7857142857142857</v>
      </c>
      <c r="V44" s="63">
        <f t="shared" si="29"/>
        <v>12</v>
      </c>
      <c r="W44" s="64" t="str">
        <f>IF(WORKSHEET!W31="","-",WORKSHEET!W31)</f>
        <v>-</v>
      </c>
      <c r="X44" s="59">
        <f t="shared" si="30"/>
        <v>0</v>
      </c>
      <c r="Y44" s="15">
        <f>IFERROR(VLOOKUP($F44,WORKSHEET!$AA$7:$AJ$76,9,FALSE),"-")</f>
        <v>0.77651515151515149</v>
      </c>
      <c r="Z44" s="59">
        <f t="shared" si="31"/>
        <v>6</v>
      </c>
      <c r="AA44" s="62">
        <f>IFERROR(VLOOKUP($F44,WORKSHEET!$AA$7:$AJ$76,10,FALSE),"-")</f>
        <v>0.48170731707317072</v>
      </c>
      <c r="AB44" s="63">
        <f t="shared" si="32"/>
        <v>10</v>
      </c>
      <c r="AC44" s="66">
        <f t="shared" si="12"/>
        <v>62</v>
      </c>
      <c r="AD44" s="70">
        <f t="shared" si="20"/>
        <v>100</v>
      </c>
      <c r="AE44" s="68">
        <f t="shared" si="13"/>
        <v>0.62</v>
      </c>
      <c r="AF44" s="414" t="str">
        <f t="shared" si="14"/>
        <v>Southern California-9</v>
      </c>
      <c r="AG44" s="414" t="str">
        <f t="shared" si="15"/>
        <v>Honda of Escondido</v>
      </c>
      <c r="AH44" s="415" t="str">
        <f>IF($B44&gt;KEY!$B$2,"",IFERROR(VLOOKUP($B44,KEY!$A$5:$D$74,4,FALSE),""))</f>
        <v>Southern California</v>
      </c>
      <c r="AI44" s="415">
        <f t="shared" si="33"/>
        <v>9</v>
      </c>
      <c r="AJ44" s="414"/>
      <c r="AK44" s="324"/>
      <c r="AL44" s="322"/>
      <c r="AO44" s="85">
        <f t="shared" si="34"/>
        <v>0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:80" s="1" customFormat="1" x14ac:dyDescent="0.35">
      <c r="A45" s="86"/>
      <c r="B45" s="57">
        <v>26</v>
      </c>
      <c r="C45" s="57">
        <f t="shared" si="21"/>
        <v>60</v>
      </c>
      <c r="D45" s="57">
        <f t="shared" si="18"/>
        <v>60.26</v>
      </c>
      <c r="E45" s="57">
        <f t="shared" si="22"/>
        <v>60</v>
      </c>
      <c r="F45" s="3" t="str">
        <f>IF($B45&gt;KEY!$B$2,"",IFERROR(VLOOKUP($B45,KEY!$A$5:$B$74,2),""))</f>
        <v>Hyundai of Leander</v>
      </c>
      <c r="G45" s="71" t="str">
        <f>IFERROR(VLOOKUP($F45,WORKSHEET!$AA$7:$AJ$76,2,FALSE),"-")</f>
        <v>N/A</v>
      </c>
      <c r="H45" s="63">
        <f t="shared" si="23"/>
        <v>0</v>
      </c>
      <c r="I45" s="38">
        <f>IFERROR(VLOOKUP($F45,WORKSHEET!$AA$7:$AJ$76,3,FALSE),"-")</f>
        <v>1.125</v>
      </c>
      <c r="J45" s="6">
        <f t="shared" si="19"/>
        <v>0.375</v>
      </c>
      <c r="K45" s="59">
        <f t="shared" si="24"/>
        <v>12</v>
      </c>
      <c r="L45" s="60"/>
      <c r="M45" s="61">
        <f>IFERROR(VLOOKUP($F45,WORKSHEET!$AA$7:$AJ$76,4,FALSE),"-")</f>
        <v>0</v>
      </c>
      <c r="N45" s="63">
        <f t="shared" si="25"/>
        <v>0</v>
      </c>
      <c r="O45" s="38">
        <f>IFERROR(VLOOKUP($F45,WORKSHEET!$AA$7:$AJ$76,5,FALSE),"-")</f>
        <v>0.625</v>
      </c>
      <c r="P45" s="59">
        <f t="shared" si="26"/>
        <v>1</v>
      </c>
      <c r="Q45" s="11">
        <f>IFERROR(VLOOKUP($F45,WORKSHEET!$AA$7:$AJ$76,6,FALSE),"-")</f>
        <v>0.10526315789473684</v>
      </c>
      <c r="R45" s="63">
        <f t="shared" si="27"/>
        <v>10</v>
      </c>
      <c r="S45" s="15">
        <f>IFERROR(VLOOKUP($F45,WORKSHEET!$AA$7:$AJ$76,7,FALSE),"-")</f>
        <v>7.4999999999999997E-2</v>
      </c>
      <c r="T45" s="59">
        <f t="shared" si="28"/>
        <v>0</v>
      </c>
      <c r="U45" s="62" t="str">
        <f>IFERROR(VLOOKUP($F45,WORKSHEET!$AA$7:$AJ$76,8,FALSE),"-")</f>
        <v>N/A</v>
      </c>
      <c r="V45" s="63">
        <f t="shared" si="29"/>
        <v>0</v>
      </c>
      <c r="W45" s="64" t="str">
        <f>IF(WORKSHEET!W32="","-",WORKSHEET!W32)</f>
        <v>-</v>
      </c>
      <c r="X45" s="59">
        <f t="shared" si="30"/>
        <v>0</v>
      </c>
      <c r="Y45" s="15">
        <f>IFERROR(VLOOKUP($F45,WORKSHEET!$AA$7:$AJ$76,9,FALSE),"-")</f>
        <v>1.2077922077922079</v>
      </c>
      <c r="Z45" s="59">
        <f t="shared" si="31"/>
        <v>12</v>
      </c>
      <c r="AA45" s="62">
        <f>IFERROR(VLOOKUP($F45,WORKSHEET!$AA$7:$AJ$76,10,FALSE),"-")</f>
        <v>0.33774834437086093</v>
      </c>
      <c r="AB45" s="63">
        <f t="shared" si="32"/>
        <v>4</v>
      </c>
      <c r="AC45" s="66">
        <f t="shared" si="12"/>
        <v>39</v>
      </c>
      <c r="AD45" s="70">
        <f t="shared" si="20"/>
        <v>76</v>
      </c>
      <c r="AE45" s="68">
        <f t="shared" si="13"/>
        <v>0.51315789473684215</v>
      </c>
      <c r="AF45" s="414" t="str">
        <f t="shared" si="14"/>
        <v>Texas-10</v>
      </c>
      <c r="AG45" s="414" t="str">
        <f t="shared" si="15"/>
        <v>Hyundai of Leander</v>
      </c>
      <c r="AH45" s="415" t="str">
        <f>IF($B45&gt;KEY!$B$2,"",IFERROR(VLOOKUP($B45,KEY!$A$5:$D$74,4,FALSE),""))</f>
        <v>Texas</v>
      </c>
      <c r="AI45" s="415">
        <f t="shared" si="33"/>
        <v>10</v>
      </c>
      <c r="AJ45" s="414"/>
      <c r="AK45" s="324"/>
      <c r="AL45" s="322"/>
      <c r="AO45" s="85">
        <f t="shared" si="34"/>
        <v>24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</row>
    <row r="46" spans="1:80" s="1" customFormat="1" x14ac:dyDescent="0.35">
      <c r="A46" s="86"/>
      <c r="B46" s="57">
        <v>27</v>
      </c>
      <c r="C46" s="57">
        <f t="shared" si="21"/>
        <v>35</v>
      </c>
      <c r="D46" s="57">
        <f t="shared" si="18"/>
        <v>35.270000000000003</v>
      </c>
      <c r="E46" s="57">
        <f t="shared" si="22"/>
        <v>36</v>
      </c>
      <c r="F46" s="3" t="str">
        <f>IF($B46&gt;KEY!$B$2,"",IFERROR(VLOOKUP($B46,KEY!$A$5:$B$74,2),""))</f>
        <v>Kearny Mesa Toyota</v>
      </c>
      <c r="G46" s="71">
        <f>IFERROR(VLOOKUP($F46,WORKSHEET!$AA$7:$AJ$76,2,FALSE),"-")</f>
        <v>0.89669421487603307</v>
      </c>
      <c r="H46" s="63">
        <f t="shared" si="23"/>
        <v>9</v>
      </c>
      <c r="I46" s="38">
        <f>IFERROR(VLOOKUP($F46,WORKSHEET!$AA$7:$AJ$76,3,FALSE),"-")</f>
        <v>6.5217391304347824E-2</v>
      </c>
      <c r="J46" s="6">
        <f t="shared" si="19"/>
        <v>2.1739130434782608E-2</v>
      </c>
      <c r="K46" s="59">
        <f t="shared" si="24"/>
        <v>0</v>
      </c>
      <c r="L46" s="60"/>
      <c r="M46" s="61">
        <f>IFERROR(VLOOKUP($F46,WORKSHEET!$AA$7:$AJ$76,4,FALSE),"-")</f>
        <v>1.736842105263158</v>
      </c>
      <c r="N46" s="63">
        <f t="shared" si="25"/>
        <v>9</v>
      </c>
      <c r="O46" s="38">
        <f>IFERROR(VLOOKUP($F46,WORKSHEET!$AA$7:$AJ$76,5,FALSE),"-")</f>
        <v>1</v>
      </c>
      <c r="P46" s="59">
        <f t="shared" si="26"/>
        <v>4</v>
      </c>
      <c r="Q46" s="11">
        <f>IFERROR(VLOOKUP($F46,WORKSHEET!$AA$7:$AJ$76,6,FALSE),"-")</f>
        <v>0.13818181818181818</v>
      </c>
      <c r="R46" s="63">
        <f t="shared" si="27"/>
        <v>12</v>
      </c>
      <c r="S46" s="15">
        <f>IFERROR(VLOOKUP($F46,WORKSHEET!$AA$7:$AJ$76,7,FALSE),"-")</f>
        <v>0.24398625429553264</v>
      </c>
      <c r="T46" s="59">
        <f t="shared" si="28"/>
        <v>12</v>
      </c>
      <c r="U46" s="62">
        <f>IFERROR(VLOOKUP($F46,WORKSHEET!$AA$7:$AJ$76,8,FALSE),"-")</f>
        <v>0.7</v>
      </c>
      <c r="V46" s="63">
        <f t="shared" si="29"/>
        <v>12</v>
      </c>
      <c r="W46" s="64" t="str">
        <f>IF(WORKSHEET!W33="","-",WORKSHEET!W33)</f>
        <v>-</v>
      </c>
      <c r="X46" s="59">
        <f t="shared" si="30"/>
        <v>0</v>
      </c>
      <c r="Y46" s="15">
        <f>IFERROR(VLOOKUP($F46,WORKSHEET!$AA$7:$AJ$76,9,FALSE),"-")</f>
        <v>1.1937799043062201</v>
      </c>
      <c r="Z46" s="59">
        <f t="shared" si="31"/>
        <v>12</v>
      </c>
      <c r="AA46" s="62">
        <f>IFERROR(VLOOKUP($F46,WORKSHEET!$AA$7:$AJ$76,10,FALSE),"-")</f>
        <v>0.53917050691244239</v>
      </c>
      <c r="AB46" s="63">
        <f t="shared" si="32"/>
        <v>12</v>
      </c>
      <c r="AC46" s="66">
        <f t="shared" si="12"/>
        <v>82</v>
      </c>
      <c r="AD46" s="70">
        <f>IF($F46="","",100-AO46)</f>
        <v>100</v>
      </c>
      <c r="AE46" s="68">
        <f>IF($F46="","",IFERROR(AC46/AD46,0))</f>
        <v>0.82</v>
      </c>
      <c r="AF46" s="414" t="str">
        <f t="shared" si="14"/>
        <v>Southern California-7</v>
      </c>
      <c r="AG46" s="414" t="str">
        <f t="shared" si="15"/>
        <v>Kearny Mesa Toyota</v>
      </c>
      <c r="AH46" s="415" t="str">
        <f>IF($B46&gt;KEY!$B$2,"",IFERROR(VLOOKUP($B46,KEY!$A$5:$D$74,4,FALSE),""))</f>
        <v>Southern California</v>
      </c>
      <c r="AI46" s="415">
        <f t="shared" si="33"/>
        <v>7</v>
      </c>
      <c r="AJ46" s="414"/>
      <c r="AK46" s="324"/>
      <c r="AL46" s="322"/>
      <c r="AO46" s="85">
        <f t="shared" si="34"/>
        <v>0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s="1" customFormat="1" x14ac:dyDescent="0.35">
      <c r="A47" s="86"/>
      <c r="B47" s="57">
        <v>28</v>
      </c>
      <c r="C47" s="57">
        <f t="shared" si="21"/>
        <v>34</v>
      </c>
      <c r="D47" s="57">
        <f t="shared" si="18"/>
        <v>34.28</v>
      </c>
      <c r="E47" s="57">
        <f t="shared" si="22"/>
        <v>34</v>
      </c>
      <c r="F47" s="3" t="str">
        <f>IF($B47&gt;KEY!$B$2,"",IFERROR(VLOOKUP($B47,KEY!$A$5:$B$74,2),""))</f>
        <v>Lamborghini North Scottsdale</v>
      </c>
      <c r="G47" s="71">
        <f>IFERROR(VLOOKUP($F47,WORKSHEET!$AA$7:$AJ$76,2,FALSE),"-")</f>
        <v>1.4615384615384615</v>
      </c>
      <c r="H47" s="63">
        <f t="shared" si="23"/>
        <v>12</v>
      </c>
      <c r="I47" s="38">
        <f>IFERROR(VLOOKUP($F47,WORKSHEET!$AA$7:$AJ$76,3,FALSE),"-")</f>
        <v>6</v>
      </c>
      <c r="J47" s="6">
        <f t="shared" si="19"/>
        <v>2</v>
      </c>
      <c r="K47" s="59">
        <f t="shared" si="24"/>
        <v>12</v>
      </c>
      <c r="L47" s="60"/>
      <c r="M47" s="61">
        <f>IFERROR(VLOOKUP($F47,WORKSHEET!$AA$7:$AJ$76,4,FALSE),"-")</f>
        <v>4</v>
      </c>
      <c r="N47" s="63">
        <f t="shared" si="25"/>
        <v>12</v>
      </c>
      <c r="O47" s="38">
        <f>IFERROR(VLOOKUP($F47,WORKSHEET!$AA$7:$AJ$76,5,FALSE),"-")</f>
        <v>0.625</v>
      </c>
      <c r="P47" s="59">
        <f t="shared" si="26"/>
        <v>1</v>
      </c>
      <c r="Q47" s="11">
        <f>IFERROR(VLOOKUP($F47,WORKSHEET!$AA$7:$AJ$76,6,FALSE),"-")</f>
        <v>0.23076923076923078</v>
      </c>
      <c r="R47" s="63">
        <f t="shared" si="27"/>
        <v>12</v>
      </c>
      <c r="S47" s="15">
        <f>IFERROR(VLOOKUP($F47,WORKSHEET!$AA$7:$AJ$76,7,FALSE),"-")</f>
        <v>0.32142857142857145</v>
      </c>
      <c r="T47" s="59">
        <f t="shared" si="28"/>
        <v>12</v>
      </c>
      <c r="U47" s="62" t="str">
        <f>IFERROR(VLOOKUP($F47,WORKSHEET!$AA$7:$AJ$76,8,FALSE),"-")</f>
        <v>N/A</v>
      </c>
      <c r="V47" s="63">
        <f t="shared" si="29"/>
        <v>0</v>
      </c>
      <c r="W47" s="64" t="str">
        <f>IF(WORKSHEET!W34="","-",WORKSHEET!W34)</f>
        <v>-</v>
      </c>
      <c r="X47" s="59">
        <f t="shared" si="30"/>
        <v>0</v>
      </c>
      <c r="Y47" s="15">
        <f>IFERROR(VLOOKUP($F47,WORKSHEET!$AA$7:$AJ$76,9,FALSE),"-")</f>
        <v>2.75</v>
      </c>
      <c r="Z47" s="59">
        <f t="shared" si="31"/>
        <v>12</v>
      </c>
      <c r="AA47" s="62">
        <f>IFERROR(VLOOKUP($F47,WORKSHEET!$AA$7:$AJ$76,10,FALSE),"-")</f>
        <v>0.25</v>
      </c>
      <c r="AB47" s="63">
        <f t="shared" si="32"/>
        <v>0</v>
      </c>
      <c r="AC47" s="66">
        <f t="shared" si="12"/>
        <v>73</v>
      </c>
      <c r="AD47" s="70">
        <f t="shared" si="20"/>
        <v>88</v>
      </c>
      <c r="AE47" s="68">
        <f t="shared" ref="AE47:AE85" si="35">IF($F47="","",IFERROR(AC47/AD47,0))</f>
        <v>0.82954545454545459</v>
      </c>
      <c r="AF47" s="414" t="str">
        <f t="shared" si="14"/>
        <v>Arizona-12</v>
      </c>
      <c r="AG47" s="414" t="str">
        <f t="shared" si="15"/>
        <v>Lamborghini North Scottsdale</v>
      </c>
      <c r="AH47" s="415" t="str">
        <f>IF($B47&gt;KEY!$B$2,"",IFERROR(VLOOKUP($B47,KEY!$A$5:$D$74,4,FALSE),""))</f>
        <v>Arizona</v>
      </c>
      <c r="AI47" s="415">
        <f t="shared" si="33"/>
        <v>12</v>
      </c>
      <c r="AJ47" s="414"/>
      <c r="AK47" s="324"/>
      <c r="AL47" s="322"/>
      <c r="AO47" s="85">
        <f t="shared" si="34"/>
        <v>12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</row>
    <row r="48" spans="1:80" s="1" customFormat="1" x14ac:dyDescent="0.35">
      <c r="A48" s="86"/>
      <c r="B48" s="57">
        <v>29</v>
      </c>
      <c r="C48" s="57">
        <f t="shared" si="21"/>
        <v>38</v>
      </c>
      <c r="D48" s="57">
        <f t="shared" si="18"/>
        <v>38.29</v>
      </c>
      <c r="E48" s="57">
        <f t="shared" si="22"/>
        <v>38</v>
      </c>
      <c r="F48" s="3" t="str">
        <f>IF($B48&gt;KEY!$B$2,"",IFERROR(VLOOKUP($B48,KEY!$A$5:$B$74,2),""))</f>
        <v>Land Rover Chandler</v>
      </c>
      <c r="G48" s="71">
        <f>IFERROR(VLOOKUP($F48,WORKSHEET!$AA$7:$AJ$76,2,FALSE),"-")</f>
        <v>0.55555555555555558</v>
      </c>
      <c r="H48" s="63">
        <f t="shared" si="23"/>
        <v>0</v>
      </c>
      <c r="I48" s="38">
        <f>IFERROR(VLOOKUP($F48,WORKSHEET!$AA$7:$AJ$76,3,FALSE),"-")</f>
        <v>1.5</v>
      </c>
      <c r="J48" s="6">
        <f t="shared" si="19"/>
        <v>0.5</v>
      </c>
      <c r="K48" s="59">
        <f t="shared" si="24"/>
        <v>12</v>
      </c>
      <c r="L48" s="60"/>
      <c r="M48" s="61">
        <f>IFERROR(VLOOKUP($F48,WORKSHEET!$AA$7:$AJ$76,4,FALSE),"-")</f>
        <v>2.6</v>
      </c>
      <c r="N48" s="63">
        <f t="shared" si="25"/>
        <v>12</v>
      </c>
      <c r="O48" s="38">
        <f>IFERROR(VLOOKUP($F48,WORKSHEET!$AA$7:$AJ$76,5,FALSE),"-")</f>
        <v>1</v>
      </c>
      <c r="P48" s="59">
        <f t="shared" si="26"/>
        <v>4</v>
      </c>
      <c r="Q48" s="11">
        <f>IFERROR(VLOOKUP($F48,WORKSHEET!$AA$7:$AJ$76,6,FALSE),"-")</f>
        <v>0.14473684210526316</v>
      </c>
      <c r="R48" s="63">
        <f t="shared" si="27"/>
        <v>12</v>
      </c>
      <c r="S48" s="15">
        <f>IFERROR(VLOOKUP($F48,WORKSHEET!$AA$7:$AJ$76,7,FALSE),"-")</f>
        <v>0.19565217391304349</v>
      </c>
      <c r="T48" s="59">
        <f t="shared" si="28"/>
        <v>10</v>
      </c>
      <c r="U48" s="62">
        <f>IFERROR(VLOOKUP($F48,WORKSHEET!$AA$7:$AJ$76,8,FALSE),"-")</f>
        <v>1</v>
      </c>
      <c r="V48" s="63">
        <f t="shared" si="29"/>
        <v>12</v>
      </c>
      <c r="W48" s="64" t="str">
        <f>IF(WORKSHEET!W35="","-",WORKSHEET!W35)</f>
        <v>-</v>
      </c>
      <c r="X48" s="59">
        <f t="shared" si="30"/>
        <v>0</v>
      </c>
      <c r="Y48" s="15">
        <f>IFERROR(VLOOKUP($F48,WORKSHEET!$AA$7:$AJ$76,9,FALSE),"-")</f>
        <v>0.76363636363636367</v>
      </c>
      <c r="Z48" s="59">
        <f t="shared" si="31"/>
        <v>6</v>
      </c>
      <c r="AA48" s="62">
        <f>IFERROR(VLOOKUP($F48,WORKSHEET!$AA$7:$AJ$76,10,FALSE),"-")</f>
        <v>0.91666666666666663</v>
      </c>
      <c r="AB48" s="63">
        <f t="shared" si="32"/>
        <v>12</v>
      </c>
      <c r="AC48" s="66">
        <f t="shared" si="12"/>
        <v>80</v>
      </c>
      <c r="AD48" s="70">
        <f t="shared" si="20"/>
        <v>100</v>
      </c>
      <c r="AE48" s="68">
        <f t="shared" si="35"/>
        <v>0.8</v>
      </c>
      <c r="AF48" s="414" t="str">
        <f t="shared" si="14"/>
        <v>Arizona-14</v>
      </c>
      <c r="AG48" s="414" t="str">
        <f t="shared" si="15"/>
        <v>Land Rover Chandler</v>
      </c>
      <c r="AH48" s="415" t="str">
        <f>IF($B48&gt;KEY!$B$2,"",IFERROR(VLOOKUP($B48,KEY!$A$5:$D$74,4,FALSE),""))</f>
        <v>Arizona</v>
      </c>
      <c r="AI48" s="415">
        <f t="shared" si="33"/>
        <v>14</v>
      </c>
      <c r="AJ48" s="414"/>
      <c r="AK48" s="324"/>
      <c r="AL48" s="322"/>
      <c r="AO48" s="85">
        <f t="shared" si="34"/>
        <v>0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</row>
    <row r="49" spans="1:80" s="1" customFormat="1" x14ac:dyDescent="0.35">
      <c r="A49" s="86"/>
      <c r="B49" s="57">
        <v>30</v>
      </c>
      <c r="C49" s="57">
        <f t="shared" si="21"/>
        <v>38</v>
      </c>
      <c r="D49" s="57">
        <f t="shared" si="18"/>
        <v>38.299999999999997</v>
      </c>
      <c r="E49" s="57">
        <f t="shared" si="22"/>
        <v>39</v>
      </c>
      <c r="F49" s="3" t="str">
        <f>IF($B49&gt;KEY!$B$2,"",IFERROR(VLOOKUP($B49,KEY!$A$5:$B$74,2),""))</f>
        <v>Land Rover North Scottsdale</v>
      </c>
      <c r="G49" s="71">
        <f>IFERROR(VLOOKUP($F49,WORKSHEET!$AA$7:$AJ$76,2,FALSE),"-")</f>
        <v>0.69343065693430661</v>
      </c>
      <c r="H49" s="63">
        <f t="shared" si="23"/>
        <v>0</v>
      </c>
      <c r="I49" s="38">
        <f>IFERROR(VLOOKUP($F49,WORKSHEET!$AA$7:$AJ$76,3,FALSE),"-")</f>
        <v>1.588235294117647</v>
      </c>
      <c r="J49" s="6">
        <f t="shared" si="19"/>
        <v>0.52941176470588236</v>
      </c>
      <c r="K49" s="59">
        <f t="shared" si="24"/>
        <v>12</v>
      </c>
      <c r="L49" s="60"/>
      <c r="M49" s="61">
        <f>IFERROR(VLOOKUP($F49,WORKSHEET!$AA$7:$AJ$76,4,FALSE),"-")</f>
        <v>1.7777777777777777</v>
      </c>
      <c r="N49" s="63">
        <f t="shared" si="25"/>
        <v>9</v>
      </c>
      <c r="O49" s="38">
        <f>IFERROR(VLOOKUP($F49,WORKSHEET!$AA$7:$AJ$76,5,FALSE),"-")</f>
        <v>0.625</v>
      </c>
      <c r="P49" s="59">
        <f t="shared" si="26"/>
        <v>1</v>
      </c>
      <c r="Q49" s="11">
        <f>IFERROR(VLOOKUP($F49,WORKSHEET!$AA$7:$AJ$76,6,FALSE),"-")</f>
        <v>0.13513513513513514</v>
      </c>
      <c r="R49" s="63">
        <f t="shared" si="27"/>
        <v>12</v>
      </c>
      <c r="S49" s="15">
        <f>IFERROR(VLOOKUP($F49,WORKSHEET!$AA$7:$AJ$76,7,FALSE),"-")</f>
        <v>0.2087912087912088</v>
      </c>
      <c r="T49" s="59">
        <f t="shared" si="28"/>
        <v>10</v>
      </c>
      <c r="U49" s="62">
        <f>IFERROR(VLOOKUP($F49,WORKSHEET!$AA$7:$AJ$76,8,FALSE),"-")</f>
        <v>0.75</v>
      </c>
      <c r="V49" s="63">
        <f t="shared" si="29"/>
        <v>12</v>
      </c>
      <c r="W49" s="64" t="str">
        <f>IF(WORKSHEET!W36="","-",WORKSHEET!W36)</f>
        <v>-</v>
      </c>
      <c r="X49" s="59">
        <f t="shared" si="30"/>
        <v>0</v>
      </c>
      <c r="Y49" s="15">
        <f>IFERROR(VLOOKUP($F49,WORKSHEET!$AA$7:$AJ$76,9,FALSE),"-")</f>
        <v>1.0353535353535352</v>
      </c>
      <c r="Z49" s="59">
        <f t="shared" si="31"/>
        <v>12</v>
      </c>
      <c r="AA49" s="62">
        <f>IFERROR(VLOOKUP($F49,WORKSHEET!$AA$7:$AJ$76,10,FALSE),"-")</f>
        <v>0.76288659793814428</v>
      </c>
      <c r="AB49" s="63">
        <f t="shared" si="32"/>
        <v>12</v>
      </c>
      <c r="AC49" s="66">
        <f t="shared" si="12"/>
        <v>80</v>
      </c>
      <c r="AD49" s="70">
        <f t="shared" si="20"/>
        <v>100</v>
      </c>
      <c r="AE49" s="68">
        <f t="shared" si="35"/>
        <v>0.8</v>
      </c>
      <c r="AF49" s="414" t="str">
        <f t="shared" si="14"/>
        <v>Arizona-15</v>
      </c>
      <c r="AG49" s="414" t="str">
        <f t="shared" si="15"/>
        <v>Land Rover North Scottsdale</v>
      </c>
      <c r="AH49" s="415" t="str">
        <f>IF($B49&gt;KEY!$B$2,"",IFERROR(VLOOKUP($B49,KEY!$A$5:$D$74,4,FALSE),""))</f>
        <v>Arizona</v>
      </c>
      <c r="AI49" s="415">
        <f t="shared" si="33"/>
        <v>15</v>
      </c>
      <c r="AJ49" s="414"/>
      <c r="AK49" s="324"/>
      <c r="AL49" s="322"/>
      <c r="AO49" s="85">
        <f t="shared" si="34"/>
        <v>0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</row>
    <row r="50" spans="1:80" s="1" customFormat="1" x14ac:dyDescent="0.35">
      <c r="A50" s="86"/>
      <c r="B50" s="57">
        <v>31</v>
      </c>
      <c r="C50" s="57">
        <f t="shared" si="21"/>
        <v>35</v>
      </c>
      <c r="D50" s="57">
        <f t="shared" si="18"/>
        <v>35.31</v>
      </c>
      <c r="E50" s="57">
        <f t="shared" si="22"/>
        <v>37</v>
      </c>
      <c r="F50" s="3" t="str">
        <f>IF($B50&gt;KEY!$B$2,"",IFERROR(VLOOKUP($B50,KEY!$A$5:$B$74,2),""))</f>
        <v>Lexus of Austin</v>
      </c>
      <c r="G50" s="71">
        <f>IFERROR(VLOOKUP($F50,WORKSHEET!$AA$7:$AJ$76,2,FALSE),"-")</f>
        <v>0.95911949685534592</v>
      </c>
      <c r="H50" s="63">
        <f t="shared" si="23"/>
        <v>10</v>
      </c>
      <c r="I50" s="38">
        <f>IFERROR(VLOOKUP($F50,WORKSHEET!$AA$7:$AJ$76,3,FALSE),"-")</f>
        <v>0.6875</v>
      </c>
      <c r="J50" s="6">
        <f t="shared" si="19"/>
        <v>0.22916666666666666</v>
      </c>
      <c r="K50" s="59">
        <f t="shared" si="24"/>
        <v>5</v>
      </c>
      <c r="L50" s="60"/>
      <c r="M50" s="61">
        <f>IFERROR(VLOOKUP($F50,WORKSHEET!$AA$7:$AJ$76,4,FALSE),"-")</f>
        <v>2.3125</v>
      </c>
      <c r="N50" s="63">
        <f t="shared" si="25"/>
        <v>12</v>
      </c>
      <c r="O50" s="38">
        <f>IFERROR(VLOOKUP($F50,WORKSHEET!$AA$7:$AJ$76,5,FALSE),"-")</f>
        <v>0.875</v>
      </c>
      <c r="P50" s="59">
        <f t="shared" si="26"/>
        <v>3</v>
      </c>
      <c r="Q50" s="11">
        <f>IFERROR(VLOOKUP($F50,WORKSHEET!$AA$7:$AJ$76,6,FALSE),"-")</f>
        <v>0.14236706689536879</v>
      </c>
      <c r="R50" s="63">
        <f t="shared" si="27"/>
        <v>12</v>
      </c>
      <c r="S50" s="15">
        <f>IFERROR(VLOOKUP($F50,WORKSHEET!$AA$7:$AJ$76,7,FALSE),"-")</f>
        <v>0.12672176308539945</v>
      </c>
      <c r="T50" s="59">
        <f t="shared" si="28"/>
        <v>4</v>
      </c>
      <c r="U50" s="62">
        <f>IFERROR(VLOOKUP($F50,WORKSHEET!$AA$7:$AJ$76,8,FALSE),"-")</f>
        <v>0.7857142857142857</v>
      </c>
      <c r="V50" s="63">
        <f t="shared" si="29"/>
        <v>12</v>
      </c>
      <c r="W50" s="64" t="str">
        <f>IF(WORKSHEET!W37="","-",WORKSHEET!W37)</f>
        <v>-</v>
      </c>
      <c r="X50" s="59">
        <f t="shared" si="30"/>
        <v>0</v>
      </c>
      <c r="Y50" s="15">
        <f>IFERROR(VLOOKUP($F50,WORKSHEET!$AA$7:$AJ$76,9,FALSE),"-")</f>
        <v>1.4744318181818181</v>
      </c>
      <c r="Z50" s="59">
        <f t="shared" si="31"/>
        <v>12</v>
      </c>
      <c r="AA50" s="62">
        <f>IFERROR(VLOOKUP($F50,WORKSHEET!$AA$7:$AJ$76,10,FALSE),"-")</f>
        <v>0.6485623003194888</v>
      </c>
      <c r="AB50" s="63">
        <f t="shared" si="32"/>
        <v>12</v>
      </c>
      <c r="AC50" s="66">
        <f t="shared" si="12"/>
        <v>82</v>
      </c>
      <c r="AD50" s="70">
        <f t="shared" si="20"/>
        <v>100</v>
      </c>
      <c r="AE50" s="68">
        <f t="shared" si="35"/>
        <v>0.82</v>
      </c>
      <c r="AF50" s="414" t="str">
        <f t="shared" si="14"/>
        <v>Texas-5</v>
      </c>
      <c r="AG50" s="414" t="str">
        <f t="shared" si="15"/>
        <v>Lexus of Austin</v>
      </c>
      <c r="AH50" s="415" t="str">
        <f>IF($B50&gt;KEY!$B$2,"",IFERROR(VLOOKUP($B50,KEY!$A$5:$D$74,4,FALSE),""))</f>
        <v>Texas</v>
      </c>
      <c r="AI50" s="415">
        <f t="shared" si="33"/>
        <v>5</v>
      </c>
      <c r="AJ50" s="414"/>
      <c r="AK50" s="324"/>
      <c r="AL50" s="322"/>
      <c r="AO50" s="85">
        <f t="shared" si="34"/>
        <v>0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</row>
    <row r="51" spans="1:80" s="1" customFormat="1" x14ac:dyDescent="0.35">
      <c r="A51" s="86"/>
      <c r="B51" s="57">
        <v>32</v>
      </c>
      <c r="C51" s="57">
        <f t="shared" si="21"/>
        <v>24</v>
      </c>
      <c r="D51" s="57">
        <f t="shared" si="18"/>
        <v>24.32</v>
      </c>
      <c r="E51" s="57">
        <f t="shared" si="22"/>
        <v>24</v>
      </c>
      <c r="F51" s="3" t="str">
        <f>IF($B51&gt;KEY!$B$2,"",IFERROR(VLOOKUP($B51,KEY!$A$5:$B$74,2),""))</f>
        <v>Lexus of Chandler</v>
      </c>
      <c r="G51" s="71">
        <f>IFERROR(VLOOKUP($F51,WORKSHEET!$AA$7:$AJ$76,2,FALSE),"-")</f>
        <v>1.3364485981308412</v>
      </c>
      <c r="H51" s="63">
        <f t="shared" si="23"/>
        <v>12</v>
      </c>
      <c r="I51" s="38">
        <f>IFERROR(VLOOKUP($F51,WORKSHEET!$AA$7:$AJ$76,3,FALSE),"-")</f>
        <v>3.5454545454545454</v>
      </c>
      <c r="J51" s="6">
        <f t="shared" si="19"/>
        <v>1.1818181818181819</v>
      </c>
      <c r="K51" s="59">
        <f t="shared" si="24"/>
        <v>12</v>
      </c>
      <c r="L51" s="60"/>
      <c r="M51" s="61">
        <f>IFERROR(VLOOKUP($F51,WORKSHEET!$AA$7:$AJ$76,4,FALSE),"-")</f>
        <v>2</v>
      </c>
      <c r="N51" s="63">
        <f t="shared" si="25"/>
        <v>12</v>
      </c>
      <c r="O51" s="38">
        <f>IFERROR(VLOOKUP($F51,WORKSHEET!$AA$7:$AJ$76,5,FALSE),"-")</f>
        <v>0.5</v>
      </c>
      <c r="P51" s="59">
        <f t="shared" si="26"/>
        <v>0</v>
      </c>
      <c r="Q51" s="11">
        <f>IFERROR(VLOOKUP($F51,WORKSHEET!$AA$7:$AJ$76,6,FALSE),"-")</f>
        <v>0.13680781758957655</v>
      </c>
      <c r="R51" s="63">
        <f t="shared" si="27"/>
        <v>12</v>
      </c>
      <c r="S51" s="15">
        <f>IFERROR(VLOOKUP($F51,WORKSHEET!$AA$7:$AJ$76,7,FALSE),"-")</f>
        <v>0.21379310344827587</v>
      </c>
      <c r="T51" s="59">
        <f t="shared" si="28"/>
        <v>10</v>
      </c>
      <c r="U51" s="62">
        <f>IFERROR(VLOOKUP($F51,WORKSHEET!$AA$7:$AJ$76,8,FALSE),"-")</f>
        <v>0.5</v>
      </c>
      <c r="V51" s="63">
        <f t="shared" si="29"/>
        <v>4</v>
      </c>
      <c r="W51" s="64" t="str">
        <f>IF(WORKSHEET!W38="","-",WORKSHEET!W38)</f>
        <v>-</v>
      </c>
      <c r="X51" s="59">
        <f t="shared" si="30"/>
        <v>0</v>
      </c>
      <c r="Y51" s="15">
        <f>IFERROR(VLOOKUP($F51,WORKSHEET!$AA$7:$AJ$76,9,FALSE),"-")</f>
        <v>1.0656565656565657</v>
      </c>
      <c r="Z51" s="59">
        <f t="shared" si="31"/>
        <v>12</v>
      </c>
      <c r="AA51" s="62">
        <f>IFERROR(VLOOKUP($F51,WORKSHEET!$AA$7:$AJ$76,10,FALSE),"-")</f>
        <v>0.75</v>
      </c>
      <c r="AB51" s="63">
        <f t="shared" si="32"/>
        <v>12</v>
      </c>
      <c r="AC51" s="66">
        <f t="shared" si="12"/>
        <v>86</v>
      </c>
      <c r="AD51" s="70">
        <f t="shared" si="20"/>
        <v>100</v>
      </c>
      <c r="AE51" s="68">
        <f t="shared" si="35"/>
        <v>0.86</v>
      </c>
      <c r="AF51" s="414" t="str">
        <f t="shared" si="14"/>
        <v>Arizona-7</v>
      </c>
      <c r="AG51" s="414" t="str">
        <f t="shared" si="15"/>
        <v>Lexus of Chandler</v>
      </c>
      <c r="AH51" s="415" t="str">
        <f>IF($B51&gt;KEY!$B$2,"",IFERROR(VLOOKUP($B51,KEY!$A$5:$D$74,4,FALSE),""))</f>
        <v>Arizona</v>
      </c>
      <c r="AI51" s="415">
        <f t="shared" si="33"/>
        <v>7</v>
      </c>
      <c r="AJ51" s="414"/>
      <c r="AK51" s="324"/>
      <c r="AL51" s="322"/>
      <c r="AO51" s="85">
        <f t="shared" si="34"/>
        <v>0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</row>
    <row r="52" spans="1:80" s="1" customFormat="1" x14ac:dyDescent="0.35">
      <c r="A52" s="86"/>
      <c r="B52" s="57">
        <v>33</v>
      </c>
      <c r="C52" s="57">
        <f t="shared" si="21"/>
        <v>9</v>
      </c>
      <c r="D52" s="57">
        <f t="shared" si="18"/>
        <v>9.33</v>
      </c>
      <c r="E52" s="57">
        <f t="shared" si="22"/>
        <v>10</v>
      </c>
      <c r="F52" s="3" t="str">
        <f>IF($B52&gt;KEY!$B$2,"",IFERROR(VLOOKUP($B52,KEY!$A$5:$B$74,2),""))</f>
        <v>Lexus of Lakeway</v>
      </c>
      <c r="G52" s="71">
        <f>IFERROR(VLOOKUP($F52,WORKSHEET!$AA$7:$AJ$76,2,FALSE),"-")</f>
        <v>0.88557213930348255</v>
      </c>
      <c r="H52" s="63">
        <f t="shared" si="23"/>
        <v>7</v>
      </c>
      <c r="I52" s="38">
        <f>IFERROR(VLOOKUP($F52,WORKSHEET!$AA$7:$AJ$76,3,FALSE),"-")</f>
        <v>1.6</v>
      </c>
      <c r="J52" s="6">
        <f t="shared" si="19"/>
        <v>0.53333333333333333</v>
      </c>
      <c r="K52" s="59">
        <f t="shared" si="24"/>
        <v>12</v>
      </c>
      <c r="L52" s="60"/>
      <c r="M52" s="61">
        <f>IFERROR(VLOOKUP($F52,WORKSHEET!$AA$7:$AJ$76,4,FALSE),"-")</f>
        <v>2.8</v>
      </c>
      <c r="N52" s="63">
        <f t="shared" si="25"/>
        <v>12</v>
      </c>
      <c r="O52" s="38">
        <f>IFERROR(VLOOKUP($F52,WORKSHEET!$AA$7:$AJ$76,5,FALSE),"-")</f>
        <v>0.875</v>
      </c>
      <c r="P52" s="59">
        <f t="shared" si="26"/>
        <v>3</v>
      </c>
      <c r="Q52" s="11">
        <f>IFERROR(VLOOKUP($F52,WORKSHEET!$AA$7:$AJ$76,6,FALSE),"-")</f>
        <v>0.16599190283400811</v>
      </c>
      <c r="R52" s="63">
        <f t="shared" si="27"/>
        <v>12</v>
      </c>
      <c r="S52" s="15">
        <f>IFERROR(VLOOKUP($F52,WORKSHEET!$AA$7:$AJ$76,7,FALSE),"-")</f>
        <v>0.29813664596273293</v>
      </c>
      <c r="T52" s="59">
        <f t="shared" si="28"/>
        <v>12</v>
      </c>
      <c r="U52" s="62">
        <f>IFERROR(VLOOKUP($F52,WORKSHEET!$AA$7:$AJ$76,8,FALSE),"-")</f>
        <v>0.9</v>
      </c>
      <c r="V52" s="63">
        <f t="shared" si="29"/>
        <v>12</v>
      </c>
      <c r="W52" s="64" t="str">
        <f>IF(WORKSHEET!W39="","-",WORKSHEET!W39)</f>
        <v>-</v>
      </c>
      <c r="X52" s="59">
        <f t="shared" si="30"/>
        <v>0</v>
      </c>
      <c r="Y52" s="15">
        <f>IFERROR(VLOOKUP($F52,WORKSHEET!$AA$7:$AJ$76,9,FALSE),"-")</f>
        <v>1.3318181818181818</v>
      </c>
      <c r="Z52" s="59">
        <f t="shared" si="31"/>
        <v>12</v>
      </c>
      <c r="AA52" s="62">
        <f>IFERROR(VLOOKUP($F52,WORKSHEET!$AA$7:$AJ$76,10,FALSE),"-")</f>
        <v>0.62146892655367236</v>
      </c>
      <c r="AB52" s="63">
        <f t="shared" si="32"/>
        <v>12</v>
      </c>
      <c r="AC52" s="66">
        <f t="shared" ref="AC52:AC83" si="36">IF($F52="","",(H52+R52+T52+V52+N52+Z52+AB52+P52+K52))</f>
        <v>94</v>
      </c>
      <c r="AD52" s="70">
        <f t="shared" si="20"/>
        <v>100</v>
      </c>
      <c r="AE52" s="68">
        <f t="shared" si="35"/>
        <v>0.94</v>
      </c>
      <c r="AF52" s="414" t="str">
        <f t="shared" ref="AF52:AF83" si="37">IF(F52="","",AH52&amp;"-"&amp;AI52)</f>
        <v>Texas-2</v>
      </c>
      <c r="AG52" s="414" t="str">
        <f t="shared" ref="AG52:AG83" si="38">IF(F52="","",F52)</f>
        <v>Lexus of Lakeway</v>
      </c>
      <c r="AH52" s="415" t="str">
        <f>IF($B52&gt;KEY!$B$2,"",IFERROR(VLOOKUP($B52,KEY!$A$5:$D$74,4,FALSE),""))</f>
        <v>Texas</v>
      </c>
      <c r="AI52" s="415">
        <f t="shared" si="33"/>
        <v>2</v>
      </c>
      <c r="AJ52" s="414"/>
      <c r="AK52" s="324"/>
      <c r="AL52" s="322"/>
      <c r="AO52" s="85">
        <f t="shared" si="34"/>
        <v>0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</row>
    <row r="53" spans="1:80" s="1" customFormat="1" x14ac:dyDescent="0.35">
      <c r="A53" s="86"/>
      <c r="B53" s="57">
        <v>34</v>
      </c>
      <c r="C53" s="57">
        <f t="shared" si="21"/>
        <v>2</v>
      </c>
      <c r="D53" s="57">
        <f t="shared" si="18"/>
        <v>2.34</v>
      </c>
      <c r="E53" s="57">
        <f t="shared" si="22"/>
        <v>3</v>
      </c>
      <c r="F53" s="3" t="str">
        <f>IF($B53&gt;KEY!$B$2,"",IFERROR(VLOOKUP($B53,KEY!$A$5:$B$74,2),""))</f>
        <v>Lexus San Diego</v>
      </c>
      <c r="G53" s="71">
        <f>IFERROR(VLOOKUP($F53,WORKSHEET!$AA$7:$AJ$76,2,FALSE),"-")</f>
        <v>1.4364406779661016</v>
      </c>
      <c r="H53" s="63">
        <f t="shared" si="23"/>
        <v>12</v>
      </c>
      <c r="I53" s="38">
        <f>IFERROR(VLOOKUP($F53,WORKSHEET!$AA$7:$AJ$76,3,FALSE),"-")</f>
        <v>2.8536585365853662</v>
      </c>
      <c r="J53" s="6">
        <f t="shared" si="19"/>
        <v>0.95121951219512202</v>
      </c>
      <c r="K53" s="59">
        <f t="shared" si="24"/>
        <v>12</v>
      </c>
      <c r="L53" s="60"/>
      <c r="M53" s="61">
        <f>IFERROR(VLOOKUP($F53,WORKSHEET!$AA$7:$AJ$76,4,FALSE),"-")</f>
        <v>2.4117647058823528</v>
      </c>
      <c r="N53" s="63">
        <f t="shared" si="25"/>
        <v>12</v>
      </c>
      <c r="O53" s="38">
        <f>IFERROR(VLOOKUP($F53,WORKSHEET!$AA$7:$AJ$76,5,FALSE),"-")</f>
        <v>0.875</v>
      </c>
      <c r="P53" s="59">
        <f t="shared" si="26"/>
        <v>3</v>
      </c>
      <c r="Q53" s="11">
        <f>IFERROR(VLOOKUP($F53,WORKSHEET!$AA$7:$AJ$76,6,FALSE),"-")</f>
        <v>0.15807560137457044</v>
      </c>
      <c r="R53" s="63">
        <f t="shared" si="27"/>
        <v>12</v>
      </c>
      <c r="S53" s="15">
        <f>IFERROR(VLOOKUP($F53,WORKSHEET!$AA$7:$AJ$76,7,FALSE),"-")</f>
        <v>0.26530612244897961</v>
      </c>
      <c r="T53" s="59">
        <f t="shared" si="28"/>
        <v>12</v>
      </c>
      <c r="U53" s="62">
        <f>IFERROR(VLOOKUP($F53,WORKSHEET!$AA$7:$AJ$76,8,FALSE),"-")</f>
        <v>0.75</v>
      </c>
      <c r="V53" s="63">
        <f t="shared" si="29"/>
        <v>12</v>
      </c>
      <c r="W53" s="64" t="str">
        <f>IF(WORKSHEET!W40="","-",WORKSHEET!W40)</f>
        <v>-</v>
      </c>
      <c r="X53" s="59">
        <f t="shared" si="30"/>
        <v>0</v>
      </c>
      <c r="Y53" s="15">
        <f>IFERROR(VLOOKUP($F53,WORKSHEET!$AA$7:$AJ$76,9,FALSE),"-")</f>
        <v>1.5267379679144386</v>
      </c>
      <c r="Z53" s="59">
        <f t="shared" si="31"/>
        <v>12</v>
      </c>
      <c r="AA53" s="62">
        <f>IFERROR(VLOOKUP($F53,WORKSHEET!$AA$7:$AJ$76,10,FALSE),"-")</f>
        <v>0.55294117647058827</v>
      </c>
      <c r="AB53" s="63">
        <f t="shared" si="32"/>
        <v>12</v>
      </c>
      <c r="AC53" s="66">
        <f t="shared" si="36"/>
        <v>99</v>
      </c>
      <c r="AD53" s="70">
        <f t="shared" si="20"/>
        <v>100</v>
      </c>
      <c r="AE53" s="68">
        <f t="shared" si="35"/>
        <v>0.99</v>
      </c>
      <c r="AF53" s="414" t="str">
        <f t="shared" si="37"/>
        <v>Southern California-2</v>
      </c>
      <c r="AG53" s="414" t="str">
        <f t="shared" si="38"/>
        <v>Lexus San Diego</v>
      </c>
      <c r="AH53" s="415" t="str">
        <f>IF($B53&gt;KEY!$B$2,"",IFERROR(VLOOKUP($B53,KEY!$A$5:$D$74,4,FALSE),""))</f>
        <v>Southern California</v>
      </c>
      <c r="AI53" s="415">
        <f t="shared" si="33"/>
        <v>2</v>
      </c>
      <c r="AJ53" s="414"/>
      <c r="AK53" s="324"/>
      <c r="AL53" s="322"/>
      <c r="AO53" s="85">
        <f t="shared" si="34"/>
        <v>0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</row>
    <row r="54" spans="1:80" s="1" customFormat="1" x14ac:dyDescent="0.35">
      <c r="A54" s="86"/>
      <c r="B54" s="57">
        <v>35</v>
      </c>
      <c r="C54" s="57">
        <f t="shared" si="21"/>
        <v>28</v>
      </c>
      <c r="D54" s="57">
        <f t="shared" si="18"/>
        <v>28.35</v>
      </c>
      <c r="E54" s="57">
        <f t="shared" si="22"/>
        <v>30</v>
      </c>
      <c r="F54" s="3" t="str">
        <f>IF($B54&gt;KEY!$B$2,"",IFERROR(VLOOKUP($B54,KEY!$A$5:$B$74,2),""))</f>
        <v>Lincoln South Coast</v>
      </c>
      <c r="G54" s="71">
        <f>IFERROR(VLOOKUP($F54,WORKSHEET!$AA$7:$AJ$76,2,FALSE),"-")</f>
        <v>1.125</v>
      </c>
      <c r="H54" s="63">
        <f t="shared" si="23"/>
        <v>12</v>
      </c>
      <c r="I54" s="38">
        <f>IFERROR(VLOOKUP($F54,WORKSHEET!$AA$7:$AJ$76,3,FALSE),"-")</f>
        <v>3.2727272727272729</v>
      </c>
      <c r="J54" s="6">
        <f t="shared" si="19"/>
        <v>1.0909090909090911</v>
      </c>
      <c r="K54" s="59">
        <f t="shared" si="24"/>
        <v>12</v>
      </c>
      <c r="L54" s="60"/>
      <c r="M54" s="61">
        <f>IFERROR(VLOOKUP($F54,WORKSHEET!$AA$7:$AJ$76,4,FALSE),"-")</f>
        <v>1.5</v>
      </c>
      <c r="N54" s="63">
        <f t="shared" si="25"/>
        <v>9</v>
      </c>
      <c r="O54" s="38">
        <f>IFERROR(VLOOKUP($F54,WORKSHEET!$AA$7:$AJ$76,5,FALSE),"-")</f>
        <v>1</v>
      </c>
      <c r="P54" s="59">
        <f t="shared" si="26"/>
        <v>4</v>
      </c>
      <c r="Q54" s="11">
        <f>IFERROR(VLOOKUP($F54,WORKSHEET!$AA$7:$AJ$76,6,FALSE),"-")</f>
        <v>0.14563106796116504</v>
      </c>
      <c r="R54" s="63">
        <f t="shared" si="27"/>
        <v>12</v>
      </c>
      <c r="S54" s="15">
        <f>IFERROR(VLOOKUP($F54,WORKSHEET!$AA$7:$AJ$76,7,FALSE),"-")</f>
        <v>0.2</v>
      </c>
      <c r="T54" s="59">
        <f t="shared" si="28"/>
        <v>10</v>
      </c>
      <c r="U54" s="62">
        <f>IFERROR(VLOOKUP($F54,WORKSHEET!$AA$7:$AJ$76,8,FALSE),"-")</f>
        <v>0.42857142857142855</v>
      </c>
      <c r="V54" s="63">
        <f t="shared" si="29"/>
        <v>0</v>
      </c>
      <c r="W54" s="64" t="str">
        <f>IF(WORKSHEET!W41="","-",WORKSHEET!W41)</f>
        <v>-</v>
      </c>
      <c r="X54" s="59">
        <f t="shared" si="30"/>
        <v>0</v>
      </c>
      <c r="Y54" s="15">
        <f>IFERROR(VLOOKUP($F54,WORKSHEET!$AA$7:$AJ$76,9,FALSE),"-")</f>
        <v>0.96590909090909094</v>
      </c>
      <c r="Z54" s="59">
        <f t="shared" si="31"/>
        <v>12</v>
      </c>
      <c r="AA54" s="62">
        <f>IFERROR(VLOOKUP($F54,WORKSHEET!$AA$7:$AJ$76,10,FALSE),"-")</f>
        <v>0.71111111111111114</v>
      </c>
      <c r="AB54" s="63">
        <f t="shared" si="32"/>
        <v>12</v>
      </c>
      <c r="AC54" s="66">
        <f t="shared" si="36"/>
        <v>83</v>
      </c>
      <c r="AD54" s="70">
        <f t="shared" si="20"/>
        <v>100</v>
      </c>
      <c r="AE54" s="68">
        <f t="shared" si="35"/>
        <v>0.83</v>
      </c>
      <c r="AF54" s="414" t="str">
        <f t="shared" si="37"/>
        <v>Orange County-6</v>
      </c>
      <c r="AG54" s="414" t="str">
        <f t="shared" si="38"/>
        <v>Lincoln South Coast</v>
      </c>
      <c r="AH54" s="415" t="str">
        <f>IF($B54&gt;KEY!$B$2,"",IFERROR(VLOOKUP($B54,KEY!$A$5:$D$74,4,FALSE),""))</f>
        <v>Orange County</v>
      </c>
      <c r="AI54" s="415">
        <f t="shared" si="33"/>
        <v>6</v>
      </c>
      <c r="AJ54" s="414"/>
      <c r="AK54" s="324"/>
      <c r="AL54" s="322"/>
      <c r="AO54" s="85">
        <f t="shared" si="34"/>
        <v>0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</row>
    <row r="55" spans="1:80" s="1" customFormat="1" x14ac:dyDescent="0.35">
      <c r="A55" s="86"/>
      <c r="B55" s="57">
        <v>36</v>
      </c>
      <c r="C55" s="57">
        <f t="shared" si="21"/>
        <v>6</v>
      </c>
      <c r="D55" s="57">
        <f t="shared" si="18"/>
        <v>6.36</v>
      </c>
      <c r="E55" s="57">
        <f t="shared" si="22"/>
        <v>7</v>
      </c>
      <c r="F55" s="3" t="str">
        <f>IF($B55&gt;KEY!$B$2,"",IFERROR(VLOOKUP($B55,KEY!$A$5:$B$74,2),""))</f>
        <v>Mazda of Escondido</v>
      </c>
      <c r="G55" s="71">
        <f>IFERROR(VLOOKUP($F55,WORKSHEET!$AA$7:$AJ$76,2,FALSE),"-")</f>
        <v>0.9285714285714286</v>
      </c>
      <c r="H55" s="63">
        <f t="shared" si="23"/>
        <v>9</v>
      </c>
      <c r="I55" s="38">
        <f>IFERROR(VLOOKUP($F55,WORKSHEET!$AA$7:$AJ$76,3,FALSE),"-")</f>
        <v>1.3333333333333333</v>
      </c>
      <c r="J55" s="6">
        <f t="shared" si="19"/>
        <v>0.44444444444444442</v>
      </c>
      <c r="K55" s="59">
        <f t="shared" si="24"/>
        <v>12</v>
      </c>
      <c r="L55" s="60"/>
      <c r="M55" s="61">
        <f>IFERROR(VLOOKUP($F55,WORKSHEET!$AA$7:$AJ$76,4,FALSE),"-")</f>
        <v>4.333333333333333</v>
      </c>
      <c r="N55" s="63">
        <f t="shared" si="25"/>
        <v>12</v>
      </c>
      <c r="O55" s="38">
        <f>IFERROR(VLOOKUP($F55,WORKSHEET!$AA$7:$AJ$76,5,FALSE),"-")</f>
        <v>0.75</v>
      </c>
      <c r="P55" s="59">
        <f t="shared" si="26"/>
        <v>2</v>
      </c>
      <c r="Q55" s="11">
        <f>IFERROR(VLOOKUP($F55,WORKSHEET!$AA$7:$AJ$76,6,FALSE),"-")</f>
        <v>0.19892473118279569</v>
      </c>
      <c r="R55" s="63">
        <f t="shared" si="27"/>
        <v>12</v>
      </c>
      <c r="S55" s="15">
        <f>IFERROR(VLOOKUP($F55,WORKSHEET!$AA$7:$AJ$76,7,FALSE),"-")</f>
        <v>0.30555555555555558</v>
      </c>
      <c r="T55" s="59">
        <f t="shared" si="28"/>
        <v>12</v>
      </c>
      <c r="U55" s="62">
        <f>IFERROR(VLOOKUP($F55,WORKSHEET!$AA$7:$AJ$76,8,FALSE),"-")</f>
        <v>0.70588235294117652</v>
      </c>
      <c r="V55" s="63">
        <f t="shared" si="29"/>
        <v>12</v>
      </c>
      <c r="W55" s="64" t="str">
        <f>IF(WORKSHEET!W42="","-",WORKSHEET!W42)</f>
        <v>-</v>
      </c>
      <c r="X55" s="59">
        <f t="shared" si="30"/>
        <v>0</v>
      </c>
      <c r="Y55" s="15">
        <f>IFERROR(VLOOKUP($F55,WORKSHEET!$AA$7:$AJ$76,9,FALSE),"-")</f>
        <v>1.106060606060606</v>
      </c>
      <c r="Z55" s="59">
        <f t="shared" si="31"/>
        <v>12</v>
      </c>
      <c r="AA55" s="62">
        <f>IFERROR(VLOOKUP($F55,WORKSHEET!$AA$7:$AJ$76,10,FALSE),"-")</f>
        <v>0.97826086956521741</v>
      </c>
      <c r="AB55" s="63">
        <f t="shared" si="32"/>
        <v>12</v>
      </c>
      <c r="AC55" s="66">
        <f t="shared" si="36"/>
        <v>95</v>
      </c>
      <c r="AD55" s="70">
        <f t="shared" si="20"/>
        <v>100</v>
      </c>
      <c r="AE55" s="68">
        <f t="shared" si="35"/>
        <v>0.95</v>
      </c>
      <c r="AF55" s="414" t="str">
        <f t="shared" si="37"/>
        <v>Southern California-3</v>
      </c>
      <c r="AG55" s="414" t="str">
        <f t="shared" si="38"/>
        <v>Mazda of Escondido</v>
      </c>
      <c r="AH55" s="415" t="str">
        <f>IF($B55&gt;KEY!$B$2,"",IFERROR(VLOOKUP($B55,KEY!$A$5:$D$74,4,FALSE),""))</f>
        <v>Southern California</v>
      </c>
      <c r="AI55" s="415">
        <f t="shared" si="33"/>
        <v>3</v>
      </c>
      <c r="AJ55" s="414"/>
      <c r="AK55" s="324"/>
      <c r="AL55" s="322"/>
      <c r="AO55" s="85">
        <f t="shared" si="34"/>
        <v>0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</row>
    <row r="56" spans="1:80" s="1" customFormat="1" x14ac:dyDescent="0.35">
      <c r="A56" s="86"/>
      <c r="B56" s="57">
        <v>37</v>
      </c>
      <c r="C56" s="57">
        <f t="shared" si="21"/>
        <v>16</v>
      </c>
      <c r="D56" s="57">
        <f t="shared" ref="D56" si="39">IF($F56="","",C56+(B56/100))</f>
        <v>16.37</v>
      </c>
      <c r="E56" s="57">
        <f t="shared" si="22"/>
        <v>16</v>
      </c>
      <c r="F56" s="3" t="str">
        <f>IF($B56&gt;KEY!$B$2,"",IFERROR(VLOOKUP($B56,KEY!$A$5:$B$74,2),""))</f>
        <v>Mercedes-Benz of Chandler</v>
      </c>
      <c r="G56" s="71">
        <f>IFERROR(VLOOKUP($F56,WORKSHEET!$AA$7:$AJ$76,2,FALSE),"-")</f>
        <v>1.3246753246753247</v>
      </c>
      <c r="H56" s="63">
        <f t="shared" si="23"/>
        <v>12</v>
      </c>
      <c r="I56" s="38">
        <f>IFERROR(VLOOKUP($F56,WORKSHEET!$AA$7:$AJ$76,3,FALSE),"-")</f>
        <v>2.7692307692307696</v>
      </c>
      <c r="J56" s="6">
        <f t="shared" si="19"/>
        <v>0.92307692307692324</v>
      </c>
      <c r="K56" s="59">
        <f t="shared" si="24"/>
        <v>12</v>
      </c>
      <c r="L56" s="60"/>
      <c r="M56" s="61">
        <f>IFERROR(VLOOKUP($F56,WORKSHEET!$AA$7:$AJ$76,4,FALSE),"-")</f>
        <v>1.7777777777777777</v>
      </c>
      <c r="N56" s="63">
        <f t="shared" si="25"/>
        <v>9</v>
      </c>
      <c r="O56" s="38">
        <f>IFERROR(VLOOKUP($F56,WORKSHEET!$AA$7:$AJ$76,5,FALSE),"-")</f>
        <v>1</v>
      </c>
      <c r="P56" s="59">
        <f t="shared" si="26"/>
        <v>4</v>
      </c>
      <c r="Q56" s="11">
        <f>IFERROR(VLOOKUP($F56,WORKSHEET!$AA$7:$AJ$76,6,FALSE),"-")</f>
        <v>0.13934426229508196</v>
      </c>
      <c r="R56" s="63">
        <f t="shared" si="27"/>
        <v>12</v>
      </c>
      <c r="S56" s="15">
        <f>IFERROR(VLOOKUP($F56,WORKSHEET!$AA$7:$AJ$76,7,FALSE),"-")</f>
        <v>0.2247191011235955</v>
      </c>
      <c r="T56" s="59">
        <f t="shared" si="28"/>
        <v>10</v>
      </c>
      <c r="U56" s="62">
        <f>IFERROR(VLOOKUP($F56,WORKSHEET!$AA$7:$AJ$76,8,FALSE),"-")</f>
        <v>0.66666666666666663</v>
      </c>
      <c r="V56" s="63">
        <f t="shared" si="29"/>
        <v>10</v>
      </c>
      <c r="W56" s="64" t="str">
        <f>IF(WORKSHEET!W43="","-",WORKSHEET!W43)</f>
        <v>-</v>
      </c>
      <c r="X56" s="59">
        <f t="shared" si="30"/>
        <v>0</v>
      </c>
      <c r="Y56" s="15">
        <f>IFERROR(VLOOKUP($F56,WORKSHEET!$AA$7:$AJ$76,9,FALSE),"-")</f>
        <v>0.84848484848484851</v>
      </c>
      <c r="Z56" s="59">
        <f t="shared" si="31"/>
        <v>10</v>
      </c>
      <c r="AA56" s="62">
        <f>IFERROR(VLOOKUP($F56,WORKSHEET!$AA$7:$AJ$76,10,FALSE),"-")</f>
        <v>0.73076923076923073</v>
      </c>
      <c r="AB56" s="63">
        <f t="shared" si="32"/>
        <v>12</v>
      </c>
      <c r="AC56" s="66">
        <f t="shared" ref="AC56" si="40">IF($F56="","",(H56+R56+T56+V56+N56+Z56+AB56+P56+K56))</f>
        <v>91</v>
      </c>
      <c r="AD56" s="70">
        <f t="shared" ref="AD56" si="41">IF($F56="","",100-AO56)</f>
        <v>100</v>
      </c>
      <c r="AE56" s="68">
        <f t="shared" si="35"/>
        <v>0.91</v>
      </c>
      <c r="AF56" s="414" t="str">
        <f t="shared" ref="AF56" si="42">IF(F56="","",AH56&amp;"-"&amp;AI56)</f>
        <v>Arizona-5</v>
      </c>
      <c r="AG56" s="414" t="str">
        <f t="shared" ref="AG56" si="43">IF(F56="","",F56)</f>
        <v>Mercedes-Benz of Chandler</v>
      </c>
      <c r="AH56" s="415" t="str">
        <f>IF($B56&gt;KEY!$B$2,"",IFERROR(VLOOKUP($B56,KEY!$A$5:$D$74,4,FALSE),""))</f>
        <v>Arizona</v>
      </c>
      <c r="AI56" s="415">
        <f t="shared" si="33"/>
        <v>5</v>
      </c>
      <c r="AJ56" s="414"/>
      <c r="AK56" s="324"/>
      <c r="AL56" s="322"/>
      <c r="AO56" s="85">
        <f t="shared" si="34"/>
        <v>0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</row>
    <row r="57" spans="1:80" s="1" customFormat="1" x14ac:dyDescent="0.35">
      <c r="A57" s="86"/>
      <c r="B57" s="57">
        <v>38</v>
      </c>
      <c r="C57" s="57">
        <f t="shared" si="21"/>
        <v>4</v>
      </c>
      <c r="D57" s="57">
        <f t="shared" si="18"/>
        <v>4.38</v>
      </c>
      <c r="E57" s="57">
        <f t="shared" si="22"/>
        <v>4</v>
      </c>
      <c r="F57" s="3" t="str">
        <f>IF($B57&gt;KEY!$B$2,"",IFERROR(VLOOKUP($B57,KEY!$A$5:$B$74,2),""))</f>
        <v>Mercedes-Benz of North Scottsdale</v>
      </c>
      <c r="G57" s="71">
        <f>IFERROR(VLOOKUP($F57,WORKSHEET!$AA$7:$AJ$76,2,FALSE),"-")</f>
        <v>0.95986622073578598</v>
      </c>
      <c r="H57" s="63">
        <f t="shared" si="23"/>
        <v>10</v>
      </c>
      <c r="I57" s="38">
        <f>IFERROR(VLOOKUP($F57,WORKSHEET!$AA$7:$AJ$76,3,FALSE),"-")</f>
        <v>3.3684210526315788</v>
      </c>
      <c r="J57" s="6">
        <f t="shared" si="19"/>
        <v>1.1228070175438596</v>
      </c>
      <c r="K57" s="59">
        <f t="shared" si="24"/>
        <v>12</v>
      </c>
      <c r="L57" s="60"/>
      <c r="M57" s="61">
        <f>IFERROR(VLOOKUP($F57,WORKSHEET!$AA$7:$AJ$76,4,FALSE),"-")</f>
        <v>2.8333333333333335</v>
      </c>
      <c r="N57" s="63">
        <f t="shared" si="25"/>
        <v>12</v>
      </c>
      <c r="O57" s="38">
        <f>IFERROR(VLOOKUP($F57,WORKSHEET!$AA$7:$AJ$76,5,FALSE),"-")</f>
        <v>1</v>
      </c>
      <c r="P57" s="59">
        <f t="shared" si="26"/>
        <v>4</v>
      </c>
      <c r="Q57" s="11">
        <f>IFERROR(VLOOKUP($F57,WORKSHEET!$AA$7:$AJ$76,6,FALSE),"-")</f>
        <v>0.14285714285714285</v>
      </c>
      <c r="R57" s="63">
        <f t="shared" si="27"/>
        <v>12</v>
      </c>
      <c r="S57" s="15">
        <f>IFERROR(VLOOKUP($F57,WORKSHEET!$AA$7:$AJ$76,7,FALSE),"-")</f>
        <v>0.28440366972477066</v>
      </c>
      <c r="T57" s="59">
        <f t="shared" si="28"/>
        <v>12</v>
      </c>
      <c r="U57" s="62">
        <f>IFERROR(VLOOKUP($F57,WORKSHEET!$AA$7:$AJ$76,8,FALSE),"-")</f>
        <v>0.8125</v>
      </c>
      <c r="V57" s="63">
        <f t="shared" si="29"/>
        <v>12</v>
      </c>
      <c r="W57" s="64" t="str">
        <f>IF(WORKSHEET!W44="","-",WORKSHEET!W44)</f>
        <v>-</v>
      </c>
      <c r="X57" s="59">
        <f t="shared" si="30"/>
        <v>0</v>
      </c>
      <c r="Y57" s="15">
        <f>IFERROR(VLOOKUP($F57,WORKSHEET!$AA$7:$AJ$76,9,FALSE),"-")</f>
        <v>0.89393939393939392</v>
      </c>
      <c r="Z57" s="59">
        <f t="shared" si="31"/>
        <v>10</v>
      </c>
      <c r="AA57" s="62">
        <f>IFERROR(VLOOKUP($F57,WORKSHEET!$AA$7:$AJ$76,10,FALSE),"-")</f>
        <v>0.64451827242524917</v>
      </c>
      <c r="AB57" s="63">
        <f t="shared" si="32"/>
        <v>12</v>
      </c>
      <c r="AC57" s="66">
        <f t="shared" si="36"/>
        <v>96</v>
      </c>
      <c r="AD57" s="70">
        <f t="shared" si="20"/>
        <v>100</v>
      </c>
      <c r="AE57" s="68">
        <f t="shared" si="35"/>
        <v>0.96</v>
      </c>
      <c r="AF57" s="414" t="str">
        <f t="shared" si="37"/>
        <v>Arizona-2</v>
      </c>
      <c r="AG57" s="414" t="str">
        <f t="shared" si="38"/>
        <v>Mercedes-Benz of North Scottsdale</v>
      </c>
      <c r="AH57" s="415" t="str">
        <f>IF($B57&gt;KEY!$B$2,"",IFERROR(VLOOKUP($B57,KEY!$A$5:$D$74,4,FALSE),""))</f>
        <v>Arizona</v>
      </c>
      <c r="AI57" s="415">
        <f t="shared" si="33"/>
        <v>2</v>
      </c>
      <c r="AJ57" s="414"/>
      <c r="AK57" s="324"/>
      <c r="AL57" s="322"/>
      <c r="AO57" s="85">
        <f t="shared" si="34"/>
        <v>0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</row>
    <row r="58" spans="1:80" s="1" customFormat="1" x14ac:dyDescent="0.35">
      <c r="A58" s="86"/>
      <c r="B58" s="57">
        <v>39</v>
      </c>
      <c r="C58" s="57">
        <f t="shared" si="21"/>
        <v>25</v>
      </c>
      <c r="D58" s="57">
        <f t="shared" si="18"/>
        <v>25.39</v>
      </c>
      <c r="E58" s="57">
        <f t="shared" si="22"/>
        <v>25</v>
      </c>
      <c r="F58" s="3" t="str">
        <f>IF($B58&gt;KEY!$B$2,"",IFERROR(VLOOKUP($B58,KEY!$A$5:$B$74,2),""))</f>
        <v>Mercedes-Benz of San Diego</v>
      </c>
      <c r="G58" s="71">
        <f>IFERROR(VLOOKUP($F58,WORKSHEET!$AA$7:$AJ$76,2,FALSE),"-")</f>
        <v>0.80082987551867224</v>
      </c>
      <c r="H58" s="63">
        <f t="shared" si="23"/>
        <v>5</v>
      </c>
      <c r="I58" s="38">
        <f>IFERROR(VLOOKUP($F58,WORKSHEET!$AA$7:$AJ$76,3,FALSE),"-")</f>
        <v>4.7058823529411766</v>
      </c>
      <c r="J58" s="6">
        <f t="shared" si="19"/>
        <v>1.5686274509803921</v>
      </c>
      <c r="K58" s="59">
        <f t="shared" si="24"/>
        <v>12</v>
      </c>
      <c r="L58" s="60"/>
      <c r="M58" s="61">
        <f>IFERROR(VLOOKUP($F58,WORKSHEET!$AA$7:$AJ$76,4,FALSE),"-")</f>
        <v>3.5625</v>
      </c>
      <c r="N58" s="63">
        <f t="shared" si="25"/>
        <v>12</v>
      </c>
      <c r="O58" s="38">
        <f>IFERROR(VLOOKUP($F58,WORKSHEET!$AA$7:$AJ$76,5,FALSE),"-")</f>
        <v>1</v>
      </c>
      <c r="P58" s="59">
        <f t="shared" si="26"/>
        <v>4</v>
      </c>
      <c r="Q58" s="11">
        <f>IFERROR(VLOOKUP($F58,WORKSHEET!$AA$7:$AJ$76,6,FALSE),"-")</f>
        <v>0.1238390092879257</v>
      </c>
      <c r="R58" s="63">
        <f t="shared" si="27"/>
        <v>10</v>
      </c>
      <c r="S58" s="15">
        <f>IFERROR(VLOOKUP($F58,WORKSHEET!$AA$7:$AJ$76,7,FALSE),"-")</f>
        <v>0.234375</v>
      </c>
      <c r="T58" s="59">
        <f t="shared" si="28"/>
        <v>12</v>
      </c>
      <c r="U58" s="62">
        <f>IFERROR(VLOOKUP($F58,WORKSHEET!$AA$7:$AJ$76,8,FALSE),"-")</f>
        <v>0.625</v>
      </c>
      <c r="V58" s="63">
        <f t="shared" si="29"/>
        <v>8</v>
      </c>
      <c r="W58" s="64" t="str">
        <f>IF(WORKSHEET!W45="","-",WORKSHEET!W45)</f>
        <v>-</v>
      </c>
      <c r="X58" s="59">
        <f t="shared" si="30"/>
        <v>0</v>
      </c>
      <c r="Y58" s="15">
        <f>IFERROR(VLOOKUP($F58,WORKSHEET!$AA$7:$AJ$76,9,FALSE),"-")</f>
        <v>0.86647727272727271</v>
      </c>
      <c r="Z58" s="59">
        <f t="shared" si="31"/>
        <v>10</v>
      </c>
      <c r="AA58" s="62">
        <f>IFERROR(VLOOKUP($F58,WORKSHEET!$AA$7:$AJ$76,10,FALSE),"-")</f>
        <v>0.6262626262626263</v>
      </c>
      <c r="AB58" s="63">
        <f t="shared" si="32"/>
        <v>12</v>
      </c>
      <c r="AC58" s="66">
        <f t="shared" si="36"/>
        <v>85</v>
      </c>
      <c r="AD58" s="70">
        <f t="shared" si="20"/>
        <v>100</v>
      </c>
      <c r="AE58" s="68">
        <f t="shared" si="35"/>
        <v>0.85</v>
      </c>
      <c r="AF58" s="414" t="str">
        <f t="shared" si="37"/>
        <v>Southern California-6</v>
      </c>
      <c r="AG58" s="414" t="str">
        <f t="shared" si="38"/>
        <v>Mercedes-Benz of San Diego</v>
      </c>
      <c r="AH58" s="415" t="str">
        <f>IF($B58&gt;KEY!$B$2,"",IFERROR(VLOOKUP($B58,KEY!$A$5:$D$74,4,FALSE),""))</f>
        <v>Southern California</v>
      </c>
      <c r="AI58" s="415">
        <f t="shared" si="33"/>
        <v>6</v>
      </c>
      <c r="AJ58" s="414"/>
      <c r="AK58" s="324"/>
      <c r="AL58" s="322"/>
      <c r="AO58" s="85">
        <f t="shared" si="34"/>
        <v>0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</row>
    <row r="59" spans="1:80" s="1" customFormat="1" x14ac:dyDescent="0.35">
      <c r="A59" s="86"/>
      <c r="B59" s="57">
        <v>40</v>
      </c>
      <c r="C59" s="57">
        <f t="shared" si="21"/>
        <v>28</v>
      </c>
      <c r="D59" s="57">
        <f t="shared" si="18"/>
        <v>28.4</v>
      </c>
      <c r="E59" s="57">
        <f t="shared" si="22"/>
        <v>31</v>
      </c>
      <c r="F59" s="3" t="str">
        <f>IF($B59&gt;KEY!$B$2,"",IFERROR(VLOOKUP($B59,KEY!$A$5:$B$74,2),""))</f>
        <v>MINI North Scottsdale</v>
      </c>
      <c r="G59" s="71">
        <f>IFERROR(VLOOKUP($F59,WORKSHEET!$AA$7:$AJ$76,2,FALSE),"-")</f>
        <v>1.4516129032258065</v>
      </c>
      <c r="H59" s="63">
        <f t="shared" si="23"/>
        <v>12</v>
      </c>
      <c r="I59" s="38">
        <f>IFERROR(VLOOKUP($F59,WORKSHEET!$AA$7:$AJ$76,3,FALSE),"-")</f>
        <v>11.25</v>
      </c>
      <c r="J59" s="6">
        <f t="shared" si="19"/>
        <v>3.75</v>
      </c>
      <c r="K59" s="59">
        <f t="shared" si="24"/>
        <v>12</v>
      </c>
      <c r="L59" s="60"/>
      <c r="M59" s="61">
        <f>IFERROR(VLOOKUP($F59,WORKSHEET!$AA$7:$AJ$76,4,FALSE),"-")</f>
        <v>1.75</v>
      </c>
      <c r="N59" s="63">
        <f t="shared" si="25"/>
        <v>9</v>
      </c>
      <c r="O59" s="38">
        <f>IFERROR(VLOOKUP($F59,WORKSHEET!$AA$7:$AJ$76,5,FALSE),"-")</f>
        <v>1</v>
      </c>
      <c r="P59" s="59">
        <f t="shared" si="26"/>
        <v>4</v>
      </c>
      <c r="Q59" s="11">
        <f>IFERROR(VLOOKUP($F59,WORKSHEET!$AA$7:$AJ$76,6,FALSE),"-")</f>
        <v>0.13793103448275862</v>
      </c>
      <c r="R59" s="63">
        <f t="shared" si="27"/>
        <v>12</v>
      </c>
      <c r="S59" s="15">
        <f>IFERROR(VLOOKUP($F59,WORKSHEET!$AA$7:$AJ$76,7,FALSE),"-")</f>
        <v>0.13636363636363635</v>
      </c>
      <c r="T59" s="59">
        <f t="shared" si="28"/>
        <v>6</v>
      </c>
      <c r="U59" s="62">
        <f>IFERROR(VLOOKUP($F59,WORKSHEET!$AA$7:$AJ$76,8,FALSE),"-")</f>
        <v>0.5</v>
      </c>
      <c r="V59" s="63">
        <f t="shared" si="29"/>
        <v>4</v>
      </c>
      <c r="W59" s="64" t="str">
        <f>IF(WORKSHEET!W46="","-",WORKSHEET!W46)</f>
        <v>-</v>
      </c>
      <c r="X59" s="59">
        <f t="shared" si="30"/>
        <v>0</v>
      </c>
      <c r="Y59" s="15">
        <f>IFERROR(VLOOKUP($F59,WORKSHEET!$AA$7:$AJ$76,9,FALSE),"-")</f>
        <v>0.97727272727272729</v>
      </c>
      <c r="Z59" s="59">
        <f t="shared" si="31"/>
        <v>12</v>
      </c>
      <c r="AA59" s="62">
        <f>IFERROR(VLOOKUP($F59,WORKSHEET!$AA$7:$AJ$76,10,FALSE),"-")</f>
        <v>0.73913043478260865</v>
      </c>
      <c r="AB59" s="63">
        <f t="shared" si="32"/>
        <v>12</v>
      </c>
      <c r="AC59" s="66">
        <f t="shared" si="36"/>
        <v>83</v>
      </c>
      <c r="AD59" s="70">
        <f t="shared" si="20"/>
        <v>100</v>
      </c>
      <c r="AE59" s="68">
        <f t="shared" si="35"/>
        <v>0.83</v>
      </c>
      <c r="AF59" s="414" t="str">
        <f t="shared" si="37"/>
        <v>Arizona-10</v>
      </c>
      <c r="AG59" s="414" t="str">
        <f t="shared" si="38"/>
        <v>MINI North Scottsdale</v>
      </c>
      <c r="AH59" s="415" t="str">
        <f>IF($B59&gt;KEY!$B$2,"",IFERROR(VLOOKUP($B59,KEY!$A$5:$D$74,4,FALSE),""))</f>
        <v>Arizona</v>
      </c>
      <c r="AI59" s="415">
        <f t="shared" si="33"/>
        <v>10</v>
      </c>
      <c r="AJ59" s="414"/>
      <c r="AK59" s="324"/>
      <c r="AL59" s="322"/>
      <c r="AO59" s="85">
        <f t="shared" si="34"/>
        <v>0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</row>
    <row r="60" spans="1:80" s="1" customFormat="1" x14ac:dyDescent="0.35">
      <c r="A60" s="86"/>
      <c r="B60" s="57">
        <v>41</v>
      </c>
      <c r="C60" s="57">
        <f t="shared" si="21"/>
        <v>16</v>
      </c>
      <c r="D60" s="57">
        <f t="shared" si="18"/>
        <v>16.41</v>
      </c>
      <c r="E60" s="57">
        <f t="shared" si="22"/>
        <v>17</v>
      </c>
      <c r="F60" s="3" t="str">
        <f>IF($B60&gt;KEY!$B$2,"",IFERROR(VLOOKUP($B60,KEY!$A$5:$B$74,2),""))</f>
        <v>MINI of Austin</v>
      </c>
      <c r="G60" s="71">
        <f>IFERROR(VLOOKUP($F60,WORKSHEET!$AA$7:$AJ$76,2,FALSE),"-")</f>
        <v>0.86363636363636365</v>
      </c>
      <c r="H60" s="63">
        <f t="shared" si="23"/>
        <v>7</v>
      </c>
      <c r="I60" s="38">
        <f>IFERROR(VLOOKUP($F60,WORKSHEET!$AA$7:$AJ$76,3,FALSE),"-")</f>
        <v>2.75</v>
      </c>
      <c r="J60" s="6">
        <f t="shared" si="19"/>
        <v>0.91666666666666663</v>
      </c>
      <c r="K60" s="59">
        <f t="shared" si="24"/>
        <v>12</v>
      </c>
      <c r="L60" s="60"/>
      <c r="M60" s="61">
        <f>IFERROR(VLOOKUP($F60,WORKSHEET!$AA$7:$AJ$76,4,FALSE),"-")</f>
        <v>2.25</v>
      </c>
      <c r="N60" s="63">
        <f t="shared" si="25"/>
        <v>12</v>
      </c>
      <c r="O60" s="38">
        <f>IFERROR(VLOOKUP($F60,WORKSHEET!$AA$7:$AJ$76,5,FALSE),"-")</f>
        <v>1</v>
      </c>
      <c r="P60" s="59">
        <f t="shared" si="26"/>
        <v>4</v>
      </c>
      <c r="Q60" s="11">
        <f>IFERROR(VLOOKUP($F60,WORKSHEET!$AA$7:$AJ$76,6,FALSE),"-")</f>
        <v>0.17391304347826086</v>
      </c>
      <c r="R60" s="63">
        <f t="shared" si="27"/>
        <v>12</v>
      </c>
      <c r="S60" s="15">
        <f>IFERROR(VLOOKUP($F60,WORKSHEET!$AA$7:$AJ$76,7,FALSE),"-")</f>
        <v>0.23076923076923078</v>
      </c>
      <c r="T60" s="59">
        <f t="shared" si="28"/>
        <v>12</v>
      </c>
      <c r="U60" s="62">
        <f>IFERROR(VLOOKUP($F60,WORKSHEET!$AA$7:$AJ$76,8,FALSE),"-")</f>
        <v>0.7142857142857143</v>
      </c>
      <c r="V60" s="63">
        <f t="shared" si="29"/>
        <v>12</v>
      </c>
      <c r="W60" s="64" t="str">
        <f>IF(WORKSHEET!W47="","-",WORKSHEET!W47)</f>
        <v>-</v>
      </c>
      <c r="X60" s="59">
        <f t="shared" si="30"/>
        <v>0</v>
      </c>
      <c r="Y60" s="15">
        <f>IFERROR(VLOOKUP($F60,WORKSHEET!$AA$7:$AJ$76,9,FALSE),"-")</f>
        <v>0.82954545454545459</v>
      </c>
      <c r="Z60" s="59">
        <f t="shared" si="31"/>
        <v>8</v>
      </c>
      <c r="AA60" s="62">
        <f>IFERROR(VLOOKUP($F60,WORKSHEET!$AA$7:$AJ$76,10,FALSE),"-")</f>
        <v>1.0526315789473684</v>
      </c>
      <c r="AB60" s="63">
        <f t="shared" si="32"/>
        <v>12</v>
      </c>
      <c r="AC60" s="66">
        <f t="shared" si="36"/>
        <v>91</v>
      </c>
      <c r="AD60" s="70">
        <f t="shared" si="20"/>
        <v>100</v>
      </c>
      <c r="AE60" s="68">
        <f t="shared" si="35"/>
        <v>0.91</v>
      </c>
      <c r="AF60" s="414" t="str">
        <f t="shared" si="37"/>
        <v>Texas-3</v>
      </c>
      <c r="AG60" s="414" t="str">
        <f t="shared" si="38"/>
        <v>MINI of Austin</v>
      </c>
      <c r="AH60" s="415" t="str">
        <f>IF($B60&gt;KEY!$B$2,"",IFERROR(VLOOKUP($B60,KEY!$A$5:$D$74,4,FALSE),""))</f>
        <v>Texas</v>
      </c>
      <c r="AI60" s="415">
        <f t="shared" si="33"/>
        <v>3</v>
      </c>
      <c r="AJ60" s="414"/>
      <c r="AK60" s="324"/>
      <c r="AL60" s="322"/>
      <c r="AO60" s="85">
        <f t="shared" si="34"/>
        <v>0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</row>
    <row r="61" spans="1:80" s="1" customFormat="1" x14ac:dyDescent="0.35">
      <c r="A61" s="86"/>
      <c r="B61" s="57">
        <v>42</v>
      </c>
      <c r="C61" s="57">
        <f t="shared" si="21"/>
        <v>48</v>
      </c>
      <c r="D61" s="57">
        <f t="shared" si="18"/>
        <v>48.42</v>
      </c>
      <c r="E61" s="57">
        <f t="shared" si="22"/>
        <v>48</v>
      </c>
      <c r="F61" s="3" t="str">
        <f>IF($B61&gt;KEY!$B$2,"",IFERROR(VLOOKUP($B61,KEY!$A$5:$B$74,2),""))</f>
        <v>MINI of Marin</v>
      </c>
      <c r="G61" s="71">
        <f>IFERROR(VLOOKUP($F61,WORKSHEET!$AA$7:$AJ$76,2,FALSE),"-")</f>
        <v>0.81632653061224492</v>
      </c>
      <c r="H61" s="63">
        <f t="shared" si="23"/>
        <v>5</v>
      </c>
      <c r="I61" s="38">
        <f>IFERROR(VLOOKUP($F61,WORKSHEET!$AA$7:$AJ$76,3,FALSE),"-")</f>
        <v>4.75</v>
      </c>
      <c r="J61" s="6">
        <f t="shared" si="19"/>
        <v>1.5833333333333333</v>
      </c>
      <c r="K61" s="59">
        <f t="shared" si="24"/>
        <v>12</v>
      </c>
      <c r="L61" s="60"/>
      <c r="M61" s="61">
        <f>IFERROR(VLOOKUP($F61,WORKSHEET!$AA$7:$AJ$76,4,FALSE),"-")</f>
        <v>2.5</v>
      </c>
      <c r="N61" s="63">
        <f t="shared" si="25"/>
        <v>12</v>
      </c>
      <c r="O61" s="38">
        <f>IFERROR(VLOOKUP($F61,WORKSHEET!$AA$7:$AJ$76,5,FALSE),"-")</f>
        <v>0.375</v>
      </c>
      <c r="P61" s="59">
        <f t="shared" si="26"/>
        <v>0</v>
      </c>
      <c r="Q61" s="11">
        <f>IFERROR(VLOOKUP($F61,WORKSHEET!$AA$7:$AJ$76,6,FALSE),"-")</f>
        <v>0.11818181818181818</v>
      </c>
      <c r="R61" s="63">
        <f t="shared" si="27"/>
        <v>10</v>
      </c>
      <c r="S61" s="15">
        <f>IFERROR(VLOOKUP($F61,WORKSHEET!$AA$7:$AJ$76,7,FALSE),"-")</f>
        <v>0.11764705882352941</v>
      </c>
      <c r="T61" s="59">
        <f t="shared" si="28"/>
        <v>4</v>
      </c>
      <c r="U61" s="62">
        <f>IFERROR(VLOOKUP($F61,WORKSHEET!$AA$7:$AJ$76,8,FALSE),"-")</f>
        <v>0.5</v>
      </c>
      <c r="V61" s="63">
        <f t="shared" si="29"/>
        <v>4</v>
      </c>
      <c r="W61" s="64" t="str">
        <f>IF(WORKSHEET!W48="","-",WORKSHEET!W48)</f>
        <v>-</v>
      </c>
      <c r="X61" s="59">
        <f t="shared" si="30"/>
        <v>0</v>
      </c>
      <c r="Y61" s="15">
        <f>IFERROR(VLOOKUP($F61,WORKSHEET!$AA$7:$AJ$76,9,FALSE),"-")</f>
        <v>0.86363636363636365</v>
      </c>
      <c r="Z61" s="59">
        <f t="shared" si="31"/>
        <v>10</v>
      </c>
      <c r="AA61" s="62">
        <f>IFERROR(VLOOKUP($F61,WORKSHEET!$AA$7:$AJ$76,10,FALSE),"-")</f>
        <v>0.77500000000000002</v>
      </c>
      <c r="AB61" s="63">
        <f t="shared" si="32"/>
        <v>12</v>
      </c>
      <c r="AC61" s="66">
        <f t="shared" si="36"/>
        <v>69</v>
      </c>
      <c r="AD61" s="70">
        <f t="shared" si="20"/>
        <v>100</v>
      </c>
      <c r="AE61" s="68">
        <f t="shared" si="35"/>
        <v>0.69</v>
      </c>
      <c r="AF61" s="414" t="str">
        <f t="shared" si="37"/>
        <v>Northern California-5</v>
      </c>
      <c r="AG61" s="414" t="str">
        <f t="shared" si="38"/>
        <v>MINI of Marin</v>
      </c>
      <c r="AH61" s="415" t="str">
        <f>IF($B61&gt;KEY!$B$2,"",IFERROR(VLOOKUP($B61,KEY!$A$5:$D$74,4,FALSE),""))</f>
        <v>Northern California</v>
      </c>
      <c r="AI61" s="415">
        <f t="shared" si="33"/>
        <v>5</v>
      </c>
      <c r="AJ61" s="414"/>
      <c r="AK61" s="324"/>
      <c r="AL61" s="322"/>
      <c r="AO61" s="85">
        <f t="shared" si="34"/>
        <v>0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</row>
    <row r="62" spans="1:80" s="1" customFormat="1" x14ac:dyDescent="0.35">
      <c r="A62" s="86"/>
      <c r="B62" s="57">
        <v>43</v>
      </c>
      <c r="C62" s="57">
        <f t="shared" ref="C62:C90" si="44">IF($F62="","",RANK(AE62,$AE$20:$AE$90))</f>
        <v>46</v>
      </c>
      <c r="D62" s="57">
        <f t="shared" si="18"/>
        <v>46.43</v>
      </c>
      <c r="E62" s="57">
        <f t="shared" ref="E62:E90" si="45">IF($F62="","",RANK(D62,$D$20:$D$90,1))</f>
        <v>46</v>
      </c>
      <c r="F62" s="3" t="str">
        <f>IF($B62&gt;KEY!$B$2,"",IFERROR(VLOOKUP($B62,KEY!$A$5:$B$74,2),""))</f>
        <v>MINI of Ontario</v>
      </c>
      <c r="G62" s="71" t="str">
        <f>IFERROR(VLOOKUP($F62,WORKSHEET!$AA$7:$AJ$76,2,FALSE),"-")</f>
        <v>N/A</v>
      </c>
      <c r="H62" s="63">
        <f t="shared" ref="H62:H83" si="46">IF($F62="","",IFERROR((IF(G62&lt;G$122,0,H$122)+IF(G62&lt;G$123,0,H$123)+IF(G62&lt;G$124,0,H$124)+IF(G62&lt;G$125,0,H$125)+IF(G62&lt;G$126,0,H$126)+IF(G62&lt;G$129,0,H$129)+IF(G62&lt;G$128,0,H$128)+IF(G62&lt;G$127,0,H$127)),0))</f>
        <v>0</v>
      </c>
      <c r="I62" s="38">
        <f>IFERROR(VLOOKUP($F62,WORKSHEET!$AA$7:$AJ$76,3,FALSE),"-")</f>
        <v>3</v>
      </c>
      <c r="J62" s="6">
        <f t="shared" si="19"/>
        <v>1</v>
      </c>
      <c r="K62" s="59">
        <f t="shared" ref="K62:K83" si="47">IF($F62="","",IFERROR((IF(J62&lt;J$122,0,K$122)+IF(J62&lt;J$123,0,K$123)+IF(J62&lt;J$124,0,K$124)+IF(J62&lt;J$125,0,K$125)+IF(J62&lt;J$126,0,K$126)+IF(J62&lt;J$129,0,K$129)+IF(J62&lt;J$127,0,K$127)+IF(J62&lt;J$128,0,K$128)),0))</f>
        <v>12</v>
      </c>
      <c r="L62" s="60"/>
      <c r="M62" s="61">
        <f>IFERROR(VLOOKUP($F62,WORKSHEET!$AA$7:$AJ$76,4,FALSE),"-")</f>
        <v>0.66666666666666663</v>
      </c>
      <c r="N62" s="63">
        <f t="shared" ref="N62:N83" si="48">IF($F62="","",IFERROR((IF(M62&lt;M$122,0,N$122)+IF(M62&lt;M$123,0,N$123)+IF(M62&lt;M$124,0,N$124)+IF(M62&lt;M$125,0,N$125)+IF(M62&lt;M$126,0,N$126)+IF(M62&lt;M$129,0,N$129)+IF(M62&lt;M$128,0,N$128)+IF(M62&lt;M$127,0,N$127)),0))</f>
        <v>3</v>
      </c>
      <c r="O62" s="38">
        <f>IFERROR(VLOOKUP($F62,WORKSHEET!$AA$7:$AJ$76,5,FALSE),"-")</f>
        <v>0.875</v>
      </c>
      <c r="P62" s="59">
        <f t="shared" ref="P62:P83" si="49">IF($F62="","",IFERROR((IF(O62&lt;O$122,0,P$122)+IF(O62&lt;O$123,0,P$123)+IF(O62&lt;O$124,0,P$124)+IF(O62&lt;O$125,0,P$125)+IF(O62&lt;O$126,0,P$126)+IF(O62&lt;O$129,0,P$129)+IF(O62&lt;O$128,0,P$128)+IF(O62&lt;O$127,0,P$127)),0))</f>
        <v>3</v>
      </c>
      <c r="Q62" s="11">
        <f>IFERROR(VLOOKUP($F62,WORKSHEET!$AA$7:$AJ$76,6,FALSE),"-")</f>
        <v>0.20930232558139536</v>
      </c>
      <c r="R62" s="63">
        <f t="shared" ref="R62:R83" si="50">IF($F62="","",IFERROR((IF(Q62&lt;Q$122,0,R$122)+IF(Q62&lt;Q$123,0,R$123)+IF(Q62&lt;Q$124,0,R$124)+IF(Q62&lt;Q$125,0,R$125)+IF(Q62&lt;Q$126,0,R$126)+IF(Q62&lt;Q$129,0,R$129)+IF(Q62&lt;Q$128,0,R$128)+IF(Q62&lt;Q$127,0,R$127)),0))</f>
        <v>12</v>
      </c>
      <c r="S62" s="15">
        <f>IFERROR(VLOOKUP($F62,WORKSHEET!$AA$7:$AJ$76,7,FALSE),"-")</f>
        <v>0.26666666666666666</v>
      </c>
      <c r="T62" s="59">
        <f t="shared" ref="T62:T83" si="51">IF($F62="","",IFERROR((IF(S62&lt;S$122,0,T$122)+IF(S62&lt;S$123,0,T$123)+IF(S62&lt;S$124,0,T$124)+IF(S62&lt;S$125,0,T$125)+IF(S62&lt;S$126,0,T$126)+IF(S62&lt;S$129,0,T$129)+IF(S62&lt;S$128,0,T$128)+IF(S62&lt;S$127,0,T$127)),0))</f>
        <v>12</v>
      </c>
      <c r="U62" s="62" t="str">
        <f>IFERROR(VLOOKUP($F62,WORKSHEET!$AA$7:$AJ$76,8,FALSE),"-")</f>
        <v>N/A</v>
      </c>
      <c r="V62" s="63">
        <f t="shared" ref="V62:V83" si="52">IF($F62="","",IFERROR((IF(U62&lt;U$122,0,V$122)+IF(U62&lt;U$123,0,V$123)+IF(U62&lt;U$124,0,V$124)+IF(U62&lt;U$125,0,V$125)+IF(U62&lt;U$126,0,V$126)+IF(U62&lt;U$129,0,V$129)+IF(U62&lt;U$128,0,V$128)+IF(U62&lt;U$127,0,V$127)),0))</f>
        <v>0</v>
      </c>
      <c r="W62" s="64" t="str">
        <f>IF(WORKSHEET!W49="","-",WORKSHEET!W49)</f>
        <v>-</v>
      </c>
      <c r="X62" s="59">
        <f t="shared" ref="X62:X83" si="53">IFERROR((IF(W62&lt;W$122,0,X$122)+IF(W62&lt;W$123,0,X$123)+IF(W62&lt;W$124,0,X$124)+IF(W62&lt;W$125,0,X$125)+IF(W62&lt;W$126,0,X$126)+IF(W62&lt;W$129,0,X$129)+IF(W62&lt;W$128,0,X$128)+IF(W62&lt;W$127,0,X$127)),0)</f>
        <v>0</v>
      </c>
      <c r="Y62" s="15">
        <f>IFERROR(VLOOKUP($F62,WORKSHEET!$AA$7:$AJ$76,9,FALSE),"-")</f>
        <v>0.66666666666666663</v>
      </c>
      <c r="Z62" s="59">
        <f t="shared" ref="Z62:Z83" si="54">IF($F62="","",IFERROR((IF(Y62&lt;Y$122,0,Z$122)+IF(Y62&lt;Y$123,0,Z$123)+IF(Y62&lt;Y$124,0,Z$124)+IF(Y62&lt;Y$125,0,Z$125)+IF(Y62&lt;Y$126,0,Z$126)+IF(Y62&lt;Y$129,0,Z$129)+IF(Y62&lt;Y$128,0,Z$128)+IF(Y62&lt;Y$127,0,Z$127)),0))</f>
        <v>2</v>
      </c>
      <c r="AA62" s="62">
        <f>IFERROR(VLOOKUP($F62,WORKSHEET!$AA$7:$AJ$76,10,FALSE),"-")</f>
        <v>0.51851851851851849</v>
      </c>
      <c r="AB62" s="63">
        <f t="shared" ref="AB62:AB83" si="55">IF($F62="","",IFERROR((IF(AA62&lt;AA$122,0,AB$122)+IF(AA62&lt;AA$123,0,AB$123)+IF(AA62&lt;AA$124,0,AB$124)+IF(AA62&lt;AA$125,0,AB$125)+IF(AA62&lt;AA$126,0,AB$126)+IF(AA62&lt;AA$129,0,AB$129)+IF(AA62&lt;AA$128,0,AB$128)+IF(AA62&lt;AA$127,0,AB$127)),0))</f>
        <v>12</v>
      </c>
      <c r="AC62" s="66">
        <f t="shared" si="36"/>
        <v>56</v>
      </c>
      <c r="AD62" s="70">
        <f t="shared" si="20"/>
        <v>76</v>
      </c>
      <c r="AE62" s="68">
        <f t="shared" si="35"/>
        <v>0.73684210526315785</v>
      </c>
      <c r="AF62" s="414" t="str">
        <f t="shared" si="37"/>
        <v>Orange County-8</v>
      </c>
      <c r="AG62" s="414" t="str">
        <f t="shared" si="38"/>
        <v>MINI of Ontario</v>
      </c>
      <c r="AH62" s="415" t="str">
        <f>IF($B62&gt;KEY!$B$2,"",IFERROR(VLOOKUP($B62,KEY!$A$5:$D$74,4,FALSE),""))</f>
        <v>Orange County</v>
      </c>
      <c r="AI62" s="415">
        <f t="shared" ref="AI62:AI90" si="56">IF(F62="","",COUNTIFS($AH$20:$AH$90,$AH62,$D$20:$D$90,"&lt;"&amp;$D62)+1)</f>
        <v>8</v>
      </c>
      <c r="AJ62" s="414"/>
      <c r="AK62" s="324"/>
      <c r="AL62" s="322"/>
      <c r="AO62" s="85">
        <f t="shared" ref="AO62:AO83" si="57">SUMIFS($G$130:$AB$130,$F62:$AA62,"N/A")</f>
        <v>24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</row>
    <row r="63" spans="1:80" s="1" customFormat="1" x14ac:dyDescent="0.35">
      <c r="A63" s="86"/>
      <c r="B63" s="57">
        <v>44</v>
      </c>
      <c r="C63" s="57">
        <f t="shared" si="44"/>
        <v>15</v>
      </c>
      <c r="D63" s="57">
        <f t="shared" si="18"/>
        <v>15.44</v>
      </c>
      <c r="E63" s="57">
        <f t="shared" si="45"/>
        <v>15</v>
      </c>
      <c r="F63" s="3" t="str">
        <f>IF($B63&gt;KEY!$B$2,"",IFERROR(VLOOKUP($B63,KEY!$A$5:$B$74,2),""))</f>
        <v>MINI of San Diego</v>
      </c>
      <c r="G63" s="71">
        <f>IFERROR(VLOOKUP($F63,WORKSHEET!$AA$7:$AJ$76,2,FALSE),"-")</f>
        <v>1.1346153846153846</v>
      </c>
      <c r="H63" s="63">
        <f t="shared" si="46"/>
        <v>12</v>
      </c>
      <c r="I63" s="38">
        <f>IFERROR(VLOOKUP($F63,WORKSHEET!$AA$7:$AJ$76,3,FALSE),"-")</f>
        <v>6.5454545454545459</v>
      </c>
      <c r="J63" s="6">
        <f t="shared" si="19"/>
        <v>2.1818181818181821</v>
      </c>
      <c r="K63" s="59">
        <f t="shared" si="47"/>
        <v>12</v>
      </c>
      <c r="L63" s="60"/>
      <c r="M63" s="61">
        <f>IFERROR(VLOOKUP($F63,WORKSHEET!$AA$7:$AJ$76,4,FALSE),"-")</f>
        <v>4</v>
      </c>
      <c r="N63" s="63">
        <f t="shared" si="48"/>
        <v>12</v>
      </c>
      <c r="O63" s="38">
        <f>IFERROR(VLOOKUP($F63,WORKSHEET!$AA$7:$AJ$76,5,FALSE),"-")</f>
        <v>1</v>
      </c>
      <c r="P63" s="59">
        <f t="shared" si="49"/>
        <v>4</v>
      </c>
      <c r="Q63" s="11">
        <f>IFERROR(VLOOKUP($F63,WORKSHEET!$AA$7:$AJ$76,6,FALSE),"-")</f>
        <v>0.2</v>
      </c>
      <c r="R63" s="63">
        <f t="shared" si="50"/>
        <v>12</v>
      </c>
      <c r="S63" s="15">
        <f>IFERROR(VLOOKUP($F63,WORKSHEET!$AA$7:$AJ$76,7,FALSE),"-")</f>
        <v>0.25</v>
      </c>
      <c r="T63" s="59">
        <f t="shared" si="51"/>
        <v>12</v>
      </c>
      <c r="U63" s="62">
        <f>IFERROR(VLOOKUP($F63,WORKSHEET!$AA$7:$AJ$76,8,FALSE),"-")</f>
        <v>0.5</v>
      </c>
      <c r="V63" s="63">
        <f t="shared" si="52"/>
        <v>4</v>
      </c>
      <c r="W63" s="64" t="str">
        <f>IF(WORKSHEET!W50="","-",WORKSHEET!W50)</f>
        <v>-</v>
      </c>
      <c r="X63" s="59">
        <f t="shared" si="53"/>
        <v>0</v>
      </c>
      <c r="Y63" s="15">
        <f>IFERROR(VLOOKUP($F63,WORKSHEET!$AA$7:$AJ$76,9,FALSE),"-")</f>
        <v>0.97727272727272729</v>
      </c>
      <c r="Z63" s="59">
        <f t="shared" si="54"/>
        <v>12</v>
      </c>
      <c r="AA63" s="62">
        <f>IFERROR(VLOOKUP($F63,WORKSHEET!$AA$7:$AJ$76,10,FALSE),"-")</f>
        <v>0.57627118644067798</v>
      </c>
      <c r="AB63" s="63">
        <f t="shared" si="55"/>
        <v>12</v>
      </c>
      <c r="AC63" s="66">
        <f t="shared" si="36"/>
        <v>92</v>
      </c>
      <c r="AD63" s="70">
        <f t="shared" si="20"/>
        <v>100</v>
      </c>
      <c r="AE63" s="68">
        <f t="shared" si="35"/>
        <v>0.92</v>
      </c>
      <c r="AF63" s="414" t="str">
        <f t="shared" si="37"/>
        <v>Southern California-4</v>
      </c>
      <c r="AG63" s="414" t="str">
        <f t="shared" si="38"/>
        <v>MINI of San Diego</v>
      </c>
      <c r="AH63" s="415" t="str">
        <f>IF($B63&gt;KEY!$B$2,"",IFERROR(VLOOKUP($B63,KEY!$A$5:$D$74,4,FALSE),""))</f>
        <v>Southern California</v>
      </c>
      <c r="AI63" s="415">
        <f t="shared" si="56"/>
        <v>4</v>
      </c>
      <c r="AJ63" s="414"/>
      <c r="AK63" s="324"/>
      <c r="AL63" s="322"/>
      <c r="AO63" s="85">
        <f t="shared" si="57"/>
        <v>0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</row>
    <row r="64" spans="1:80" s="1" customFormat="1" x14ac:dyDescent="0.35">
      <c r="A64" s="86"/>
      <c r="B64" s="57">
        <v>45</v>
      </c>
      <c r="C64" s="57">
        <f t="shared" si="44"/>
        <v>55</v>
      </c>
      <c r="D64" s="57">
        <f t="shared" si="18"/>
        <v>55.45</v>
      </c>
      <c r="E64" s="57">
        <f t="shared" si="45"/>
        <v>56</v>
      </c>
      <c r="F64" s="3" t="str">
        <f>IF($B64&gt;KEY!$B$2,"",IFERROR(VLOOKUP($B64,KEY!$A$5:$B$74,2),""))</f>
        <v>MINI of Tempe</v>
      </c>
      <c r="G64" s="71">
        <f>IFERROR(VLOOKUP($F64,WORKSHEET!$AA$7:$AJ$76,2,FALSE),"-")</f>
        <v>0.51111111111111107</v>
      </c>
      <c r="H64" s="63">
        <f t="shared" si="46"/>
        <v>0</v>
      </c>
      <c r="I64" s="38">
        <f>IFERROR(VLOOKUP($F64,WORKSHEET!$AA$7:$AJ$76,3,FALSE),"-")</f>
        <v>8</v>
      </c>
      <c r="J64" s="6">
        <f t="shared" si="19"/>
        <v>2.6666666666666665</v>
      </c>
      <c r="K64" s="59">
        <f t="shared" si="47"/>
        <v>12</v>
      </c>
      <c r="L64" s="60"/>
      <c r="M64" s="61">
        <f>IFERROR(VLOOKUP($F64,WORKSHEET!$AA$7:$AJ$76,4,FALSE),"-")</f>
        <v>0.75</v>
      </c>
      <c r="N64" s="63">
        <f t="shared" si="48"/>
        <v>3</v>
      </c>
      <c r="O64" s="38">
        <f>IFERROR(VLOOKUP($F64,WORKSHEET!$AA$7:$AJ$76,5,FALSE),"-")</f>
        <v>1</v>
      </c>
      <c r="P64" s="59">
        <f t="shared" si="49"/>
        <v>4</v>
      </c>
      <c r="Q64" s="11">
        <f>IFERROR(VLOOKUP($F64,WORKSHEET!$AA$7:$AJ$76,6,FALSE),"-")</f>
        <v>0.1702127659574468</v>
      </c>
      <c r="R64" s="63">
        <f t="shared" si="50"/>
        <v>12</v>
      </c>
      <c r="S64" s="15">
        <f>IFERROR(VLOOKUP($F64,WORKSHEET!$AA$7:$AJ$76,7,FALSE),"-")</f>
        <v>0.4</v>
      </c>
      <c r="T64" s="59">
        <f t="shared" si="51"/>
        <v>12</v>
      </c>
      <c r="U64" s="62">
        <f>IFERROR(VLOOKUP($F64,WORKSHEET!$AA$7:$AJ$76,8,FALSE),"-")</f>
        <v>0.5</v>
      </c>
      <c r="V64" s="63">
        <f t="shared" si="52"/>
        <v>4</v>
      </c>
      <c r="W64" s="64" t="str">
        <f>IF(WORKSHEET!W51="","-",WORKSHEET!W51)</f>
        <v>-</v>
      </c>
      <c r="X64" s="59">
        <f t="shared" si="53"/>
        <v>0</v>
      </c>
      <c r="Y64" s="15">
        <f>IFERROR(VLOOKUP($F64,WORKSHEET!$AA$7:$AJ$76,9,FALSE),"-")</f>
        <v>0.57954545454545459</v>
      </c>
      <c r="Z64" s="59">
        <f t="shared" si="54"/>
        <v>0</v>
      </c>
      <c r="AA64" s="62">
        <f>IFERROR(VLOOKUP($F64,WORKSHEET!$AA$7:$AJ$76,10,FALSE),"-")</f>
        <v>1.173913043478261</v>
      </c>
      <c r="AB64" s="63">
        <f t="shared" si="55"/>
        <v>12</v>
      </c>
      <c r="AC64" s="66">
        <f t="shared" si="36"/>
        <v>59</v>
      </c>
      <c r="AD64" s="70">
        <f t="shared" si="20"/>
        <v>100</v>
      </c>
      <c r="AE64" s="68">
        <f t="shared" si="35"/>
        <v>0.59</v>
      </c>
      <c r="AF64" s="414" t="str">
        <f t="shared" si="37"/>
        <v>Arizona-17</v>
      </c>
      <c r="AG64" s="414" t="str">
        <f t="shared" si="38"/>
        <v>MINI of Tempe</v>
      </c>
      <c r="AH64" s="415" t="str">
        <f>IF($B64&gt;KEY!$B$2,"",IFERROR(VLOOKUP($B64,KEY!$A$5:$D$74,4,FALSE),""))</f>
        <v>Arizona</v>
      </c>
      <c r="AI64" s="415">
        <f t="shared" si="56"/>
        <v>17</v>
      </c>
      <c r="AJ64" s="414"/>
      <c r="AK64" s="324"/>
      <c r="AL64" s="322"/>
      <c r="AO64" s="85">
        <f t="shared" si="57"/>
        <v>0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s="1" customFormat="1" x14ac:dyDescent="0.35">
      <c r="A65" s="86"/>
      <c r="B65" s="57">
        <v>46</v>
      </c>
      <c r="C65" s="57">
        <f t="shared" si="44"/>
        <v>18</v>
      </c>
      <c r="D65" s="57">
        <f t="shared" si="18"/>
        <v>18.46</v>
      </c>
      <c r="E65" s="57">
        <f t="shared" si="45"/>
        <v>18</v>
      </c>
      <c r="F65" s="3" t="str">
        <f>IF($B65&gt;KEY!$B$2,"",IFERROR(VLOOKUP($B65,KEY!$A$5:$B$74,2),""))</f>
        <v>Motorwerks BMW</v>
      </c>
      <c r="G65" s="71">
        <f>IFERROR(VLOOKUP($F65,WORKSHEET!$AA$7:$AJ$76,2,FALSE),"-")</f>
        <v>0.86687306501547989</v>
      </c>
      <c r="H65" s="63">
        <f t="shared" si="46"/>
        <v>7</v>
      </c>
      <c r="I65" s="38">
        <f>IFERROR(VLOOKUP($F65,WORKSHEET!$AA$7:$AJ$76,3,FALSE),"-")</f>
        <v>2.6315789473684212</v>
      </c>
      <c r="J65" s="6">
        <f t="shared" si="19"/>
        <v>0.87719298245614041</v>
      </c>
      <c r="K65" s="59">
        <f t="shared" si="47"/>
        <v>12</v>
      </c>
      <c r="L65" s="60"/>
      <c r="M65" s="61">
        <f>IFERROR(VLOOKUP($F65,WORKSHEET!$AA$7:$AJ$76,4,FALSE),"-")</f>
        <v>3.5</v>
      </c>
      <c r="N65" s="63">
        <f t="shared" si="48"/>
        <v>12</v>
      </c>
      <c r="O65" s="38">
        <f>IFERROR(VLOOKUP($F65,WORKSHEET!$AA$7:$AJ$76,5,FALSE),"-")</f>
        <v>0.625</v>
      </c>
      <c r="P65" s="59">
        <f t="shared" si="49"/>
        <v>1</v>
      </c>
      <c r="Q65" s="11">
        <f>IFERROR(VLOOKUP($F65,WORKSHEET!$AA$7:$AJ$76,6,FALSE),"-")</f>
        <v>0.19651741293532338</v>
      </c>
      <c r="R65" s="63">
        <f t="shared" si="50"/>
        <v>12</v>
      </c>
      <c r="S65" s="15">
        <f>IFERROR(VLOOKUP($F65,WORKSHEET!$AA$7:$AJ$76,7,FALSE),"-")</f>
        <v>0.29411764705882354</v>
      </c>
      <c r="T65" s="59">
        <f t="shared" si="51"/>
        <v>12</v>
      </c>
      <c r="U65" s="62">
        <f>IFERROR(VLOOKUP($F65,WORKSHEET!$AA$7:$AJ$76,8,FALSE),"-")</f>
        <v>0.875</v>
      </c>
      <c r="V65" s="63">
        <f t="shared" si="52"/>
        <v>12</v>
      </c>
      <c r="W65" s="64" t="str">
        <f>IF(WORKSHEET!W52="","-",WORKSHEET!W52)</f>
        <v>-</v>
      </c>
      <c r="X65" s="59">
        <f t="shared" si="53"/>
        <v>0</v>
      </c>
      <c r="Y65" s="15">
        <f>IFERROR(VLOOKUP($F65,WORKSHEET!$AA$7:$AJ$76,9,FALSE),"-")</f>
        <v>0.99494949494949492</v>
      </c>
      <c r="Z65" s="59">
        <f t="shared" si="54"/>
        <v>12</v>
      </c>
      <c r="AA65" s="62">
        <f>IFERROR(VLOOKUP($F65,WORKSHEET!$AA$7:$AJ$76,10,FALSE),"-")</f>
        <v>0.49290780141843971</v>
      </c>
      <c r="AB65" s="63">
        <f t="shared" si="55"/>
        <v>10</v>
      </c>
      <c r="AC65" s="66">
        <f t="shared" si="36"/>
        <v>90</v>
      </c>
      <c r="AD65" s="70">
        <f t="shared" si="20"/>
        <v>100</v>
      </c>
      <c r="AE65" s="68">
        <f t="shared" si="35"/>
        <v>0.9</v>
      </c>
      <c r="AF65" s="414" t="str">
        <f t="shared" si="37"/>
        <v>Michigan &amp; Minnesota-1</v>
      </c>
      <c r="AG65" s="414" t="str">
        <f t="shared" si="38"/>
        <v>Motorwerks BMW</v>
      </c>
      <c r="AH65" s="415" t="str">
        <f>IF($B65&gt;KEY!$B$2,"",IFERROR(VLOOKUP($B65,KEY!$A$5:$D$74,4,FALSE),""))</f>
        <v>Michigan &amp; Minnesota</v>
      </c>
      <c r="AI65" s="415">
        <f t="shared" si="56"/>
        <v>1</v>
      </c>
      <c r="AJ65" s="414"/>
      <c r="AK65" s="324"/>
      <c r="AL65" s="322"/>
      <c r="AO65" s="85">
        <f t="shared" si="57"/>
        <v>0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</row>
    <row r="66" spans="1:80" s="1" customFormat="1" x14ac:dyDescent="0.35">
      <c r="A66" s="86"/>
      <c r="B66" s="57">
        <v>47</v>
      </c>
      <c r="C66" s="57">
        <f t="shared" si="44"/>
        <v>28</v>
      </c>
      <c r="D66" s="57">
        <f t="shared" si="18"/>
        <v>28.47</v>
      </c>
      <c r="E66" s="57">
        <f t="shared" si="45"/>
        <v>32</v>
      </c>
      <c r="F66" s="3" t="str">
        <f>IF($B66&gt;KEY!$B$2,"",IFERROR(VLOOKUP($B66,KEY!$A$5:$B$74,2),""))</f>
        <v>Motorwerks MINI</v>
      </c>
      <c r="G66" s="71">
        <f>IFERROR(VLOOKUP($F66,WORKSHEET!$AA$7:$AJ$76,2,FALSE),"-")</f>
        <v>1.3541666666666667</v>
      </c>
      <c r="H66" s="63">
        <f t="shared" si="46"/>
        <v>12</v>
      </c>
      <c r="I66" s="38">
        <f>IFERROR(VLOOKUP($F66,WORKSHEET!$AA$7:$AJ$76,3,FALSE),"-")</f>
        <v>5.6470588235294112</v>
      </c>
      <c r="J66" s="6">
        <f t="shared" si="19"/>
        <v>1.8823529411764703</v>
      </c>
      <c r="K66" s="59">
        <f t="shared" si="47"/>
        <v>12</v>
      </c>
      <c r="L66" s="60"/>
      <c r="M66" s="61">
        <f>IFERROR(VLOOKUP($F66,WORKSHEET!$AA$7:$AJ$76,4,FALSE),"-")</f>
        <v>2.2000000000000002</v>
      </c>
      <c r="N66" s="63">
        <f t="shared" si="48"/>
        <v>12</v>
      </c>
      <c r="O66" s="38">
        <f>IFERROR(VLOOKUP($F66,WORKSHEET!$AA$7:$AJ$76,5,FALSE),"-")</f>
        <v>0.875</v>
      </c>
      <c r="P66" s="59">
        <f t="shared" si="49"/>
        <v>3</v>
      </c>
      <c r="Q66" s="11">
        <f>IFERROR(VLOOKUP($F66,WORKSHEET!$AA$7:$AJ$76,6,FALSE),"-")</f>
        <v>0.17886178861788618</v>
      </c>
      <c r="R66" s="63">
        <f t="shared" si="50"/>
        <v>12</v>
      </c>
      <c r="S66" s="15">
        <f>IFERROR(VLOOKUP($F66,WORKSHEET!$AA$7:$AJ$76,7,FALSE),"-")</f>
        <v>0.2857142857142857</v>
      </c>
      <c r="T66" s="59">
        <f t="shared" si="51"/>
        <v>12</v>
      </c>
      <c r="U66" s="62">
        <f>IFERROR(VLOOKUP($F66,WORKSHEET!$AA$7:$AJ$76,8,FALSE),"-")</f>
        <v>0</v>
      </c>
      <c r="V66" s="63">
        <f t="shared" si="52"/>
        <v>0</v>
      </c>
      <c r="W66" s="64" t="str">
        <f>IF(WORKSHEET!W53="","-",WORKSHEET!W53)</f>
        <v>-</v>
      </c>
      <c r="X66" s="59">
        <f t="shared" si="53"/>
        <v>0</v>
      </c>
      <c r="Y66" s="15">
        <f>IFERROR(VLOOKUP($F66,WORKSHEET!$AA$7:$AJ$76,9,FALSE),"-")</f>
        <v>0.81818181818181823</v>
      </c>
      <c r="Z66" s="59">
        <f t="shared" si="54"/>
        <v>8</v>
      </c>
      <c r="AA66" s="62">
        <f>IFERROR(VLOOKUP($F66,WORKSHEET!$AA$7:$AJ$76,10,FALSE),"-")</f>
        <v>0.59701492537313428</v>
      </c>
      <c r="AB66" s="63">
        <f t="shared" si="55"/>
        <v>12</v>
      </c>
      <c r="AC66" s="66">
        <f t="shared" si="36"/>
        <v>83</v>
      </c>
      <c r="AD66" s="70">
        <f t="shared" si="20"/>
        <v>100</v>
      </c>
      <c r="AE66" s="68">
        <f t="shared" si="35"/>
        <v>0.83</v>
      </c>
      <c r="AF66" s="414" t="str">
        <f t="shared" si="37"/>
        <v>Michigan &amp; Minnesota-2</v>
      </c>
      <c r="AG66" s="414" t="str">
        <f t="shared" si="38"/>
        <v>Motorwerks MINI</v>
      </c>
      <c r="AH66" s="415" t="str">
        <f>IF($B66&gt;KEY!$B$2,"",IFERROR(VLOOKUP($B66,KEY!$A$5:$D$74,4,FALSE),""))</f>
        <v>Michigan &amp; Minnesota</v>
      </c>
      <c r="AI66" s="415">
        <f t="shared" si="56"/>
        <v>2</v>
      </c>
      <c r="AJ66" s="414"/>
      <c r="AK66" s="324"/>
      <c r="AL66" s="322"/>
      <c r="AO66" s="85">
        <f t="shared" si="57"/>
        <v>0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</row>
    <row r="67" spans="1:80" s="1" customFormat="1" x14ac:dyDescent="0.35">
      <c r="A67" s="86"/>
      <c r="B67" s="57">
        <v>48</v>
      </c>
      <c r="C67" s="57">
        <f t="shared" si="44"/>
        <v>58</v>
      </c>
      <c r="D67" s="57">
        <f t="shared" si="18"/>
        <v>58.48</v>
      </c>
      <c r="E67" s="57">
        <f t="shared" si="45"/>
        <v>58</v>
      </c>
      <c r="F67" s="3" t="str">
        <f>IF($B67&gt;KEY!$B$2,"",IFERROR(VLOOKUP($B67,KEY!$A$5:$B$74,2),""))</f>
        <v>Penske Chevrolet</v>
      </c>
      <c r="G67" s="71">
        <f>IFERROR(VLOOKUP($F67,WORKSHEET!$AA$7:$AJ$76,2,FALSE),"-")</f>
        <v>0.79136690647482011</v>
      </c>
      <c r="H67" s="63">
        <f t="shared" si="46"/>
        <v>0</v>
      </c>
      <c r="I67" s="38">
        <f>IFERROR(VLOOKUP($F67,WORKSHEET!$AA$7:$AJ$76,3,FALSE),"-")</f>
        <v>1.6363636363636365</v>
      </c>
      <c r="J67" s="6">
        <f t="shared" si="19"/>
        <v>0.54545454545454553</v>
      </c>
      <c r="K67" s="59">
        <f t="shared" si="47"/>
        <v>12</v>
      </c>
      <c r="L67" s="60"/>
      <c r="M67" s="61">
        <f>IFERROR(VLOOKUP($F67,WORKSHEET!$AA$7:$AJ$76,4,FALSE),"-")</f>
        <v>0.8</v>
      </c>
      <c r="N67" s="63">
        <f t="shared" si="48"/>
        <v>3</v>
      </c>
      <c r="O67" s="38">
        <f>IFERROR(VLOOKUP($F67,WORKSHEET!$AA$7:$AJ$76,5,FALSE),"-")</f>
        <v>0.875</v>
      </c>
      <c r="P67" s="59">
        <f t="shared" si="49"/>
        <v>3</v>
      </c>
      <c r="Q67" s="11">
        <f>IFERROR(VLOOKUP($F67,WORKSHEET!$AA$7:$AJ$76,6,FALSE),"-")</f>
        <v>0.18859649122807018</v>
      </c>
      <c r="R67" s="63">
        <f t="shared" si="50"/>
        <v>12</v>
      </c>
      <c r="S67" s="15">
        <f>IFERROR(VLOOKUP($F67,WORKSHEET!$AA$7:$AJ$76,7,FALSE),"-")</f>
        <v>0.16981132075471697</v>
      </c>
      <c r="T67" s="59">
        <f t="shared" si="51"/>
        <v>8</v>
      </c>
      <c r="U67" s="62">
        <f>IFERROR(VLOOKUP($F67,WORKSHEET!$AA$7:$AJ$76,8,FALSE),"-")</f>
        <v>0.54545454545454541</v>
      </c>
      <c r="V67" s="63">
        <f t="shared" si="52"/>
        <v>6</v>
      </c>
      <c r="W67" s="64" t="str">
        <f>IF(WORKSHEET!W54="","-",WORKSHEET!W54)</f>
        <v>-</v>
      </c>
      <c r="X67" s="59">
        <f t="shared" si="53"/>
        <v>0</v>
      </c>
      <c r="Y67" s="15">
        <f>IFERROR(VLOOKUP($F67,WORKSHEET!$AA$7:$AJ$76,9,FALSE),"-")</f>
        <v>0.72727272727272729</v>
      </c>
      <c r="Z67" s="59">
        <f t="shared" si="54"/>
        <v>4</v>
      </c>
      <c r="AA67" s="62">
        <f>IFERROR(VLOOKUP($F67,WORKSHEET!$AA$7:$AJ$76,10,FALSE),"-")</f>
        <v>0.45535714285714285</v>
      </c>
      <c r="AB67" s="63">
        <f t="shared" si="55"/>
        <v>10</v>
      </c>
      <c r="AC67" s="66">
        <f t="shared" si="36"/>
        <v>58</v>
      </c>
      <c r="AD67" s="70">
        <f t="shared" si="20"/>
        <v>100</v>
      </c>
      <c r="AE67" s="68">
        <f t="shared" si="35"/>
        <v>0.57999999999999996</v>
      </c>
      <c r="AF67" s="414" t="str">
        <f t="shared" si="37"/>
        <v>Indiana-2</v>
      </c>
      <c r="AG67" s="414" t="str">
        <f t="shared" si="38"/>
        <v>Penske Chevrolet</v>
      </c>
      <c r="AH67" s="415" t="str">
        <f>IF($B67&gt;KEY!$B$2,"",IFERROR(VLOOKUP($B67,KEY!$A$5:$D$74,4,FALSE),""))</f>
        <v>Indiana</v>
      </c>
      <c r="AI67" s="415">
        <f t="shared" si="56"/>
        <v>2</v>
      </c>
      <c r="AJ67" s="414"/>
      <c r="AK67" s="324"/>
      <c r="AL67" s="322"/>
      <c r="AO67" s="85">
        <f t="shared" si="57"/>
        <v>0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</row>
    <row r="68" spans="1:80" s="1" customFormat="1" x14ac:dyDescent="0.35">
      <c r="A68" s="86"/>
      <c r="B68" s="57">
        <v>49</v>
      </c>
      <c r="C68" s="57">
        <f t="shared" si="44"/>
        <v>55</v>
      </c>
      <c r="D68" s="57">
        <f t="shared" si="18"/>
        <v>55.49</v>
      </c>
      <c r="E68" s="57">
        <f t="shared" si="45"/>
        <v>57</v>
      </c>
      <c r="F68" s="3" t="str">
        <f>IF($B68&gt;KEY!$B$2,"",IFERROR(VLOOKUP($B68,KEY!$A$5:$B$74,2),""))</f>
        <v>Penske Honda</v>
      </c>
      <c r="G68" s="71">
        <f>IFERROR(VLOOKUP($F68,WORKSHEET!$AA$7:$AJ$76,2,FALSE),"-")</f>
        <v>0.86345381526104414</v>
      </c>
      <c r="H68" s="63">
        <f t="shared" si="46"/>
        <v>7</v>
      </c>
      <c r="I68" s="38">
        <f>IFERROR(VLOOKUP($F68,WORKSHEET!$AA$7:$AJ$76,3,FALSE),"-")</f>
        <v>0.26923076923076922</v>
      </c>
      <c r="J68" s="6">
        <f t="shared" si="19"/>
        <v>8.9743589743589744E-2</v>
      </c>
      <c r="K68" s="59">
        <f t="shared" si="47"/>
        <v>0</v>
      </c>
      <c r="L68" s="60"/>
      <c r="M68" s="61">
        <f>IFERROR(VLOOKUP($F68,WORKSHEET!$AA$7:$AJ$76,4,FALSE),"-")</f>
        <v>0.52</v>
      </c>
      <c r="N68" s="63">
        <f t="shared" si="48"/>
        <v>3</v>
      </c>
      <c r="O68" s="38">
        <f>IFERROR(VLOOKUP($F68,WORKSHEET!$AA$7:$AJ$76,5,FALSE),"-")</f>
        <v>0.625</v>
      </c>
      <c r="P68" s="59">
        <f t="shared" si="49"/>
        <v>1</v>
      </c>
      <c r="Q68" s="11">
        <f>IFERROR(VLOOKUP($F68,WORKSHEET!$AA$7:$AJ$76,6,FALSE),"-")</f>
        <v>0.19198664440734559</v>
      </c>
      <c r="R68" s="63">
        <f t="shared" si="50"/>
        <v>12</v>
      </c>
      <c r="S68" s="15">
        <f>IFERROR(VLOOKUP($F68,WORKSHEET!$AA$7:$AJ$76,7,FALSE),"-")</f>
        <v>0.26845637583892618</v>
      </c>
      <c r="T68" s="59">
        <f t="shared" si="51"/>
        <v>12</v>
      </c>
      <c r="U68" s="62">
        <f>IFERROR(VLOOKUP($F68,WORKSHEET!$AA$7:$AJ$76,8,FALSE),"-")</f>
        <v>0.62857142857142856</v>
      </c>
      <c r="V68" s="63">
        <f t="shared" si="52"/>
        <v>8</v>
      </c>
      <c r="W68" s="64" t="str">
        <f>IF(WORKSHEET!W55="","-",WORKSHEET!W55)</f>
        <v>-</v>
      </c>
      <c r="X68" s="59">
        <f t="shared" si="53"/>
        <v>0</v>
      </c>
      <c r="Y68" s="15">
        <f>IFERROR(VLOOKUP($F68,WORKSHEET!$AA$7:$AJ$76,9,FALSE),"-")</f>
        <v>0.75636363636363635</v>
      </c>
      <c r="Z68" s="59">
        <f t="shared" si="54"/>
        <v>6</v>
      </c>
      <c r="AA68" s="62">
        <f>IFERROR(VLOOKUP($F68,WORKSHEET!$AA$7:$AJ$76,10,FALSE),"-")</f>
        <v>0.47575057736720555</v>
      </c>
      <c r="AB68" s="63">
        <f t="shared" si="55"/>
        <v>10</v>
      </c>
      <c r="AC68" s="66">
        <f t="shared" si="36"/>
        <v>59</v>
      </c>
      <c r="AD68" s="70">
        <f t="shared" si="20"/>
        <v>100</v>
      </c>
      <c r="AE68" s="68">
        <f t="shared" si="35"/>
        <v>0.59</v>
      </c>
      <c r="AF68" s="414" t="str">
        <f t="shared" si="37"/>
        <v>Indiana-1</v>
      </c>
      <c r="AG68" s="414" t="str">
        <f t="shared" si="38"/>
        <v>Penske Honda</v>
      </c>
      <c r="AH68" s="415" t="str">
        <f>IF($B68&gt;KEY!$B$2,"",IFERROR(VLOOKUP($B68,KEY!$A$5:$D$74,4,FALSE),""))</f>
        <v>Indiana</v>
      </c>
      <c r="AI68" s="415">
        <f t="shared" si="56"/>
        <v>1</v>
      </c>
      <c r="AJ68" s="414"/>
      <c r="AK68" s="324"/>
      <c r="AL68" s="322"/>
      <c r="AO68" s="85">
        <f t="shared" si="57"/>
        <v>0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</row>
    <row r="69" spans="1:80" s="1" customFormat="1" x14ac:dyDescent="0.35">
      <c r="A69" s="86"/>
      <c r="B69" s="57">
        <v>50</v>
      </c>
      <c r="C69" s="57">
        <f t="shared" si="44"/>
        <v>9</v>
      </c>
      <c r="D69" s="57">
        <f t="shared" si="18"/>
        <v>9.5</v>
      </c>
      <c r="E69" s="57">
        <f t="shared" si="45"/>
        <v>11</v>
      </c>
      <c r="F69" s="3" t="str">
        <f>IF($B69&gt;KEY!$B$2,"",IFERROR(VLOOKUP($B69,KEY!$A$5:$B$74,2),""))</f>
        <v>Peter Pan BMW</v>
      </c>
      <c r="G69" s="71">
        <f>IFERROR(VLOOKUP($F69,WORKSHEET!$AA$7:$AJ$76,2,FALSE),"-")</f>
        <v>0.94262295081967218</v>
      </c>
      <c r="H69" s="63">
        <f t="shared" si="46"/>
        <v>9</v>
      </c>
      <c r="I69" s="38">
        <f>IFERROR(VLOOKUP($F69,WORKSHEET!$AA$7:$AJ$76,3,FALSE),"-")</f>
        <v>1.9459459459459458</v>
      </c>
      <c r="J69" s="6">
        <f t="shared" si="19"/>
        <v>0.64864864864864857</v>
      </c>
      <c r="K69" s="59">
        <f t="shared" si="47"/>
        <v>12</v>
      </c>
      <c r="L69" s="60"/>
      <c r="M69" s="61">
        <f>IFERROR(VLOOKUP($F69,WORKSHEET!$AA$7:$AJ$76,4,FALSE),"-")</f>
        <v>4.2307692307692308</v>
      </c>
      <c r="N69" s="63">
        <f t="shared" si="48"/>
        <v>12</v>
      </c>
      <c r="O69" s="38">
        <f>IFERROR(VLOOKUP($F69,WORKSHEET!$AA$7:$AJ$76,5,FALSE),"-")</f>
        <v>0.625</v>
      </c>
      <c r="P69" s="59">
        <f t="shared" si="49"/>
        <v>1</v>
      </c>
      <c r="Q69" s="11">
        <f>IFERROR(VLOOKUP($F69,WORKSHEET!$AA$7:$AJ$76,6,FALSE),"-")</f>
        <v>0.21693121693121692</v>
      </c>
      <c r="R69" s="63">
        <f t="shared" si="50"/>
        <v>12</v>
      </c>
      <c r="S69" s="15">
        <f>IFERROR(VLOOKUP($F69,WORKSHEET!$AA$7:$AJ$76,7,FALSE),"-")</f>
        <v>0.31213872832369943</v>
      </c>
      <c r="T69" s="59">
        <f t="shared" si="51"/>
        <v>12</v>
      </c>
      <c r="U69" s="62">
        <f>IFERROR(VLOOKUP($F69,WORKSHEET!$AA$7:$AJ$76,8,FALSE),"-")</f>
        <v>0.70270270270270274</v>
      </c>
      <c r="V69" s="63">
        <f t="shared" si="52"/>
        <v>12</v>
      </c>
      <c r="W69" s="64" t="str">
        <f>IF(WORKSHEET!W56="","-",WORKSHEET!W56)</f>
        <v>-</v>
      </c>
      <c r="X69" s="59">
        <f t="shared" si="53"/>
        <v>0</v>
      </c>
      <c r="Y69" s="15">
        <f>IFERROR(VLOOKUP($F69,WORKSHEET!$AA$7:$AJ$76,9,FALSE),"-")</f>
        <v>1.5629370629370629</v>
      </c>
      <c r="Z69" s="59">
        <f t="shared" si="54"/>
        <v>12</v>
      </c>
      <c r="AA69" s="62">
        <f>IFERROR(VLOOKUP($F69,WORKSHEET!$AA$7:$AJ$76,10,FALSE),"-")</f>
        <v>0.81659388646288211</v>
      </c>
      <c r="AB69" s="63">
        <f t="shared" si="55"/>
        <v>12</v>
      </c>
      <c r="AC69" s="66">
        <f t="shared" si="36"/>
        <v>94</v>
      </c>
      <c r="AD69" s="70">
        <f t="shared" si="20"/>
        <v>100</v>
      </c>
      <c r="AE69" s="68">
        <f t="shared" si="35"/>
        <v>0.94</v>
      </c>
      <c r="AF69" s="414" t="str">
        <f t="shared" si="37"/>
        <v>Northern California-2</v>
      </c>
      <c r="AG69" s="414" t="str">
        <f t="shared" si="38"/>
        <v>Peter Pan BMW</v>
      </c>
      <c r="AH69" s="415" t="str">
        <f>IF($B69&gt;KEY!$B$2,"",IFERROR(VLOOKUP($B69,KEY!$A$5:$D$74,4,FALSE),""))</f>
        <v>Northern California</v>
      </c>
      <c r="AI69" s="415">
        <f t="shared" si="56"/>
        <v>2</v>
      </c>
      <c r="AJ69" s="414"/>
      <c r="AK69" s="324"/>
      <c r="AL69" s="322"/>
      <c r="AO69" s="85">
        <f t="shared" si="57"/>
        <v>0</v>
      </c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</row>
    <row r="70" spans="1:80" s="1" customFormat="1" x14ac:dyDescent="0.35">
      <c r="A70" s="86"/>
      <c r="B70" s="57">
        <v>51</v>
      </c>
      <c r="C70" s="57">
        <f t="shared" si="44"/>
        <v>9</v>
      </c>
      <c r="D70" s="57">
        <f t="shared" si="18"/>
        <v>9.51</v>
      </c>
      <c r="E70" s="57">
        <f t="shared" si="45"/>
        <v>12</v>
      </c>
      <c r="F70" s="3" t="str">
        <f>IF($B70&gt;KEY!$B$2,"",IFERROR(VLOOKUP($B70,KEY!$A$5:$B$74,2),""))</f>
        <v>Porsche North Scottsdale</v>
      </c>
      <c r="G70" s="71">
        <f>IFERROR(VLOOKUP($F70,WORKSHEET!$AA$7:$AJ$76,2,FALSE),"-")</f>
        <v>1.1764705882352942</v>
      </c>
      <c r="H70" s="63">
        <f t="shared" si="46"/>
        <v>12</v>
      </c>
      <c r="I70" s="38">
        <f>IFERROR(VLOOKUP($F70,WORKSHEET!$AA$7:$AJ$76,3,FALSE),"-")</f>
        <v>2.8536585365853662</v>
      </c>
      <c r="J70" s="6">
        <f t="shared" si="19"/>
        <v>0.95121951219512202</v>
      </c>
      <c r="K70" s="59">
        <f t="shared" si="47"/>
        <v>12</v>
      </c>
      <c r="L70" s="60"/>
      <c r="M70" s="61">
        <f>IFERROR(VLOOKUP($F70,WORKSHEET!$AA$7:$AJ$76,4,FALSE),"-")</f>
        <v>4.5</v>
      </c>
      <c r="N70" s="63">
        <f t="shared" si="48"/>
        <v>12</v>
      </c>
      <c r="O70" s="38">
        <f>IFERROR(VLOOKUP($F70,WORKSHEET!$AA$7:$AJ$76,5,FALSE),"-")</f>
        <v>1</v>
      </c>
      <c r="P70" s="59">
        <f t="shared" si="49"/>
        <v>4</v>
      </c>
      <c r="Q70" s="11">
        <f>IFERROR(VLOOKUP($F70,WORKSHEET!$AA$7:$AJ$76,6,FALSE),"-")</f>
        <v>0.17277486910994763</v>
      </c>
      <c r="R70" s="63">
        <f t="shared" si="50"/>
        <v>12</v>
      </c>
      <c r="S70" s="15">
        <f>IFERROR(VLOOKUP($F70,WORKSHEET!$AA$7:$AJ$76,7,FALSE),"-")</f>
        <v>0.1553398058252427</v>
      </c>
      <c r="T70" s="59">
        <f t="shared" si="51"/>
        <v>6</v>
      </c>
      <c r="U70" s="62">
        <f>IFERROR(VLOOKUP($F70,WORKSHEET!$AA$7:$AJ$76,8,FALSE),"-")</f>
        <v>0.75</v>
      </c>
      <c r="V70" s="63">
        <f t="shared" si="52"/>
        <v>12</v>
      </c>
      <c r="W70" s="64" t="str">
        <f>IF(WORKSHEET!W57="","-",WORKSHEET!W57)</f>
        <v>-</v>
      </c>
      <c r="X70" s="59">
        <f t="shared" si="53"/>
        <v>0</v>
      </c>
      <c r="Y70" s="15">
        <f>IFERROR(VLOOKUP($F70,WORKSHEET!$AA$7:$AJ$76,9,FALSE),"-")</f>
        <v>1.4053030303030303</v>
      </c>
      <c r="Z70" s="59">
        <f t="shared" si="54"/>
        <v>12</v>
      </c>
      <c r="AA70" s="62">
        <f>IFERROR(VLOOKUP($F70,WORKSHEET!$AA$7:$AJ$76,10,FALSE),"-")</f>
        <v>0.62264150943396224</v>
      </c>
      <c r="AB70" s="63">
        <f t="shared" si="55"/>
        <v>12</v>
      </c>
      <c r="AC70" s="66">
        <f t="shared" si="36"/>
        <v>94</v>
      </c>
      <c r="AD70" s="70">
        <f t="shared" si="20"/>
        <v>100</v>
      </c>
      <c r="AE70" s="68">
        <f t="shared" si="35"/>
        <v>0.94</v>
      </c>
      <c r="AF70" s="414" t="str">
        <f t="shared" si="37"/>
        <v>Arizona-4</v>
      </c>
      <c r="AG70" s="414" t="str">
        <f t="shared" si="38"/>
        <v>Porsche North Scottsdale</v>
      </c>
      <c r="AH70" s="415" t="str">
        <f>IF($B70&gt;KEY!$B$2,"",IFERROR(VLOOKUP($B70,KEY!$A$5:$D$74,4,FALSE),""))</f>
        <v>Arizona</v>
      </c>
      <c r="AI70" s="415">
        <f t="shared" si="56"/>
        <v>4</v>
      </c>
      <c r="AJ70" s="414"/>
      <c r="AK70" s="324"/>
      <c r="AL70" s="322"/>
      <c r="AO70" s="85">
        <f t="shared" si="57"/>
        <v>0</v>
      </c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</row>
    <row r="71" spans="1:80" s="1" customFormat="1" x14ac:dyDescent="0.35">
      <c r="A71" s="86"/>
      <c r="B71" s="57">
        <v>52</v>
      </c>
      <c r="C71" s="57">
        <f t="shared" si="44"/>
        <v>6</v>
      </c>
      <c r="D71" s="57">
        <f t="shared" si="18"/>
        <v>6.52</v>
      </c>
      <c r="E71" s="57">
        <f t="shared" si="45"/>
        <v>8</v>
      </c>
      <c r="F71" s="3" t="str">
        <f>IF($B71&gt;KEY!$B$2,"",IFERROR(VLOOKUP($B71,KEY!$A$5:$B$74,2),""))</f>
        <v>Porsche Stevens Creek</v>
      </c>
      <c r="G71" s="71">
        <f>IFERROR(VLOOKUP($F71,WORKSHEET!$AA$7:$AJ$76,2,FALSE),"-")</f>
        <v>1.0507246376811594</v>
      </c>
      <c r="H71" s="63">
        <f t="shared" si="46"/>
        <v>12</v>
      </c>
      <c r="I71" s="38">
        <f>IFERROR(VLOOKUP($F71,WORKSHEET!$AA$7:$AJ$76,3,FALSE),"-")</f>
        <v>1.9285714285714284</v>
      </c>
      <c r="J71" s="6">
        <f t="shared" si="19"/>
        <v>0.64285714285714279</v>
      </c>
      <c r="K71" s="59">
        <f t="shared" si="47"/>
        <v>12</v>
      </c>
      <c r="L71" s="60"/>
      <c r="M71" s="61">
        <f>IFERROR(VLOOKUP($F71,WORKSHEET!$AA$7:$AJ$76,4,FALSE),"-")</f>
        <v>3.7777777777777777</v>
      </c>
      <c r="N71" s="63">
        <f t="shared" si="48"/>
        <v>12</v>
      </c>
      <c r="O71" s="38">
        <f>IFERROR(VLOOKUP($F71,WORKSHEET!$AA$7:$AJ$76,5,FALSE),"-")</f>
        <v>0.875</v>
      </c>
      <c r="P71" s="59">
        <f t="shared" si="49"/>
        <v>3</v>
      </c>
      <c r="Q71" s="11">
        <f>IFERROR(VLOOKUP($F71,WORKSHEET!$AA$7:$AJ$76,6,FALSE),"-")</f>
        <v>0.14560439560439561</v>
      </c>
      <c r="R71" s="63">
        <f t="shared" si="50"/>
        <v>12</v>
      </c>
      <c r="S71" s="15">
        <f>IFERROR(VLOOKUP($F71,WORKSHEET!$AA$7:$AJ$76,7,FALSE),"-")</f>
        <v>0.21714285714285714</v>
      </c>
      <c r="T71" s="59">
        <f t="shared" si="51"/>
        <v>10</v>
      </c>
      <c r="U71" s="62">
        <f>IFERROR(VLOOKUP($F71,WORKSHEET!$AA$7:$AJ$76,8,FALSE),"-")</f>
        <v>0.66666666666666663</v>
      </c>
      <c r="V71" s="63">
        <f t="shared" si="52"/>
        <v>10</v>
      </c>
      <c r="W71" s="64" t="str">
        <f>IF(WORKSHEET!W58="","-",WORKSHEET!W58)</f>
        <v>-</v>
      </c>
      <c r="X71" s="59">
        <f t="shared" si="53"/>
        <v>0</v>
      </c>
      <c r="Y71" s="15">
        <f>IFERROR(VLOOKUP($F71,WORKSHEET!$AA$7:$AJ$76,9,FALSE),"-")</f>
        <v>1.4444444444444444</v>
      </c>
      <c r="Z71" s="59">
        <f t="shared" si="54"/>
        <v>12</v>
      </c>
      <c r="AA71" s="62">
        <f>IFERROR(VLOOKUP($F71,WORKSHEET!$AA$7:$AJ$76,10,FALSE),"-")</f>
        <v>0.55102040816326525</v>
      </c>
      <c r="AB71" s="63">
        <f t="shared" si="55"/>
        <v>12</v>
      </c>
      <c r="AC71" s="66">
        <f t="shared" si="36"/>
        <v>95</v>
      </c>
      <c r="AD71" s="70">
        <f t="shared" si="20"/>
        <v>100</v>
      </c>
      <c r="AE71" s="68">
        <f t="shared" si="35"/>
        <v>0.95</v>
      </c>
      <c r="AF71" s="414" t="str">
        <f t="shared" si="37"/>
        <v>Northern California-1</v>
      </c>
      <c r="AG71" s="414" t="str">
        <f t="shared" si="38"/>
        <v>Porsche Stevens Creek</v>
      </c>
      <c r="AH71" s="415" t="str">
        <f>IF($B71&gt;KEY!$B$2,"",IFERROR(VLOOKUP($B71,KEY!$A$5:$D$74,4,FALSE),""))</f>
        <v>Northern California</v>
      </c>
      <c r="AI71" s="415">
        <f t="shared" si="56"/>
        <v>1</v>
      </c>
      <c r="AJ71" s="414"/>
      <c r="AK71" s="324"/>
      <c r="AL71" s="322"/>
      <c r="AN71" s="326"/>
      <c r="AO71" s="85">
        <f t="shared" si="57"/>
        <v>0</v>
      </c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</row>
    <row r="72" spans="1:80" s="1" customFormat="1" x14ac:dyDescent="0.35">
      <c r="A72" s="86"/>
      <c r="B72" s="57">
        <v>53</v>
      </c>
      <c r="C72" s="57">
        <f t="shared" si="44"/>
        <v>44</v>
      </c>
      <c r="D72" s="57">
        <f t="shared" si="18"/>
        <v>44.53</v>
      </c>
      <c r="E72" s="57">
        <f t="shared" si="45"/>
        <v>45</v>
      </c>
      <c r="F72" s="3" t="str">
        <f>IF($B72&gt;KEY!$B$2,"",IFERROR(VLOOKUP($B72,KEY!$A$5:$B$74,2),""))</f>
        <v>Round Rock Honda</v>
      </c>
      <c r="G72" s="71">
        <f>IFERROR(VLOOKUP($F72,WORKSHEET!$AA$7:$AJ$76,2,FALSE),"-")</f>
        <v>0.7372654155495979</v>
      </c>
      <c r="H72" s="63">
        <f t="shared" si="46"/>
        <v>0</v>
      </c>
      <c r="I72" s="38">
        <f>IFERROR(VLOOKUP($F72,WORKSHEET!$AA$7:$AJ$76,3,FALSE),"-")</f>
        <v>1.9411764705882353</v>
      </c>
      <c r="J72" s="6">
        <f t="shared" si="19"/>
        <v>0.6470588235294118</v>
      </c>
      <c r="K72" s="59">
        <f t="shared" si="47"/>
        <v>12</v>
      </c>
      <c r="L72" s="60"/>
      <c r="M72" s="61">
        <f>IFERROR(VLOOKUP($F72,WORKSHEET!$AA$7:$AJ$76,4,FALSE),"-")</f>
        <v>1.826086956521739</v>
      </c>
      <c r="N72" s="63">
        <f t="shared" si="48"/>
        <v>9</v>
      </c>
      <c r="O72" s="38">
        <f>IFERROR(VLOOKUP($F72,WORKSHEET!$AA$7:$AJ$76,5,FALSE),"-")</f>
        <v>0.75</v>
      </c>
      <c r="P72" s="59">
        <f t="shared" si="49"/>
        <v>2</v>
      </c>
      <c r="Q72" s="11">
        <f>IFERROR(VLOOKUP($F72,WORKSHEET!$AA$7:$AJ$76,6,FALSE),"-")</f>
        <v>9.6842105263157896E-2</v>
      </c>
      <c r="R72" s="63">
        <f t="shared" si="50"/>
        <v>8</v>
      </c>
      <c r="S72" s="15">
        <f>IFERROR(VLOOKUP($F72,WORKSHEET!$AA$7:$AJ$76,7,FALSE),"-")</f>
        <v>0.19583333333333333</v>
      </c>
      <c r="T72" s="59">
        <f t="shared" si="51"/>
        <v>10</v>
      </c>
      <c r="U72" s="62">
        <f>IFERROR(VLOOKUP($F72,WORKSHEET!$AA$7:$AJ$76,8,FALSE),"-")</f>
        <v>0.70370370370370372</v>
      </c>
      <c r="V72" s="63">
        <f t="shared" si="52"/>
        <v>12</v>
      </c>
      <c r="W72" s="64" t="str">
        <f>IF(WORKSHEET!W59="","-",WORKSHEET!W59)</f>
        <v>-</v>
      </c>
      <c r="X72" s="59">
        <f t="shared" si="53"/>
        <v>0</v>
      </c>
      <c r="Y72" s="15">
        <f>IFERROR(VLOOKUP($F72,WORKSHEET!$AA$7:$AJ$76,9,FALSE),"-")</f>
        <v>0.8675889328063241</v>
      </c>
      <c r="Z72" s="59">
        <f t="shared" si="54"/>
        <v>10</v>
      </c>
      <c r="AA72" s="62">
        <f>IFERROR(VLOOKUP($F72,WORKSHEET!$AA$7:$AJ$76,10,FALSE),"-")</f>
        <v>0.49820788530465948</v>
      </c>
      <c r="AB72" s="63">
        <f t="shared" si="55"/>
        <v>12</v>
      </c>
      <c r="AC72" s="66">
        <f t="shared" si="36"/>
        <v>75</v>
      </c>
      <c r="AD72" s="70">
        <f t="shared" si="20"/>
        <v>100</v>
      </c>
      <c r="AE72" s="68">
        <f t="shared" si="35"/>
        <v>0.75</v>
      </c>
      <c r="AF72" s="414" t="str">
        <f t="shared" si="37"/>
        <v>Texas-8</v>
      </c>
      <c r="AG72" s="414" t="str">
        <f t="shared" si="38"/>
        <v>Round Rock Honda</v>
      </c>
      <c r="AH72" s="415" t="str">
        <f>IF($B72&gt;KEY!$B$2,"",IFERROR(VLOOKUP($B72,KEY!$A$5:$D$74,4,FALSE),""))</f>
        <v>Texas</v>
      </c>
      <c r="AI72" s="415">
        <f t="shared" si="56"/>
        <v>8</v>
      </c>
      <c r="AJ72" s="414"/>
      <c r="AK72" s="324"/>
      <c r="AL72" s="322"/>
      <c r="AO72" s="85">
        <f t="shared" si="57"/>
        <v>0</v>
      </c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</row>
    <row r="73" spans="1:80" s="1" customFormat="1" x14ac:dyDescent="0.35">
      <c r="A73" s="86"/>
      <c r="B73" s="57">
        <v>54</v>
      </c>
      <c r="C73" s="57">
        <f t="shared" si="44"/>
        <v>19</v>
      </c>
      <c r="D73" s="57">
        <f t="shared" si="18"/>
        <v>19.54</v>
      </c>
      <c r="E73" s="57">
        <f t="shared" si="45"/>
        <v>20</v>
      </c>
      <c r="F73" s="3" t="str">
        <f>IF($B73&gt;KEY!$B$2,"",IFERROR(VLOOKUP($B73,KEY!$A$5:$B$74,2),""))</f>
        <v>Round Rock Hyundai</v>
      </c>
      <c r="G73" s="71">
        <f>IFERROR(VLOOKUP($F73,WORKSHEET!$AA$7:$AJ$76,2,FALSE),"-")</f>
        <v>0.952191235059761</v>
      </c>
      <c r="H73" s="63">
        <f t="shared" si="46"/>
        <v>10</v>
      </c>
      <c r="I73" s="38">
        <f>IFERROR(VLOOKUP($F73,WORKSHEET!$AA$7:$AJ$76,3,FALSE),"-")</f>
        <v>0.84782608695652173</v>
      </c>
      <c r="J73" s="6">
        <f t="shared" si="19"/>
        <v>0.28260869565217389</v>
      </c>
      <c r="K73" s="59">
        <f t="shared" si="47"/>
        <v>9</v>
      </c>
      <c r="L73" s="60"/>
      <c r="M73" s="61">
        <f>IFERROR(VLOOKUP($F73,WORKSHEET!$AA$7:$AJ$76,4,FALSE),"-")</f>
        <v>3</v>
      </c>
      <c r="N73" s="63">
        <f t="shared" si="48"/>
        <v>12</v>
      </c>
      <c r="O73" s="38">
        <f>IFERROR(VLOOKUP($F73,WORKSHEET!$AA$7:$AJ$76,5,FALSE),"-")</f>
        <v>0.75</v>
      </c>
      <c r="P73" s="59">
        <f t="shared" si="49"/>
        <v>2</v>
      </c>
      <c r="Q73" s="11">
        <f>IFERROR(VLOOKUP($F73,WORKSHEET!$AA$7:$AJ$76,6,FALSE),"-")</f>
        <v>0.14603960396039603</v>
      </c>
      <c r="R73" s="63">
        <f t="shared" si="50"/>
        <v>12</v>
      </c>
      <c r="S73" s="15">
        <f>IFERROR(VLOOKUP($F73,WORKSHEET!$AA$7:$AJ$76,7,FALSE),"-")</f>
        <v>0.28497409326424872</v>
      </c>
      <c r="T73" s="59">
        <f t="shared" si="51"/>
        <v>12</v>
      </c>
      <c r="U73" s="62">
        <f>IFERROR(VLOOKUP($F73,WORKSHEET!$AA$7:$AJ$76,8,FALSE),"-")</f>
        <v>0.6</v>
      </c>
      <c r="V73" s="63">
        <f t="shared" si="52"/>
        <v>8</v>
      </c>
      <c r="W73" s="64" t="str">
        <f>IF(WORKSHEET!W60="","-",WORKSHEET!W60)</f>
        <v>-</v>
      </c>
      <c r="X73" s="59">
        <f t="shared" si="53"/>
        <v>0</v>
      </c>
      <c r="Y73" s="15">
        <f>IFERROR(VLOOKUP($F73,WORKSHEET!$AA$7:$AJ$76,9,FALSE),"-")</f>
        <v>1.1666666666666667</v>
      </c>
      <c r="Z73" s="59">
        <f t="shared" si="54"/>
        <v>12</v>
      </c>
      <c r="AA73" s="62">
        <f>IFERROR(VLOOKUP($F73,WORKSHEET!$AA$7:$AJ$76,10,FALSE),"-")</f>
        <v>0.5829596412556054</v>
      </c>
      <c r="AB73" s="63">
        <f t="shared" si="55"/>
        <v>12</v>
      </c>
      <c r="AC73" s="66">
        <f t="shared" si="36"/>
        <v>89</v>
      </c>
      <c r="AD73" s="70">
        <f t="shared" si="20"/>
        <v>100</v>
      </c>
      <c r="AE73" s="68">
        <f t="shared" si="35"/>
        <v>0.89</v>
      </c>
      <c r="AF73" s="414" t="str">
        <f t="shared" si="37"/>
        <v>Texas-4</v>
      </c>
      <c r="AG73" s="414" t="str">
        <f t="shared" si="38"/>
        <v>Round Rock Hyundai</v>
      </c>
      <c r="AH73" s="415" t="str">
        <f>IF($B73&gt;KEY!$B$2,"",IFERROR(VLOOKUP($B73,KEY!$A$5:$D$74,4,FALSE),""))</f>
        <v>Texas</v>
      </c>
      <c r="AI73" s="415">
        <f t="shared" si="56"/>
        <v>4</v>
      </c>
      <c r="AJ73" s="414"/>
      <c r="AK73" s="324"/>
      <c r="AL73" s="322"/>
      <c r="AO73" s="85">
        <f t="shared" si="57"/>
        <v>0</v>
      </c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</row>
    <row r="74" spans="1:80" s="1" customFormat="1" x14ac:dyDescent="0.35">
      <c r="A74" s="86"/>
      <c r="B74" s="57">
        <v>55</v>
      </c>
      <c r="C74" s="57">
        <f t="shared" si="44"/>
        <v>40</v>
      </c>
      <c r="D74" s="57">
        <f t="shared" si="18"/>
        <v>40.549999999999997</v>
      </c>
      <c r="E74" s="57">
        <f t="shared" si="45"/>
        <v>41</v>
      </c>
      <c r="F74" s="3" t="str">
        <f>IF($B74&gt;KEY!$B$2,"",IFERROR(VLOOKUP($B74,KEY!$A$5:$B$74,2),""))</f>
        <v>Round Rock Toyota</v>
      </c>
      <c r="G74" s="71">
        <f>IFERROR(VLOOKUP($F74,WORKSHEET!$AA$7:$AJ$76,2,FALSE),"-")</f>
        <v>1.3346613545816732</v>
      </c>
      <c r="H74" s="63">
        <f t="shared" si="46"/>
        <v>12</v>
      </c>
      <c r="I74" s="38">
        <f>IFERROR(VLOOKUP($F74,WORKSHEET!$AA$7:$AJ$76,3,FALSE),"-")</f>
        <v>0.83333333333333337</v>
      </c>
      <c r="J74" s="6">
        <f t="shared" si="19"/>
        <v>0.27777777777777779</v>
      </c>
      <c r="K74" s="59">
        <f t="shared" si="47"/>
        <v>9</v>
      </c>
      <c r="L74" s="60"/>
      <c r="M74" s="61">
        <f>IFERROR(VLOOKUP($F74,WORKSHEET!$AA$7:$AJ$76,4,FALSE),"-")</f>
        <v>1.5238095238095237</v>
      </c>
      <c r="N74" s="63">
        <f t="shared" si="48"/>
        <v>9</v>
      </c>
      <c r="O74" s="38">
        <f>IFERROR(VLOOKUP($F74,WORKSHEET!$AA$7:$AJ$76,5,FALSE),"-")</f>
        <v>0.75</v>
      </c>
      <c r="P74" s="59">
        <f t="shared" si="49"/>
        <v>2</v>
      </c>
      <c r="Q74" s="11">
        <f>IFERROR(VLOOKUP($F74,WORKSHEET!$AA$7:$AJ$76,6,FALSE),"-")</f>
        <v>0.1028999064546305</v>
      </c>
      <c r="R74" s="63">
        <f t="shared" si="50"/>
        <v>8</v>
      </c>
      <c r="S74" s="15">
        <f>IFERROR(VLOOKUP($F74,WORKSHEET!$AA$7:$AJ$76,7,FALSE),"-")</f>
        <v>0.14789915966386555</v>
      </c>
      <c r="T74" s="59">
        <f t="shared" si="51"/>
        <v>6</v>
      </c>
      <c r="U74" s="62">
        <f>IFERROR(VLOOKUP($F74,WORKSHEET!$AA$7:$AJ$76,8,FALSE),"-")</f>
        <v>1</v>
      </c>
      <c r="V74" s="63">
        <f t="shared" si="52"/>
        <v>12</v>
      </c>
      <c r="W74" s="64" t="str">
        <f>IF(WORKSHEET!W61="","-",WORKSHEET!W61)</f>
        <v>-</v>
      </c>
      <c r="X74" s="59">
        <f t="shared" si="53"/>
        <v>0</v>
      </c>
      <c r="Y74" s="15">
        <f>IFERROR(VLOOKUP($F74,WORKSHEET!$AA$7:$AJ$76,9,FALSE),"-")</f>
        <v>1.2283549783549783</v>
      </c>
      <c r="Z74" s="59">
        <f t="shared" si="54"/>
        <v>12</v>
      </c>
      <c r="AA74" s="62">
        <f>IFERROR(VLOOKUP($F74,WORKSHEET!$AA$7:$AJ$76,10,FALSE),"-")</f>
        <v>0.43235294117647061</v>
      </c>
      <c r="AB74" s="63">
        <f t="shared" si="55"/>
        <v>8</v>
      </c>
      <c r="AC74" s="66">
        <f t="shared" si="36"/>
        <v>78</v>
      </c>
      <c r="AD74" s="70">
        <f t="shared" si="20"/>
        <v>100</v>
      </c>
      <c r="AE74" s="68">
        <f t="shared" si="35"/>
        <v>0.78</v>
      </c>
      <c r="AF74" s="414" t="str">
        <f t="shared" si="37"/>
        <v>Texas-6</v>
      </c>
      <c r="AG74" s="414" t="str">
        <f t="shared" si="38"/>
        <v>Round Rock Toyota</v>
      </c>
      <c r="AH74" s="415" t="str">
        <f>IF($B74&gt;KEY!$B$2,"",IFERROR(VLOOKUP($B74,KEY!$A$5:$D$74,4,FALSE),""))</f>
        <v>Texas</v>
      </c>
      <c r="AI74" s="415">
        <f t="shared" si="56"/>
        <v>6</v>
      </c>
      <c r="AJ74" s="414"/>
      <c r="AK74" s="324"/>
      <c r="AL74" s="322"/>
      <c r="AO74" s="85">
        <f t="shared" si="57"/>
        <v>0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</row>
    <row r="75" spans="1:80" s="1" customFormat="1" x14ac:dyDescent="0.35">
      <c r="A75" s="86"/>
      <c r="B75" s="57">
        <v>56</v>
      </c>
      <c r="C75" s="57">
        <f t="shared" si="44"/>
        <v>61</v>
      </c>
      <c r="D75" s="57">
        <f t="shared" si="18"/>
        <v>61.56</v>
      </c>
      <c r="E75" s="57">
        <f t="shared" si="45"/>
        <v>61</v>
      </c>
      <c r="F75" s="3" t="str">
        <f>IF($B75&gt;KEY!$B$2,"",IFERROR(VLOOKUP($B75,KEY!$A$5:$B$74,2),""))</f>
        <v>Scottsdale Ferrari Maserati</v>
      </c>
      <c r="G75" s="71">
        <f>IFERROR(VLOOKUP($F75,WORKSHEET!$AA$7:$AJ$76,2,FALSE),"-")</f>
        <v>1.0769230769230769</v>
      </c>
      <c r="H75" s="63">
        <f t="shared" si="46"/>
        <v>12</v>
      </c>
      <c r="I75" s="38">
        <f>IFERROR(VLOOKUP($F75,WORKSHEET!$AA$7:$AJ$76,3,FALSE),"-")</f>
        <v>1</v>
      </c>
      <c r="J75" s="6">
        <f t="shared" si="19"/>
        <v>0.33333333333333331</v>
      </c>
      <c r="K75" s="59">
        <f t="shared" si="47"/>
        <v>12</v>
      </c>
      <c r="L75" s="60"/>
      <c r="M75" s="61">
        <f>IFERROR(VLOOKUP($F75,WORKSHEET!$AA$7:$AJ$76,4,FALSE),"-")</f>
        <v>0.33333333333333331</v>
      </c>
      <c r="N75" s="63">
        <f t="shared" si="48"/>
        <v>0</v>
      </c>
      <c r="O75" s="38">
        <f>IFERROR(VLOOKUP($F75,WORKSHEET!$AA$7:$AJ$76,5,FALSE),"-")</f>
        <v>0.125</v>
      </c>
      <c r="P75" s="59">
        <f t="shared" si="49"/>
        <v>0</v>
      </c>
      <c r="Q75" s="11">
        <f>IFERROR(VLOOKUP($F75,WORKSHEET!$AA$7:$AJ$76,6,FALSE),"-")</f>
        <v>7.6923076923076927E-2</v>
      </c>
      <c r="R75" s="63">
        <f t="shared" si="50"/>
        <v>4</v>
      </c>
      <c r="S75" s="15">
        <f>IFERROR(VLOOKUP($F75,WORKSHEET!$AA$7:$AJ$76,7,FALSE),"-")</f>
        <v>0.14285714285714285</v>
      </c>
      <c r="T75" s="59">
        <f t="shared" si="51"/>
        <v>6</v>
      </c>
      <c r="U75" s="62" t="str">
        <f>IFERROR(VLOOKUP($F75,WORKSHEET!$AA$7:$AJ$76,8,FALSE),"-")</f>
        <v>N/A</v>
      </c>
      <c r="V75" s="63">
        <f t="shared" si="52"/>
        <v>0</v>
      </c>
      <c r="W75" s="64" t="str">
        <f>IF(WORKSHEET!W62="","-",WORKSHEET!W62)</f>
        <v>-</v>
      </c>
      <c r="X75" s="59">
        <f t="shared" si="53"/>
        <v>0</v>
      </c>
      <c r="Y75" s="15">
        <f>IFERROR(VLOOKUP($F75,WORKSHEET!$AA$7:$AJ$76,9,FALSE),"-")</f>
        <v>0.70833333333333337</v>
      </c>
      <c r="Z75" s="59">
        <f t="shared" si="54"/>
        <v>4</v>
      </c>
      <c r="AA75" s="62">
        <f>IFERROR(VLOOKUP($F75,WORKSHEET!$AA$7:$AJ$76,10,FALSE),"-")</f>
        <v>0.32142857142857145</v>
      </c>
      <c r="AB75" s="63">
        <f t="shared" si="55"/>
        <v>4</v>
      </c>
      <c r="AC75" s="66">
        <f t="shared" si="36"/>
        <v>42</v>
      </c>
      <c r="AD75" s="70">
        <f t="shared" si="20"/>
        <v>88</v>
      </c>
      <c r="AE75" s="68">
        <f t="shared" si="35"/>
        <v>0.47727272727272729</v>
      </c>
      <c r="AF75" s="414" t="str">
        <f t="shared" si="37"/>
        <v>Arizona-18</v>
      </c>
      <c r="AG75" s="414" t="str">
        <f t="shared" si="38"/>
        <v>Scottsdale Ferrari Maserati</v>
      </c>
      <c r="AH75" s="415" t="str">
        <f>IF($B75&gt;KEY!$B$2,"",IFERROR(VLOOKUP($B75,KEY!$A$5:$D$74,4,FALSE),""))</f>
        <v>Arizona</v>
      </c>
      <c r="AI75" s="415">
        <f t="shared" si="56"/>
        <v>18</v>
      </c>
      <c r="AJ75" s="414"/>
      <c r="AK75" s="324"/>
      <c r="AL75" s="322"/>
      <c r="AO75" s="85">
        <f t="shared" si="57"/>
        <v>12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</row>
    <row r="76" spans="1:80" s="1" customFormat="1" x14ac:dyDescent="0.35">
      <c r="A76" s="86"/>
      <c r="B76" s="57">
        <v>57</v>
      </c>
      <c r="C76" s="57">
        <f t="shared" si="44"/>
        <v>23</v>
      </c>
      <c r="D76" s="57">
        <f t="shared" si="18"/>
        <v>23.57</v>
      </c>
      <c r="E76" s="57">
        <f t="shared" si="45"/>
        <v>23</v>
      </c>
      <c r="F76" s="3" t="str">
        <f>IF($B76&gt;KEY!$B$2,"",IFERROR(VLOOKUP($B76,KEY!$A$5:$B$74,2),""))</f>
        <v>Subaru Orange Coast</v>
      </c>
      <c r="G76" s="71">
        <f>IFERROR(VLOOKUP($F76,WORKSHEET!$AA$7:$AJ$76,2,FALSE),"-")</f>
        <v>0.5679012345679012</v>
      </c>
      <c r="H76" s="63">
        <f t="shared" si="46"/>
        <v>0</v>
      </c>
      <c r="I76" s="38">
        <f>IFERROR(VLOOKUP($F76,WORKSHEET!$AA$7:$AJ$76,3,FALSE),"-")</f>
        <v>2.52</v>
      </c>
      <c r="J76" s="6">
        <f t="shared" si="19"/>
        <v>0.84</v>
      </c>
      <c r="K76" s="59">
        <f t="shared" si="47"/>
        <v>12</v>
      </c>
      <c r="L76" s="60"/>
      <c r="M76" s="61">
        <f>IFERROR(VLOOKUP($F76,WORKSHEET!$AA$7:$AJ$76,4,FALSE),"-")</f>
        <v>3.375</v>
      </c>
      <c r="N76" s="63">
        <f t="shared" si="48"/>
        <v>12</v>
      </c>
      <c r="O76" s="38">
        <f>IFERROR(VLOOKUP($F76,WORKSHEET!$AA$7:$AJ$76,5,FALSE),"-")</f>
        <v>0.875</v>
      </c>
      <c r="P76" s="59">
        <f t="shared" si="49"/>
        <v>3</v>
      </c>
      <c r="Q76" s="11">
        <f>IFERROR(VLOOKUP($F76,WORKSHEET!$AA$7:$AJ$76,6,FALSE),"-")</f>
        <v>0.14285714285714285</v>
      </c>
      <c r="R76" s="63">
        <f t="shared" si="50"/>
        <v>12</v>
      </c>
      <c r="S76" s="15">
        <f>IFERROR(VLOOKUP($F76,WORKSHEET!$AA$7:$AJ$76,7,FALSE),"-")</f>
        <v>0.25</v>
      </c>
      <c r="T76" s="59">
        <f t="shared" si="51"/>
        <v>12</v>
      </c>
      <c r="U76" s="62">
        <f>IFERROR(VLOOKUP($F76,WORKSHEET!$AA$7:$AJ$76,8,FALSE),"-")</f>
        <v>0.75</v>
      </c>
      <c r="V76" s="63">
        <f t="shared" si="52"/>
        <v>12</v>
      </c>
      <c r="W76" s="64" t="str">
        <f>IF(WORKSHEET!W63="","-",WORKSHEET!W63)</f>
        <v>-</v>
      </c>
      <c r="X76" s="59">
        <f t="shared" si="53"/>
        <v>0</v>
      </c>
      <c r="Y76" s="15">
        <f>IFERROR(VLOOKUP($F76,WORKSHEET!$AA$7:$AJ$76,9,FALSE),"-")</f>
        <v>1.125</v>
      </c>
      <c r="Z76" s="59">
        <f t="shared" si="54"/>
        <v>12</v>
      </c>
      <c r="AA76" s="62">
        <f>IFERROR(VLOOKUP($F76,WORKSHEET!$AA$7:$AJ$76,10,FALSE),"-")</f>
        <v>0.77173913043478259</v>
      </c>
      <c r="AB76" s="63">
        <f t="shared" si="55"/>
        <v>12</v>
      </c>
      <c r="AC76" s="66">
        <f t="shared" si="36"/>
        <v>87</v>
      </c>
      <c r="AD76" s="70">
        <f t="shared" si="20"/>
        <v>100</v>
      </c>
      <c r="AE76" s="68">
        <f t="shared" si="35"/>
        <v>0.87</v>
      </c>
      <c r="AF76" s="414" t="str">
        <f t="shared" si="37"/>
        <v>Orange County-4</v>
      </c>
      <c r="AG76" s="414" t="str">
        <f t="shared" si="38"/>
        <v>Subaru Orange Coast</v>
      </c>
      <c r="AH76" s="415" t="str">
        <f>IF($B76&gt;KEY!$B$2,"",IFERROR(VLOOKUP($B76,KEY!$A$5:$D$74,4,FALSE),""))</f>
        <v>Orange County</v>
      </c>
      <c r="AI76" s="415">
        <f t="shared" si="56"/>
        <v>4</v>
      </c>
      <c r="AJ76" s="414"/>
      <c r="AK76" s="324"/>
      <c r="AL76" s="322"/>
      <c r="AO76" s="85">
        <f t="shared" si="57"/>
        <v>0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</row>
    <row r="77" spans="1:80" s="1" customFormat="1" x14ac:dyDescent="0.35">
      <c r="A77" s="86"/>
      <c r="B77" s="57">
        <v>58</v>
      </c>
      <c r="C77" s="57">
        <f t="shared" si="44"/>
        <v>28</v>
      </c>
      <c r="D77" s="57">
        <f t="shared" si="18"/>
        <v>28.58</v>
      </c>
      <c r="E77" s="57">
        <f t="shared" si="45"/>
        <v>33</v>
      </c>
      <c r="F77" s="3" t="str">
        <f>IF($B77&gt;KEY!$B$2,"",IFERROR(VLOOKUP($B77,KEY!$A$5:$B$74,2),""))</f>
        <v>Tempe Honda</v>
      </c>
      <c r="G77" s="71">
        <f>IFERROR(VLOOKUP($F77,WORKSHEET!$AA$7:$AJ$76,2,FALSE),"-")</f>
        <v>0.8883248730964467</v>
      </c>
      <c r="H77" s="63">
        <f t="shared" si="46"/>
        <v>7</v>
      </c>
      <c r="I77" s="38">
        <f>IFERROR(VLOOKUP($F77,WORKSHEET!$AA$7:$AJ$76,3,FALSE),"-")</f>
        <v>0.890625</v>
      </c>
      <c r="J77" s="6">
        <f t="shared" si="19"/>
        <v>0.296875</v>
      </c>
      <c r="K77" s="59">
        <f t="shared" si="47"/>
        <v>10</v>
      </c>
      <c r="L77" s="60"/>
      <c r="M77" s="61">
        <f>IFERROR(VLOOKUP($F77,WORKSHEET!$AA$7:$AJ$76,4,FALSE),"-")</f>
        <v>2.3199999999999998</v>
      </c>
      <c r="N77" s="63">
        <f t="shared" si="48"/>
        <v>12</v>
      </c>
      <c r="O77" s="38">
        <f>IFERROR(VLOOKUP($F77,WORKSHEET!$AA$7:$AJ$76,5,FALSE),"-")</f>
        <v>1</v>
      </c>
      <c r="P77" s="59">
        <f t="shared" si="49"/>
        <v>4</v>
      </c>
      <c r="Q77" s="11">
        <f>IFERROR(VLOOKUP($F77,WORKSHEET!$AA$7:$AJ$76,6,FALSE),"-")</f>
        <v>0.24635036496350365</v>
      </c>
      <c r="R77" s="63">
        <f t="shared" si="50"/>
        <v>12</v>
      </c>
      <c r="S77" s="15">
        <f>IFERROR(VLOOKUP($F77,WORKSHEET!$AA$7:$AJ$76,7,FALSE),"-")</f>
        <v>0.20657276995305165</v>
      </c>
      <c r="T77" s="59">
        <f t="shared" si="51"/>
        <v>10</v>
      </c>
      <c r="U77" s="62">
        <f>IFERROR(VLOOKUP($F77,WORKSHEET!$AA$7:$AJ$76,8,FALSE),"-")</f>
        <v>0.5</v>
      </c>
      <c r="V77" s="63">
        <f t="shared" si="52"/>
        <v>4</v>
      </c>
      <c r="W77" s="64" t="str">
        <f>IF(WORKSHEET!W64="","-",WORKSHEET!W64)</f>
        <v>-</v>
      </c>
      <c r="X77" s="59">
        <f t="shared" si="53"/>
        <v>0</v>
      </c>
      <c r="Y77" s="15">
        <f>IFERROR(VLOOKUP($F77,WORKSHEET!$AA$7:$AJ$76,9,FALSE),"-")</f>
        <v>0.94545454545454544</v>
      </c>
      <c r="Z77" s="59">
        <f t="shared" si="54"/>
        <v>12</v>
      </c>
      <c r="AA77" s="62">
        <f>IFERROR(VLOOKUP($F77,WORKSHEET!$AA$7:$AJ$76,10,FALSE),"-")</f>
        <v>0.6458923512747875</v>
      </c>
      <c r="AB77" s="63">
        <f t="shared" si="55"/>
        <v>12</v>
      </c>
      <c r="AC77" s="66">
        <f t="shared" si="36"/>
        <v>83</v>
      </c>
      <c r="AD77" s="70">
        <f t="shared" si="20"/>
        <v>100</v>
      </c>
      <c r="AE77" s="68">
        <f t="shared" si="35"/>
        <v>0.83</v>
      </c>
      <c r="AF77" s="414" t="str">
        <f t="shared" si="37"/>
        <v>Arizona-11</v>
      </c>
      <c r="AG77" s="414" t="str">
        <f t="shared" si="38"/>
        <v>Tempe Honda</v>
      </c>
      <c r="AH77" s="415" t="str">
        <f>IF($B77&gt;KEY!$B$2,"",IFERROR(VLOOKUP($B77,KEY!$A$5:$D$74,4,FALSE),""))</f>
        <v>Arizona</v>
      </c>
      <c r="AI77" s="415">
        <f t="shared" si="56"/>
        <v>11</v>
      </c>
      <c r="AJ77" s="414"/>
      <c r="AK77" s="324"/>
      <c r="AL77" s="322"/>
      <c r="AO77" s="85">
        <f t="shared" si="57"/>
        <v>0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</row>
    <row r="78" spans="1:80" s="1" customFormat="1" x14ac:dyDescent="0.35">
      <c r="A78" s="86"/>
      <c r="B78" s="57">
        <v>59</v>
      </c>
      <c r="C78" s="57">
        <f t="shared" si="44"/>
        <v>27</v>
      </c>
      <c r="D78" s="57">
        <f t="shared" si="18"/>
        <v>27.59</v>
      </c>
      <c r="E78" s="57">
        <f t="shared" si="45"/>
        <v>27</v>
      </c>
      <c r="F78" s="3" t="str">
        <f>IF($B78&gt;KEY!$B$2,"",IFERROR(VLOOKUP($B78,KEY!$A$5:$B$74,2),""))</f>
        <v>Toyota of Clovis</v>
      </c>
      <c r="G78" s="71">
        <f>IFERROR(VLOOKUP($F78,WORKSHEET!$AA$7:$AJ$76,2,FALSE),"-")</f>
        <v>1.0471380471380471</v>
      </c>
      <c r="H78" s="63">
        <f t="shared" si="46"/>
        <v>12</v>
      </c>
      <c r="I78" s="38">
        <f>IFERROR(VLOOKUP($F78,WORKSHEET!$AA$7:$AJ$76,3,FALSE),"-")</f>
        <v>1.1129032258064515</v>
      </c>
      <c r="J78" s="6">
        <f t="shared" si="19"/>
        <v>0.37096774193548382</v>
      </c>
      <c r="K78" s="59">
        <f t="shared" si="47"/>
        <v>12</v>
      </c>
      <c r="L78" s="60"/>
      <c r="M78" s="61">
        <f>IFERROR(VLOOKUP($F78,WORKSHEET!$AA$7:$AJ$76,4,FALSE),"-")</f>
        <v>2.65</v>
      </c>
      <c r="N78" s="63">
        <f t="shared" si="48"/>
        <v>12</v>
      </c>
      <c r="O78" s="38">
        <f>IFERROR(VLOOKUP($F78,WORKSHEET!$AA$7:$AJ$76,5,FALSE),"-")</f>
        <v>1</v>
      </c>
      <c r="P78" s="59">
        <f t="shared" si="49"/>
        <v>4</v>
      </c>
      <c r="Q78" s="11">
        <f>IFERROR(VLOOKUP($F78,WORKSHEET!$AA$7:$AJ$76,6,FALSE),"-")</f>
        <v>0.13958810068649885</v>
      </c>
      <c r="R78" s="63">
        <f t="shared" si="50"/>
        <v>12</v>
      </c>
      <c r="S78" s="15">
        <f>IFERROR(VLOOKUP($F78,WORKSHEET!$AA$7:$AJ$76,7,FALSE),"-")</f>
        <v>0.23394495412844038</v>
      </c>
      <c r="T78" s="59">
        <f t="shared" si="51"/>
        <v>12</v>
      </c>
      <c r="U78" s="62">
        <f>IFERROR(VLOOKUP($F78,WORKSHEET!$AA$7:$AJ$76,8,FALSE),"-")</f>
        <v>1</v>
      </c>
      <c r="V78" s="63">
        <f t="shared" si="52"/>
        <v>12</v>
      </c>
      <c r="W78" s="64" t="str">
        <f>IF(WORKSHEET!W65="","-",WORKSHEET!W65)</f>
        <v>-</v>
      </c>
      <c r="X78" s="59">
        <f t="shared" si="53"/>
        <v>0</v>
      </c>
      <c r="Y78" s="15">
        <f>IFERROR(VLOOKUP($F78,WORKSHEET!$AA$7:$AJ$76,9,FALSE),"-")</f>
        <v>0.73863636363636365</v>
      </c>
      <c r="Z78" s="59">
        <f t="shared" si="54"/>
        <v>4</v>
      </c>
      <c r="AA78" s="62">
        <f>IFERROR(VLOOKUP($F78,WORKSHEET!$AA$7:$AJ$76,10,FALSE),"-")</f>
        <v>0.31858407079646017</v>
      </c>
      <c r="AB78" s="63">
        <f t="shared" si="55"/>
        <v>4</v>
      </c>
      <c r="AC78" s="66">
        <f t="shared" si="36"/>
        <v>84</v>
      </c>
      <c r="AD78" s="70">
        <f t="shared" si="20"/>
        <v>100</v>
      </c>
      <c r="AE78" s="68">
        <f t="shared" si="35"/>
        <v>0.84</v>
      </c>
      <c r="AF78" s="414" t="str">
        <f t="shared" si="37"/>
        <v>Northern California-4</v>
      </c>
      <c r="AG78" s="414" t="str">
        <f t="shared" si="38"/>
        <v>Toyota of Clovis</v>
      </c>
      <c r="AH78" s="415" t="str">
        <f>IF($B78&gt;KEY!$B$2,"",IFERROR(VLOOKUP($B78,KEY!$A$5:$D$74,4,FALSE),""))</f>
        <v>Northern California</v>
      </c>
      <c r="AI78" s="415">
        <f t="shared" si="56"/>
        <v>4</v>
      </c>
      <c r="AJ78" s="414"/>
      <c r="AK78" s="324"/>
      <c r="AL78" s="322"/>
      <c r="AO78" s="85">
        <f t="shared" si="57"/>
        <v>0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</row>
    <row r="79" spans="1:80" s="1" customFormat="1" x14ac:dyDescent="0.35">
      <c r="A79" s="86"/>
      <c r="B79" s="57">
        <v>60</v>
      </c>
      <c r="C79" s="57">
        <f t="shared" si="44"/>
        <v>4</v>
      </c>
      <c r="D79" s="57">
        <f t="shared" si="18"/>
        <v>4.5999999999999996</v>
      </c>
      <c r="E79" s="57">
        <f t="shared" si="45"/>
        <v>5</v>
      </c>
      <c r="F79" s="3" t="str">
        <f>IF($B79&gt;KEY!$B$2,"",IFERROR(VLOOKUP($B79,KEY!$A$5:$B$74,2),""))</f>
        <v>Toyota of Surprise</v>
      </c>
      <c r="G79" s="71">
        <f>IFERROR(VLOOKUP($F79,WORKSHEET!$AA$7:$AJ$76,2,FALSE),"-")</f>
        <v>0.95962732919254656</v>
      </c>
      <c r="H79" s="63">
        <f t="shared" si="46"/>
        <v>10</v>
      </c>
      <c r="I79" s="38">
        <f>IFERROR(VLOOKUP($F79,WORKSHEET!$AA$7:$AJ$76,3,FALSE),"-")</f>
        <v>3</v>
      </c>
      <c r="J79" s="6">
        <f t="shared" si="19"/>
        <v>1</v>
      </c>
      <c r="K79" s="59">
        <f t="shared" si="47"/>
        <v>12</v>
      </c>
      <c r="L79" s="60"/>
      <c r="M79" s="61">
        <f>IFERROR(VLOOKUP($F79,WORKSHEET!$AA$7:$AJ$76,4,FALSE),"-")</f>
        <v>2.6</v>
      </c>
      <c r="N79" s="63">
        <f t="shared" si="48"/>
        <v>12</v>
      </c>
      <c r="O79" s="38">
        <f>IFERROR(VLOOKUP($F79,WORKSHEET!$AA$7:$AJ$76,5,FALSE),"-")</f>
        <v>1</v>
      </c>
      <c r="P79" s="59">
        <f t="shared" si="49"/>
        <v>4</v>
      </c>
      <c r="Q79" s="11">
        <f>IFERROR(VLOOKUP($F79,WORKSHEET!$AA$7:$AJ$76,6,FALSE),"-")</f>
        <v>0.14532019704433496</v>
      </c>
      <c r="R79" s="63">
        <f t="shared" si="50"/>
        <v>12</v>
      </c>
      <c r="S79" s="15">
        <f>IFERROR(VLOOKUP($F79,WORKSHEET!$AA$7:$AJ$76,7,FALSE),"-")</f>
        <v>0.32758620689655171</v>
      </c>
      <c r="T79" s="59">
        <f t="shared" si="51"/>
        <v>12</v>
      </c>
      <c r="U79" s="62">
        <f>IFERROR(VLOOKUP($F79,WORKSHEET!$AA$7:$AJ$76,8,FALSE),"-")</f>
        <v>1</v>
      </c>
      <c r="V79" s="63">
        <f t="shared" si="52"/>
        <v>12</v>
      </c>
      <c r="W79" s="64" t="str">
        <f>IF(WORKSHEET!W66="","-",WORKSHEET!W66)</f>
        <v>-</v>
      </c>
      <c r="X79" s="59">
        <f t="shared" si="53"/>
        <v>0</v>
      </c>
      <c r="Y79" s="15">
        <f>IFERROR(VLOOKUP($F79,WORKSHEET!$AA$7:$AJ$76,9,FALSE),"-")</f>
        <v>0.86136363636363633</v>
      </c>
      <c r="Z79" s="59">
        <f t="shared" si="54"/>
        <v>10</v>
      </c>
      <c r="AA79" s="62">
        <f>IFERROR(VLOOKUP($F79,WORKSHEET!$AA$7:$AJ$76,10,FALSE),"-")</f>
        <v>0.50613496932515334</v>
      </c>
      <c r="AB79" s="63">
        <f t="shared" si="55"/>
        <v>12</v>
      </c>
      <c r="AC79" s="66">
        <f t="shared" si="36"/>
        <v>96</v>
      </c>
      <c r="AD79" s="70">
        <f t="shared" si="20"/>
        <v>100</v>
      </c>
      <c r="AE79" s="68">
        <f t="shared" si="35"/>
        <v>0.96</v>
      </c>
      <c r="AF79" s="414" t="str">
        <f t="shared" si="37"/>
        <v>Arizona-3</v>
      </c>
      <c r="AG79" s="414" t="str">
        <f t="shared" si="38"/>
        <v>Toyota of Surprise</v>
      </c>
      <c r="AH79" s="415" t="str">
        <f>IF($B79&gt;KEY!$B$2,"",IFERROR(VLOOKUP($B79,KEY!$A$5:$D$74,4,FALSE),""))</f>
        <v>Arizona</v>
      </c>
      <c r="AI79" s="415">
        <f t="shared" si="56"/>
        <v>3</v>
      </c>
      <c r="AJ79" s="414"/>
      <c r="AK79" s="324"/>
      <c r="AL79" s="322"/>
      <c r="AO79" s="85">
        <f t="shared" si="57"/>
        <v>0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</row>
    <row r="80" spans="1:80" s="1" customFormat="1" x14ac:dyDescent="0.35">
      <c r="A80" s="86"/>
      <c r="B80" s="57">
        <v>61</v>
      </c>
      <c r="C80" s="57">
        <f t="shared" si="44"/>
        <v>25</v>
      </c>
      <c r="D80" s="57">
        <f t="shared" si="18"/>
        <v>25.61</v>
      </c>
      <c r="E80" s="57">
        <f t="shared" si="45"/>
        <v>26</v>
      </c>
      <c r="F80" s="3" t="str">
        <f>IF($B80&gt;KEY!$B$2,"",IFERROR(VLOOKUP($B80,KEY!$A$5:$B$74,2),""))</f>
        <v>Volkswagen North Scottsdale</v>
      </c>
      <c r="G80" s="71">
        <f>IFERROR(VLOOKUP($F80,WORKSHEET!$AA$7:$AJ$76,2,FALSE),"-")</f>
        <v>0.91139240506329111</v>
      </c>
      <c r="H80" s="63">
        <f t="shared" si="46"/>
        <v>9</v>
      </c>
      <c r="I80" s="38">
        <f>IFERROR(VLOOKUP($F80,WORKSHEET!$AA$7:$AJ$76,3,FALSE),"-")</f>
        <v>1.736842105263158</v>
      </c>
      <c r="J80" s="6">
        <f t="shared" si="19"/>
        <v>0.57894736842105265</v>
      </c>
      <c r="K80" s="59">
        <f t="shared" si="47"/>
        <v>12</v>
      </c>
      <c r="L80" s="60"/>
      <c r="M80" s="61">
        <f>IFERROR(VLOOKUP($F80,WORKSHEET!$AA$7:$AJ$76,4,FALSE),"-")</f>
        <v>2.1666666666666665</v>
      </c>
      <c r="N80" s="63">
        <f t="shared" si="48"/>
        <v>12</v>
      </c>
      <c r="O80" s="38">
        <f>IFERROR(VLOOKUP($F80,WORKSHEET!$AA$7:$AJ$76,5,FALSE),"-")</f>
        <v>0.5</v>
      </c>
      <c r="P80" s="59">
        <f t="shared" si="49"/>
        <v>0</v>
      </c>
      <c r="Q80" s="11">
        <f>IFERROR(VLOOKUP($F80,WORKSHEET!$AA$7:$AJ$76,6,FALSE),"-")</f>
        <v>0.15217391304347827</v>
      </c>
      <c r="R80" s="63">
        <f t="shared" si="50"/>
        <v>12</v>
      </c>
      <c r="S80" s="15">
        <f>IFERROR(VLOOKUP($F80,WORKSHEET!$AA$7:$AJ$76,7,FALSE),"-")</f>
        <v>0.28888888888888886</v>
      </c>
      <c r="T80" s="59">
        <f t="shared" si="51"/>
        <v>12</v>
      </c>
      <c r="U80" s="62">
        <f>IFERROR(VLOOKUP($F80,WORKSHEET!$AA$7:$AJ$76,8,FALSE),"-")</f>
        <v>1</v>
      </c>
      <c r="V80" s="63">
        <f t="shared" si="52"/>
        <v>12</v>
      </c>
      <c r="W80" s="64" t="str">
        <f>IF(WORKSHEET!W67="","-",WORKSHEET!W67)</f>
        <v>-</v>
      </c>
      <c r="X80" s="59">
        <f t="shared" si="53"/>
        <v>0</v>
      </c>
      <c r="Y80" s="15">
        <f>IFERROR(VLOOKUP($F80,WORKSHEET!$AA$7:$AJ$76,9,FALSE),"-")</f>
        <v>0.71969696969696972</v>
      </c>
      <c r="Z80" s="59">
        <f t="shared" si="54"/>
        <v>4</v>
      </c>
      <c r="AA80" s="62">
        <f>IFERROR(VLOOKUP($F80,WORKSHEET!$AA$7:$AJ$76,10,FALSE),"-")</f>
        <v>0.72602739726027399</v>
      </c>
      <c r="AB80" s="63">
        <f t="shared" si="55"/>
        <v>12</v>
      </c>
      <c r="AC80" s="66">
        <f t="shared" si="36"/>
        <v>85</v>
      </c>
      <c r="AD80" s="70">
        <f t="shared" si="20"/>
        <v>100</v>
      </c>
      <c r="AE80" s="68">
        <f t="shared" si="35"/>
        <v>0.85</v>
      </c>
      <c r="AF80" s="414" t="str">
        <f t="shared" si="37"/>
        <v>Arizona-8</v>
      </c>
      <c r="AG80" s="414" t="str">
        <f t="shared" si="38"/>
        <v>Volkswagen North Scottsdale</v>
      </c>
      <c r="AH80" s="415" t="str">
        <f>IF($B80&gt;KEY!$B$2,"",IFERROR(VLOOKUP($B80,KEY!$A$5:$D$74,4,FALSE),""))</f>
        <v>Arizona</v>
      </c>
      <c r="AI80" s="415">
        <f t="shared" si="56"/>
        <v>8</v>
      </c>
      <c r="AJ80" s="414"/>
      <c r="AK80" s="324"/>
      <c r="AL80" s="322"/>
      <c r="AO80" s="85">
        <f t="shared" si="57"/>
        <v>0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</row>
    <row r="81" spans="1:80" s="1" customFormat="1" x14ac:dyDescent="0.35">
      <c r="A81" s="86"/>
      <c r="B81" s="57">
        <v>62</v>
      </c>
      <c r="C81" s="57">
        <f t="shared" si="44"/>
        <v>48</v>
      </c>
      <c r="D81" s="57">
        <f t="shared" si="18"/>
        <v>48.62</v>
      </c>
      <c r="E81" s="57">
        <f t="shared" si="45"/>
        <v>49</v>
      </c>
      <c r="F81" s="3" t="str">
        <f>IF($B81&gt;KEY!$B$2,"",IFERROR(VLOOKUP($B81,KEY!$A$5:$B$74,2),""))</f>
        <v>Volkswagen South Coast</v>
      </c>
      <c r="G81" s="71">
        <f>IFERROR(VLOOKUP($F81,WORKSHEET!$AA$7:$AJ$76,2,FALSE),"-")</f>
        <v>0.83544303797468356</v>
      </c>
      <c r="H81" s="63">
        <f t="shared" si="46"/>
        <v>5</v>
      </c>
      <c r="I81" s="38">
        <f>IFERROR(VLOOKUP($F81,WORKSHEET!$AA$7:$AJ$76,3,FALSE),"-")</f>
        <v>3</v>
      </c>
      <c r="J81" s="6">
        <f t="shared" si="19"/>
        <v>1</v>
      </c>
      <c r="K81" s="59">
        <f t="shared" si="47"/>
        <v>12</v>
      </c>
      <c r="L81" s="60"/>
      <c r="M81" s="61">
        <f>IFERROR(VLOOKUP($F81,WORKSHEET!$AA$7:$AJ$76,4,FALSE),"-")</f>
        <v>2</v>
      </c>
      <c r="N81" s="63">
        <f t="shared" si="48"/>
        <v>12</v>
      </c>
      <c r="O81" s="38">
        <f>IFERROR(VLOOKUP($F81,WORKSHEET!$AA$7:$AJ$76,5,FALSE),"-")</f>
        <v>0.75</v>
      </c>
      <c r="P81" s="59">
        <f t="shared" si="49"/>
        <v>2</v>
      </c>
      <c r="Q81" s="11">
        <f>IFERROR(VLOOKUP($F81,WORKSHEET!$AA$7:$AJ$76,6,FALSE),"-")</f>
        <v>9.3617021276595741E-2</v>
      </c>
      <c r="R81" s="63">
        <f t="shared" si="50"/>
        <v>6</v>
      </c>
      <c r="S81" s="15">
        <f>IFERROR(VLOOKUP($F81,WORKSHEET!$AA$7:$AJ$76,7,FALSE),"-")</f>
        <v>0.18181818181818182</v>
      </c>
      <c r="T81" s="59">
        <f t="shared" si="51"/>
        <v>8</v>
      </c>
      <c r="U81" s="62">
        <f>IFERROR(VLOOKUP($F81,WORKSHEET!$AA$7:$AJ$76,8,FALSE),"-")</f>
        <v>0.375</v>
      </c>
      <c r="V81" s="63">
        <f t="shared" si="52"/>
        <v>0</v>
      </c>
      <c r="W81" s="64" t="str">
        <f>IF(WORKSHEET!W68="","-",WORKSHEET!W68)</f>
        <v>-</v>
      </c>
      <c r="X81" s="59">
        <f t="shared" si="53"/>
        <v>0</v>
      </c>
      <c r="Y81" s="15">
        <f>IFERROR(VLOOKUP($F81,WORKSHEET!$AA$7:$AJ$76,9,FALSE),"-")</f>
        <v>0.97272727272727277</v>
      </c>
      <c r="Z81" s="59">
        <f t="shared" si="54"/>
        <v>12</v>
      </c>
      <c r="AA81" s="62">
        <f>IFERROR(VLOOKUP($F81,WORKSHEET!$AA$7:$AJ$76,10,FALSE),"-")</f>
        <v>0.78787878787878785</v>
      </c>
      <c r="AB81" s="63">
        <f t="shared" si="55"/>
        <v>12</v>
      </c>
      <c r="AC81" s="66">
        <f t="shared" si="36"/>
        <v>69</v>
      </c>
      <c r="AD81" s="70">
        <f t="shared" si="20"/>
        <v>100</v>
      </c>
      <c r="AE81" s="68">
        <f t="shared" si="35"/>
        <v>0.69</v>
      </c>
      <c r="AF81" s="414" t="str">
        <f t="shared" si="37"/>
        <v>Orange County-9</v>
      </c>
      <c r="AG81" s="414" t="str">
        <f t="shared" si="38"/>
        <v>Volkswagen South Coast</v>
      </c>
      <c r="AH81" s="415" t="str">
        <f>IF($B81&gt;KEY!$B$2,"",IFERROR(VLOOKUP($B81,KEY!$A$5:$D$74,4,FALSE),""))</f>
        <v>Orange County</v>
      </c>
      <c r="AI81" s="415">
        <f t="shared" si="56"/>
        <v>9</v>
      </c>
      <c r="AJ81" s="414"/>
      <c r="AK81" s="324"/>
      <c r="AL81" s="322"/>
      <c r="AO81" s="85">
        <f t="shared" si="57"/>
        <v>0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</row>
    <row r="82" spans="1:80" s="1" customFormat="1" x14ac:dyDescent="0.35">
      <c r="A82" s="86"/>
      <c r="B82" s="57">
        <v>63</v>
      </c>
      <c r="C82" s="57" t="str">
        <f t="shared" si="44"/>
        <v/>
      </c>
      <c r="D82" s="57" t="str">
        <f t="shared" si="18"/>
        <v/>
      </c>
      <c r="E82" s="57" t="str">
        <f t="shared" si="45"/>
        <v/>
      </c>
      <c r="F82" s="3" t="str">
        <f>IF($B82&gt;KEY!$B$2,"",IFERROR(VLOOKUP($B82,KEY!$A$5:$B$74,2),""))</f>
        <v/>
      </c>
      <c r="G82" s="71" t="str">
        <f>IFERROR(VLOOKUP($F82,WORKSHEET!$AA$7:$AJ$76,2,FALSE),"-")</f>
        <v/>
      </c>
      <c r="H82" s="63" t="str">
        <f t="shared" si="46"/>
        <v/>
      </c>
      <c r="I82" s="38" t="str">
        <f>IFERROR(VLOOKUP($F82,WORKSHEET!$AA$7:$AJ$76,3,FALSE),"-")</f>
        <v/>
      </c>
      <c r="J82" s="6" t="str">
        <f t="shared" si="19"/>
        <v/>
      </c>
      <c r="K82" s="59" t="str">
        <f t="shared" si="47"/>
        <v/>
      </c>
      <c r="L82" s="60"/>
      <c r="M82" s="61" t="str">
        <f>IFERROR(VLOOKUP($F82,WORKSHEET!$AA$7:$AJ$76,4,FALSE),"-")</f>
        <v/>
      </c>
      <c r="N82" s="63" t="str">
        <f t="shared" si="48"/>
        <v/>
      </c>
      <c r="O82" s="38" t="str">
        <f>IFERROR(VLOOKUP($F82,WORKSHEET!$AA$7:$AJ$76,5,FALSE),"-")</f>
        <v/>
      </c>
      <c r="P82" s="59" t="str">
        <f t="shared" si="49"/>
        <v/>
      </c>
      <c r="Q82" s="11" t="str">
        <f>IFERROR(VLOOKUP($F82,WORKSHEET!$AA$7:$AJ$76,6,FALSE),"-")</f>
        <v/>
      </c>
      <c r="R82" s="63" t="str">
        <f t="shared" si="50"/>
        <v/>
      </c>
      <c r="S82" s="15" t="str">
        <f>IFERROR(VLOOKUP($F82,WORKSHEET!$AA$7:$AJ$76,7,FALSE),"-")</f>
        <v/>
      </c>
      <c r="T82" s="59" t="str">
        <f t="shared" si="51"/>
        <v/>
      </c>
      <c r="U82" s="62" t="str">
        <f>IFERROR(VLOOKUP($F82,WORKSHEET!$AA$7:$AJ$76,8,FALSE),"-")</f>
        <v/>
      </c>
      <c r="V82" s="63" t="str">
        <f t="shared" si="52"/>
        <v/>
      </c>
      <c r="W82" s="64" t="str">
        <f>IF(WORKSHEET!W69="","-",WORKSHEET!W69)</f>
        <v>-</v>
      </c>
      <c r="X82" s="59">
        <f t="shared" si="53"/>
        <v>0</v>
      </c>
      <c r="Y82" s="15" t="str">
        <f>IFERROR(VLOOKUP($F82,WORKSHEET!$AA$7:$AJ$76,9,FALSE),"-")</f>
        <v/>
      </c>
      <c r="Z82" s="59" t="str">
        <f t="shared" si="54"/>
        <v/>
      </c>
      <c r="AA82" s="62" t="str">
        <f>IFERROR(VLOOKUP($F82,WORKSHEET!$AA$7:$AJ$76,10,FALSE),"-")</f>
        <v/>
      </c>
      <c r="AB82" s="63" t="str">
        <f t="shared" si="55"/>
        <v/>
      </c>
      <c r="AC82" s="66" t="str">
        <f t="shared" si="36"/>
        <v/>
      </c>
      <c r="AD82" s="70" t="str">
        <f t="shared" si="20"/>
        <v/>
      </c>
      <c r="AE82" s="68" t="str">
        <f t="shared" si="35"/>
        <v/>
      </c>
      <c r="AF82" s="414" t="str">
        <f t="shared" si="37"/>
        <v/>
      </c>
      <c r="AG82" s="414" t="str">
        <f t="shared" si="38"/>
        <v/>
      </c>
      <c r="AH82" s="415" t="str">
        <f>IF($B82&gt;KEY!$B$2,"",IFERROR(VLOOKUP($B82,KEY!$A$5:$D$74,4,FALSE),""))</f>
        <v/>
      </c>
      <c r="AI82" s="415" t="str">
        <f t="shared" si="56"/>
        <v/>
      </c>
      <c r="AJ82" s="414"/>
      <c r="AK82" s="324"/>
      <c r="AL82" s="322"/>
      <c r="AO82" s="85">
        <f t="shared" si="57"/>
        <v>0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</row>
    <row r="83" spans="1:80" s="1" customFormat="1" x14ac:dyDescent="0.35">
      <c r="A83" s="86"/>
      <c r="B83" s="57">
        <v>64</v>
      </c>
      <c r="C83" s="57" t="str">
        <f t="shared" si="44"/>
        <v/>
      </c>
      <c r="D83" s="57" t="str">
        <f t="shared" si="18"/>
        <v/>
      </c>
      <c r="E83" s="57" t="str">
        <f t="shared" si="45"/>
        <v/>
      </c>
      <c r="F83" s="3" t="str">
        <f>IF($B83&gt;KEY!$B$2,"",IFERROR(VLOOKUP($B83,KEY!$A$5:$B$74,2),""))</f>
        <v/>
      </c>
      <c r="G83" s="71" t="str">
        <f>IFERROR(VLOOKUP($F83,WORKSHEET!$AA$7:$AJ$76,2,FALSE),"-")</f>
        <v/>
      </c>
      <c r="H83" s="63" t="str">
        <f t="shared" si="46"/>
        <v/>
      </c>
      <c r="I83" s="38" t="str">
        <f>IFERROR(VLOOKUP($F83,WORKSHEET!$AA$7:$AJ$76,3,FALSE),"-")</f>
        <v/>
      </c>
      <c r="J83" s="6" t="str">
        <f t="shared" si="19"/>
        <v/>
      </c>
      <c r="K83" s="59" t="str">
        <f t="shared" si="47"/>
        <v/>
      </c>
      <c r="L83" s="60"/>
      <c r="M83" s="61" t="str">
        <f>IFERROR(VLOOKUP($F83,WORKSHEET!$AA$7:$AJ$76,4,FALSE),"-")</f>
        <v/>
      </c>
      <c r="N83" s="63" t="str">
        <f t="shared" si="48"/>
        <v/>
      </c>
      <c r="O83" s="38" t="str">
        <f>IFERROR(VLOOKUP($F83,WORKSHEET!$AA$7:$AJ$76,5,FALSE),"-")</f>
        <v/>
      </c>
      <c r="P83" s="59" t="str">
        <f t="shared" si="49"/>
        <v/>
      </c>
      <c r="Q83" s="11" t="str">
        <f>IFERROR(VLOOKUP($F83,WORKSHEET!$AA$7:$AJ$76,6,FALSE),"-")</f>
        <v/>
      </c>
      <c r="R83" s="63" t="str">
        <f t="shared" si="50"/>
        <v/>
      </c>
      <c r="S83" s="15" t="str">
        <f>IFERROR(VLOOKUP($F83,WORKSHEET!$AA$7:$AJ$76,7,FALSE),"-")</f>
        <v/>
      </c>
      <c r="T83" s="59" t="str">
        <f t="shared" si="51"/>
        <v/>
      </c>
      <c r="U83" s="62" t="str">
        <f>IFERROR(VLOOKUP($F83,WORKSHEET!$AA$7:$AJ$76,8,FALSE),"-")</f>
        <v/>
      </c>
      <c r="V83" s="63" t="str">
        <f t="shared" si="52"/>
        <v/>
      </c>
      <c r="W83" s="64" t="str">
        <f>IF(WORKSHEET!W70="","-",WORKSHEET!W70)</f>
        <v>-</v>
      </c>
      <c r="X83" s="59">
        <f t="shared" si="53"/>
        <v>0</v>
      </c>
      <c r="Y83" s="15" t="str">
        <f>IFERROR(VLOOKUP($F83,WORKSHEET!$AA$7:$AJ$76,9,FALSE),"-")</f>
        <v/>
      </c>
      <c r="Z83" s="59" t="str">
        <f t="shared" si="54"/>
        <v/>
      </c>
      <c r="AA83" s="62" t="str">
        <f>IFERROR(VLOOKUP($F83,WORKSHEET!$AA$7:$AJ$76,10,FALSE),"-")</f>
        <v/>
      </c>
      <c r="AB83" s="63" t="str">
        <f t="shared" si="55"/>
        <v/>
      </c>
      <c r="AC83" s="66" t="str">
        <f t="shared" si="36"/>
        <v/>
      </c>
      <c r="AD83" s="70" t="str">
        <f t="shared" si="20"/>
        <v/>
      </c>
      <c r="AE83" s="68" t="str">
        <f t="shared" si="35"/>
        <v/>
      </c>
      <c r="AF83" s="414" t="str">
        <f t="shared" si="37"/>
        <v/>
      </c>
      <c r="AG83" s="414" t="str">
        <f t="shared" si="38"/>
        <v/>
      </c>
      <c r="AH83" s="415" t="str">
        <f>IF($B83&gt;KEY!$B$2,"",IFERROR(VLOOKUP($B83,KEY!$A$5:$D$74,4,FALSE),""))</f>
        <v/>
      </c>
      <c r="AI83" s="415" t="str">
        <f t="shared" si="56"/>
        <v/>
      </c>
      <c r="AJ83" s="414"/>
      <c r="AK83" s="324"/>
      <c r="AL83" s="322"/>
      <c r="AO83" s="85">
        <f t="shared" si="57"/>
        <v>0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</row>
    <row r="84" spans="1:80" s="1" customFormat="1" x14ac:dyDescent="0.35">
      <c r="A84" s="86"/>
      <c r="B84" s="57">
        <v>65</v>
      </c>
      <c r="C84" s="57" t="str">
        <f t="shared" si="44"/>
        <v/>
      </c>
      <c r="D84" s="57" t="str">
        <f t="shared" si="18"/>
        <v/>
      </c>
      <c r="E84" s="57" t="str">
        <f t="shared" si="45"/>
        <v/>
      </c>
      <c r="F84" s="3" t="str">
        <f>IF($B84&gt;KEY!$B$2,"",IFERROR(VLOOKUP($B84,KEY!$A$5:$B$74,2),""))</f>
        <v/>
      </c>
      <c r="G84" s="71" t="str">
        <f>IFERROR(VLOOKUP($F84,WORKSHEET!$AA$7:$AJ$76,2,FALSE),"-")</f>
        <v/>
      </c>
      <c r="H84" s="63" t="str">
        <f t="shared" ref="H84:H90" si="58">IF($F84="","",IFERROR((IF(G84&lt;G$122,0,H$122)+IF(G84&lt;G$123,0,H$123)+IF(G84&lt;G$124,0,H$124)+IF(G84&lt;G$125,0,H$125)+IF(G84&lt;G$126,0,H$126)+IF(G84&lt;G$129,0,H$129)+IF(G84&lt;G$128,0,H$128)+IF(G84&lt;G$127,0,H$127)),0))</f>
        <v/>
      </c>
      <c r="I84" s="38" t="str">
        <f>IFERROR(VLOOKUP($F84,WORKSHEET!$AA$7:$AJ$76,3,FALSE),"-")</f>
        <v/>
      </c>
      <c r="J84" s="6" t="str">
        <f t="shared" si="19"/>
        <v/>
      </c>
      <c r="K84" s="59" t="str">
        <f t="shared" ref="K84:K90" si="59">IF($F84="","",IFERROR((IF(J84&lt;J$122,0,K$122)+IF(J84&lt;J$123,0,K$123)+IF(J84&lt;J$124,0,K$124)+IF(J84&lt;J$125,0,K$125)+IF(J84&lt;J$126,0,K$126)+IF(J84&lt;J$129,0,K$129)+IF(J84&lt;J$127,0,K$127)+IF(J84&lt;J$128,0,K$128)),0))</f>
        <v/>
      </c>
      <c r="L84" s="60"/>
      <c r="M84" s="61" t="str">
        <f>IFERROR(VLOOKUP($F84,WORKSHEET!$AA$7:$AJ$76,4,FALSE),"-")</f>
        <v/>
      </c>
      <c r="N84" s="63" t="str">
        <f t="shared" ref="N84:N90" si="60">IF($F84="","",IFERROR((IF(M84&lt;M$122,0,N$122)+IF(M84&lt;M$123,0,N$123)+IF(M84&lt;M$124,0,N$124)+IF(M84&lt;M$125,0,N$125)+IF(M84&lt;M$126,0,N$126)+IF(M84&lt;M$129,0,N$129)+IF(M84&lt;M$128,0,N$128)+IF(M84&lt;M$127,0,N$127)),0))</f>
        <v/>
      </c>
      <c r="O84" s="38" t="str">
        <f>IFERROR(VLOOKUP($F84,WORKSHEET!$AA$7:$AJ$76,5,FALSE),"-")</f>
        <v/>
      </c>
      <c r="P84" s="59" t="str">
        <f t="shared" ref="P84:P90" si="61">IF($F84="","",IFERROR((IF(O84&lt;O$122,0,P$122)+IF(O84&lt;O$123,0,P$123)+IF(O84&lt;O$124,0,P$124)+IF(O84&lt;O$125,0,P$125)+IF(O84&lt;O$126,0,P$126)+IF(O84&lt;O$129,0,P$129)+IF(O84&lt;O$128,0,P$128)+IF(O84&lt;O$127,0,P$127)),0))</f>
        <v/>
      </c>
      <c r="Q84" s="11" t="str">
        <f>IFERROR(VLOOKUP($F84,WORKSHEET!$AA$7:$AJ$76,6,FALSE),"-")</f>
        <v/>
      </c>
      <c r="R84" s="63" t="str">
        <f t="shared" ref="R84:R90" si="62">IF($F84="","",IFERROR((IF(Q84&lt;Q$122,0,R$122)+IF(Q84&lt;Q$123,0,R$123)+IF(Q84&lt;Q$124,0,R$124)+IF(Q84&lt;Q$125,0,R$125)+IF(Q84&lt;Q$126,0,R$126)+IF(Q84&lt;Q$129,0,R$129)+IF(Q84&lt;Q$128,0,R$128)+IF(Q84&lt;Q$127,0,R$127)),0))</f>
        <v/>
      </c>
      <c r="S84" s="15" t="str">
        <f>IFERROR(VLOOKUP($F84,WORKSHEET!$AA$7:$AJ$76,7,FALSE),"-")</f>
        <v/>
      </c>
      <c r="T84" s="59" t="str">
        <f t="shared" ref="T84:T90" si="63">IF($F84="","",IFERROR((IF(S84&lt;S$122,0,T$122)+IF(S84&lt;S$123,0,T$123)+IF(S84&lt;S$124,0,T$124)+IF(S84&lt;S$125,0,T$125)+IF(S84&lt;S$126,0,T$126)+IF(S84&lt;S$129,0,T$129)+IF(S84&lt;S$128,0,T$128)+IF(S84&lt;S$127,0,T$127)),0))</f>
        <v/>
      </c>
      <c r="U84" s="62" t="str">
        <f>IFERROR(VLOOKUP($F84,WORKSHEET!$AA$7:$AJ$76,8,FALSE),"-")</f>
        <v/>
      </c>
      <c r="V84" s="63" t="str">
        <f t="shared" ref="V84:V90" si="64">IF($F84="","",IFERROR((IF(U84&lt;U$122,0,V$122)+IF(U84&lt;U$123,0,V$123)+IF(U84&lt;U$124,0,V$124)+IF(U84&lt;U$125,0,V$125)+IF(U84&lt;U$126,0,V$126)+IF(U84&lt;U$129,0,V$129)+IF(U84&lt;U$128,0,V$128)+IF(U84&lt;U$127,0,V$127)),0))</f>
        <v/>
      </c>
      <c r="W84" s="64" t="str">
        <f>IF(WORKSHEET!W71="","-",WORKSHEET!W71)</f>
        <v>-</v>
      </c>
      <c r="X84" s="59">
        <f t="shared" ref="X84:X90" si="65">IFERROR((IF(W84&lt;W$122,0,X$122)+IF(W84&lt;W$123,0,X$123)+IF(W84&lt;W$124,0,X$124)+IF(W84&lt;W$125,0,X$125)+IF(W84&lt;W$126,0,X$126)+IF(W84&lt;W$129,0,X$129)+IF(W84&lt;W$128,0,X$128)+IF(W84&lt;W$127,0,X$127)),0)</f>
        <v>0</v>
      </c>
      <c r="Y84" s="15" t="str">
        <f>IFERROR(VLOOKUP($F84,WORKSHEET!$AA$7:$AJ$76,9,FALSE),"-")</f>
        <v/>
      </c>
      <c r="Z84" s="59" t="str">
        <f t="shared" ref="Z84:Z90" si="66">IF($F84="","",IFERROR((IF(Y84&lt;Y$122,0,Z$122)+IF(Y84&lt;Y$123,0,Z$123)+IF(Y84&lt;Y$124,0,Z$124)+IF(Y84&lt;Y$125,0,Z$125)+IF(Y84&lt;Y$126,0,Z$126)+IF(Y84&lt;Y$129,0,Z$129)+IF(Y84&lt;Y$128,0,Z$128)+IF(Y84&lt;Y$127,0,Z$127)),0))</f>
        <v/>
      </c>
      <c r="AA84" s="62" t="str">
        <f>IFERROR(VLOOKUP($F84,WORKSHEET!$AA$7:$AJ$76,10,FALSE),"-")</f>
        <v/>
      </c>
      <c r="AB84" s="63" t="str">
        <f t="shared" ref="AB84:AB90" si="67">IF($F84="","",IFERROR((IF(AA84&lt;AA$122,0,AB$122)+IF(AA84&lt;AA$123,0,AB$123)+IF(AA84&lt;AA$124,0,AB$124)+IF(AA84&lt;AA$125,0,AB$125)+IF(AA84&lt;AA$126,0,AB$126)+IF(AA84&lt;AA$129,0,AB$129)+IF(AA84&lt;AA$128,0,AB$128)+IF(AA84&lt;AA$127,0,AB$127)),0))</f>
        <v/>
      </c>
      <c r="AC84" s="66" t="str">
        <f t="shared" ref="AC84:AC90" si="68">IF($F84="","",(H84+R84+T84+V84+N84+Z84+AB84+P84+K84))</f>
        <v/>
      </c>
      <c r="AD84" s="70" t="str">
        <f t="shared" si="20"/>
        <v/>
      </c>
      <c r="AE84" s="68" t="str">
        <f t="shared" si="35"/>
        <v/>
      </c>
      <c r="AF84" s="414" t="str">
        <f t="shared" ref="AF84:AF90" si="69">IF(F84="","",AH84&amp;"-"&amp;AI84)</f>
        <v/>
      </c>
      <c r="AG84" s="414" t="str">
        <f t="shared" ref="AG84:AG90" si="70">IF(F84="","",F84)</f>
        <v/>
      </c>
      <c r="AH84" s="415" t="str">
        <f>IF($B84&gt;KEY!$B$2,"",IFERROR(VLOOKUP($B84,KEY!$A$5:$D$74,4,FALSE),""))</f>
        <v/>
      </c>
      <c r="AI84" s="415" t="str">
        <f t="shared" si="56"/>
        <v/>
      </c>
      <c r="AJ84" s="414"/>
      <c r="AK84" s="324"/>
      <c r="AL84" s="322"/>
      <c r="AO84" s="85">
        <f t="shared" ref="AO84:AO90" si="71">SUMIFS($G$130:$AB$130,$F84:$AA84,"N/A")</f>
        <v>0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</row>
    <row r="85" spans="1:80" s="1" customFormat="1" x14ac:dyDescent="0.35">
      <c r="A85" s="86"/>
      <c r="B85" s="57"/>
      <c r="C85" s="57" t="str">
        <f t="shared" si="44"/>
        <v/>
      </c>
      <c r="D85" s="57" t="str">
        <f t="shared" ref="D85:D90" si="72">IF($F85="","",C85+(B85/100))</f>
        <v/>
      </c>
      <c r="E85" s="57" t="str">
        <f t="shared" si="45"/>
        <v/>
      </c>
      <c r="F85" s="3" t="str">
        <f>IF($B85&gt;KEY!$B$2,"",IFERROR(VLOOKUP($B85,KEY!$A$5:$B$74,2),""))</f>
        <v/>
      </c>
      <c r="G85" s="71" t="str">
        <f>IFERROR(VLOOKUP($F85,WORKSHEET!$AA$7:$AJ$76,2,FALSE),"-")</f>
        <v/>
      </c>
      <c r="H85" s="63" t="str">
        <f t="shared" si="58"/>
        <v/>
      </c>
      <c r="I85" s="38" t="str">
        <f>IFERROR(VLOOKUP($F85,WORKSHEET!$AA$7:$AJ$76,3,FALSE),"-")</f>
        <v/>
      </c>
      <c r="J85" s="6" t="str">
        <f t="shared" ref="J85:J90" si="73">IF($F85="","",IFERROR($I85/3,"N/A"))</f>
        <v/>
      </c>
      <c r="K85" s="59" t="str">
        <f t="shared" si="59"/>
        <v/>
      </c>
      <c r="L85" s="60"/>
      <c r="M85" s="61" t="str">
        <f>IFERROR(VLOOKUP($F85,WORKSHEET!$AA$7:$AJ$76,4,FALSE),"-")</f>
        <v/>
      </c>
      <c r="N85" s="63" t="str">
        <f t="shared" si="60"/>
        <v/>
      </c>
      <c r="O85" s="38" t="str">
        <f>IFERROR(VLOOKUP($F85,WORKSHEET!$AA$7:$AJ$76,5,FALSE),"-")</f>
        <v/>
      </c>
      <c r="P85" s="59" t="str">
        <f t="shared" si="61"/>
        <v/>
      </c>
      <c r="Q85" s="11" t="str">
        <f>IFERROR(VLOOKUP($F85,WORKSHEET!$AA$7:$AJ$76,6,FALSE),"-")</f>
        <v/>
      </c>
      <c r="R85" s="63" t="str">
        <f t="shared" si="62"/>
        <v/>
      </c>
      <c r="S85" s="15" t="str">
        <f>IFERROR(VLOOKUP($F85,WORKSHEET!$AA$7:$AJ$76,7,FALSE),"-")</f>
        <v/>
      </c>
      <c r="T85" s="59" t="str">
        <f t="shared" si="63"/>
        <v/>
      </c>
      <c r="U85" s="62" t="str">
        <f>IFERROR(VLOOKUP($F85,WORKSHEET!$AA$7:$AJ$76,8,FALSE),"-")</f>
        <v/>
      </c>
      <c r="V85" s="63" t="str">
        <f t="shared" si="64"/>
        <v/>
      </c>
      <c r="W85" s="64" t="str">
        <f>IF(WORKSHEET!W72="","-",WORKSHEET!W72)</f>
        <v>-</v>
      </c>
      <c r="X85" s="59">
        <f t="shared" si="65"/>
        <v>0</v>
      </c>
      <c r="Y85" s="15" t="str">
        <f>IFERROR(VLOOKUP($F85,WORKSHEET!$AA$7:$AJ$76,9,FALSE),"-")</f>
        <v/>
      </c>
      <c r="Z85" s="59" t="str">
        <f t="shared" si="66"/>
        <v/>
      </c>
      <c r="AA85" s="62" t="str">
        <f>IFERROR(VLOOKUP($F85,WORKSHEET!$AA$7:$AJ$76,10,FALSE),"-")</f>
        <v/>
      </c>
      <c r="AB85" s="63" t="str">
        <f t="shared" si="67"/>
        <v/>
      </c>
      <c r="AC85" s="66" t="str">
        <f t="shared" si="68"/>
        <v/>
      </c>
      <c r="AD85" s="70" t="str">
        <f t="shared" ref="AD85:AD90" si="74">IF($F85="","",100-AO85)</f>
        <v/>
      </c>
      <c r="AE85" s="68" t="str">
        <f t="shared" si="35"/>
        <v/>
      </c>
      <c r="AF85" s="414" t="str">
        <f t="shared" si="69"/>
        <v/>
      </c>
      <c r="AG85" s="414" t="str">
        <f t="shared" si="70"/>
        <v/>
      </c>
      <c r="AH85" s="415" t="str">
        <f>IF($B85&gt;KEY!$B$2,"",IFERROR(VLOOKUP($B85,KEY!$A$5:$D$74,4,FALSE),""))</f>
        <v/>
      </c>
      <c r="AI85" s="415" t="str">
        <f t="shared" si="56"/>
        <v/>
      </c>
      <c r="AJ85" s="414"/>
      <c r="AK85" s="324"/>
      <c r="AL85" s="322"/>
      <c r="AO85" s="85">
        <f t="shared" si="71"/>
        <v>0</v>
      </c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</row>
    <row r="86" spans="1:80" s="1" customFormat="1" x14ac:dyDescent="0.35">
      <c r="A86" s="86"/>
      <c r="B86" s="57">
        <v>67</v>
      </c>
      <c r="C86" s="57" t="str">
        <f t="shared" si="44"/>
        <v/>
      </c>
      <c r="D86" s="57" t="str">
        <f t="shared" si="72"/>
        <v/>
      </c>
      <c r="E86" s="57" t="str">
        <f t="shared" si="45"/>
        <v/>
      </c>
      <c r="F86" s="3" t="str">
        <f>IF($B86&gt;KEY!$B$2,"",IFERROR(VLOOKUP($B86,KEY!$A$5:$B$74,2),""))</f>
        <v/>
      </c>
      <c r="G86" s="71" t="str">
        <f>IFERROR(VLOOKUP($F86,WORKSHEET!$AA$7:$AJ$76,2,FALSE),"-")</f>
        <v/>
      </c>
      <c r="H86" s="63" t="str">
        <f t="shared" si="58"/>
        <v/>
      </c>
      <c r="I86" s="38" t="str">
        <f>IFERROR(VLOOKUP($F86,WORKSHEET!$AA$7:$AJ$76,3,FALSE),"-")</f>
        <v/>
      </c>
      <c r="J86" s="6" t="str">
        <f t="shared" si="73"/>
        <v/>
      </c>
      <c r="K86" s="59" t="str">
        <f t="shared" si="59"/>
        <v/>
      </c>
      <c r="L86" s="60"/>
      <c r="M86" s="61" t="str">
        <f>IFERROR(VLOOKUP($F86,WORKSHEET!$AA$7:$AJ$76,4,FALSE),"-")</f>
        <v/>
      </c>
      <c r="N86" s="63" t="str">
        <f t="shared" si="60"/>
        <v/>
      </c>
      <c r="O86" s="38" t="str">
        <f>IFERROR(VLOOKUP($F86,WORKSHEET!$AA$7:$AJ$76,5,FALSE),"-")</f>
        <v/>
      </c>
      <c r="P86" s="59" t="str">
        <f t="shared" si="61"/>
        <v/>
      </c>
      <c r="Q86" s="11" t="str">
        <f>IFERROR(VLOOKUP($F86,WORKSHEET!$AA$7:$AJ$76,6,FALSE),"-")</f>
        <v/>
      </c>
      <c r="R86" s="63" t="str">
        <f t="shared" si="62"/>
        <v/>
      </c>
      <c r="S86" s="15" t="str">
        <f>IFERROR(VLOOKUP($F86,WORKSHEET!$AA$7:$AJ$76,7,FALSE),"-")</f>
        <v/>
      </c>
      <c r="T86" s="59" t="str">
        <f t="shared" si="63"/>
        <v/>
      </c>
      <c r="U86" s="62" t="str">
        <f>IFERROR(VLOOKUP($F86,WORKSHEET!$AA$7:$AJ$76,8,FALSE),"-")</f>
        <v/>
      </c>
      <c r="V86" s="63" t="str">
        <f t="shared" si="64"/>
        <v/>
      </c>
      <c r="W86" s="64" t="str">
        <f>IF(WORKSHEET!W73="","-",WORKSHEET!W73)</f>
        <v>-</v>
      </c>
      <c r="X86" s="59">
        <f t="shared" si="65"/>
        <v>0</v>
      </c>
      <c r="Y86" s="15" t="str">
        <f>IFERROR(VLOOKUP($F86,WORKSHEET!$AA$7:$AJ$76,9,FALSE),"-")</f>
        <v/>
      </c>
      <c r="Z86" s="59" t="str">
        <f t="shared" si="66"/>
        <v/>
      </c>
      <c r="AA86" s="62" t="str">
        <f>IFERROR(VLOOKUP($F86,WORKSHEET!$AA$7:$AJ$76,10,FALSE),"-")</f>
        <v/>
      </c>
      <c r="AB86" s="63" t="str">
        <f t="shared" si="67"/>
        <v/>
      </c>
      <c r="AC86" s="66" t="str">
        <f t="shared" si="68"/>
        <v/>
      </c>
      <c r="AD86" s="70" t="str">
        <f t="shared" si="74"/>
        <v/>
      </c>
      <c r="AE86" s="68" t="str">
        <f t="shared" ref="AE86:AE90" si="75">IF($F86="","",AC86/AD86)</f>
        <v/>
      </c>
      <c r="AF86" s="414" t="str">
        <f t="shared" si="69"/>
        <v/>
      </c>
      <c r="AG86" s="414" t="str">
        <f t="shared" si="70"/>
        <v/>
      </c>
      <c r="AH86" s="415" t="str">
        <f>IF($B86&gt;KEY!$B$2,"",IFERROR(VLOOKUP($B86,KEY!$A$5:$D$74,4,FALSE),""))</f>
        <v/>
      </c>
      <c r="AI86" s="415" t="str">
        <f t="shared" si="56"/>
        <v/>
      </c>
      <c r="AJ86" s="414"/>
      <c r="AK86" s="324"/>
      <c r="AL86" s="322"/>
      <c r="AO86" s="85">
        <f t="shared" si="71"/>
        <v>0</v>
      </c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</row>
    <row r="87" spans="1:80" s="1" customFormat="1" ht="17.149999999999999" customHeight="1" x14ac:dyDescent="0.35">
      <c r="A87" s="86"/>
      <c r="B87" s="57">
        <v>68</v>
      </c>
      <c r="C87" s="57" t="str">
        <f t="shared" si="44"/>
        <v/>
      </c>
      <c r="D87" s="57" t="str">
        <f t="shared" si="72"/>
        <v/>
      </c>
      <c r="E87" s="57" t="str">
        <f t="shared" si="45"/>
        <v/>
      </c>
      <c r="F87" s="3" t="str">
        <f>IF($B87&gt;KEY!$B$2,"",IFERROR(VLOOKUP($B87,KEY!$A$5:$B$74,2),""))</f>
        <v/>
      </c>
      <c r="G87" s="71" t="str">
        <f>IFERROR(VLOOKUP($F87,WORKSHEET!$AA$7:$AJ$76,2,FALSE),"-")</f>
        <v/>
      </c>
      <c r="H87" s="63" t="str">
        <f t="shared" si="58"/>
        <v/>
      </c>
      <c r="I87" s="38" t="str">
        <f>IFERROR(VLOOKUP($F87,WORKSHEET!$AA$7:$AJ$76,3,FALSE),"-")</f>
        <v/>
      </c>
      <c r="J87" s="6" t="str">
        <f t="shared" si="73"/>
        <v/>
      </c>
      <c r="K87" s="59" t="str">
        <f t="shared" si="59"/>
        <v/>
      </c>
      <c r="L87" s="60"/>
      <c r="M87" s="61" t="str">
        <f>IFERROR(VLOOKUP($F87,WORKSHEET!$AA$7:$AJ$76,4,FALSE),"-")</f>
        <v/>
      </c>
      <c r="N87" s="63" t="str">
        <f t="shared" si="60"/>
        <v/>
      </c>
      <c r="O87" s="38" t="str">
        <f>IFERROR(VLOOKUP($F87,WORKSHEET!$AA$7:$AJ$76,5,FALSE),"-")</f>
        <v/>
      </c>
      <c r="P87" s="59" t="str">
        <f t="shared" si="61"/>
        <v/>
      </c>
      <c r="Q87" s="11" t="str">
        <f>IFERROR(VLOOKUP($F87,WORKSHEET!$AA$7:$AJ$76,6,FALSE),"-")</f>
        <v/>
      </c>
      <c r="R87" s="63" t="str">
        <f t="shared" si="62"/>
        <v/>
      </c>
      <c r="S87" s="15" t="str">
        <f>IFERROR(VLOOKUP($F87,WORKSHEET!$AA$7:$AJ$76,7,FALSE),"-")</f>
        <v/>
      </c>
      <c r="T87" s="59" t="str">
        <f t="shared" si="63"/>
        <v/>
      </c>
      <c r="U87" s="62" t="str">
        <f>IFERROR(VLOOKUP($F87,WORKSHEET!$AA$7:$AJ$76,8,FALSE),"-")</f>
        <v/>
      </c>
      <c r="V87" s="63" t="str">
        <f t="shared" si="64"/>
        <v/>
      </c>
      <c r="W87" s="64" t="str">
        <f>IF(WORKSHEET!W74="","-",WORKSHEET!W74)</f>
        <v>-</v>
      </c>
      <c r="X87" s="59">
        <f t="shared" si="65"/>
        <v>0</v>
      </c>
      <c r="Y87" s="15" t="str">
        <f>IFERROR(VLOOKUP($F87,WORKSHEET!$AA$7:$AJ$76,9,FALSE),"-")</f>
        <v/>
      </c>
      <c r="Z87" s="59" t="str">
        <f t="shared" si="66"/>
        <v/>
      </c>
      <c r="AA87" s="62" t="str">
        <f>IFERROR(VLOOKUP($F87,WORKSHEET!$AA$7:$AJ$76,10,FALSE),"-")</f>
        <v/>
      </c>
      <c r="AB87" s="63" t="str">
        <f t="shared" si="67"/>
        <v/>
      </c>
      <c r="AC87" s="66" t="str">
        <f t="shared" si="68"/>
        <v/>
      </c>
      <c r="AD87" s="70" t="str">
        <f t="shared" si="74"/>
        <v/>
      </c>
      <c r="AE87" s="68" t="str">
        <f t="shared" si="75"/>
        <v/>
      </c>
      <c r="AF87" s="414" t="str">
        <f t="shared" si="69"/>
        <v/>
      </c>
      <c r="AG87" s="414" t="str">
        <f t="shared" si="70"/>
        <v/>
      </c>
      <c r="AH87" s="415" t="str">
        <f>IF($B87&gt;KEY!$B$2,"",IFERROR(VLOOKUP($B87,KEY!$A$5:$D$74,4,FALSE),""))</f>
        <v/>
      </c>
      <c r="AI87" s="415" t="str">
        <f t="shared" si="56"/>
        <v/>
      </c>
      <c r="AJ87" s="414"/>
      <c r="AK87" s="324"/>
      <c r="AL87" s="322"/>
      <c r="AO87" s="85">
        <f t="shared" si="71"/>
        <v>0</v>
      </c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</row>
    <row r="88" spans="1:80" s="1" customFormat="1" ht="17.149999999999999" customHeight="1" x14ac:dyDescent="0.35">
      <c r="A88" s="86"/>
      <c r="B88" s="57">
        <v>69</v>
      </c>
      <c r="C88" s="57" t="str">
        <f t="shared" si="44"/>
        <v/>
      </c>
      <c r="D88" s="57" t="str">
        <f t="shared" si="72"/>
        <v/>
      </c>
      <c r="E88" s="57" t="str">
        <f t="shared" si="45"/>
        <v/>
      </c>
      <c r="F88" s="3" t="str">
        <f>IF($B88&gt;KEY!$B$2,"",IFERROR(VLOOKUP($B88,KEY!$A$5:$B$74,2),""))</f>
        <v/>
      </c>
      <c r="G88" s="71" t="str">
        <f>IFERROR(VLOOKUP($F88,WORKSHEET!$AA$7:$AJ$76,2,FALSE),"-")</f>
        <v/>
      </c>
      <c r="H88" s="63" t="str">
        <f t="shared" si="58"/>
        <v/>
      </c>
      <c r="I88" s="38" t="str">
        <f>IFERROR(VLOOKUP($F88,WORKSHEET!$AA$7:$AJ$76,3,FALSE),"-")</f>
        <v/>
      </c>
      <c r="J88" s="6" t="str">
        <f t="shared" si="73"/>
        <v/>
      </c>
      <c r="K88" s="59" t="str">
        <f t="shared" si="59"/>
        <v/>
      </c>
      <c r="L88" s="60"/>
      <c r="M88" s="61" t="str">
        <f>IFERROR(VLOOKUP($F88,WORKSHEET!$AA$7:$AJ$76,4,FALSE),"-")</f>
        <v/>
      </c>
      <c r="N88" s="63" t="str">
        <f t="shared" si="60"/>
        <v/>
      </c>
      <c r="O88" s="38" t="str">
        <f>IFERROR(VLOOKUP($F88,WORKSHEET!$AA$7:$AJ$76,5,FALSE),"-")</f>
        <v/>
      </c>
      <c r="P88" s="59" t="str">
        <f t="shared" si="61"/>
        <v/>
      </c>
      <c r="Q88" s="11" t="str">
        <f>IFERROR(VLOOKUP($F88,WORKSHEET!$AA$7:$AJ$76,6,FALSE),"-")</f>
        <v/>
      </c>
      <c r="R88" s="63" t="str">
        <f t="shared" si="62"/>
        <v/>
      </c>
      <c r="S88" s="15" t="str">
        <f>IFERROR(VLOOKUP($F88,WORKSHEET!$AA$7:$AJ$76,7,FALSE),"-")</f>
        <v/>
      </c>
      <c r="T88" s="59" t="str">
        <f t="shared" si="63"/>
        <v/>
      </c>
      <c r="U88" s="62" t="str">
        <f>IFERROR(VLOOKUP($F88,WORKSHEET!$AA$7:$AJ$76,8,FALSE),"-")</f>
        <v/>
      </c>
      <c r="V88" s="63" t="str">
        <f t="shared" si="64"/>
        <v/>
      </c>
      <c r="W88" s="64" t="str">
        <f>IF(WORKSHEET!W75="","-",WORKSHEET!W75)</f>
        <v>-</v>
      </c>
      <c r="X88" s="59">
        <f t="shared" si="65"/>
        <v>0</v>
      </c>
      <c r="Y88" s="15" t="str">
        <f>IFERROR(VLOOKUP($F88,WORKSHEET!$AA$7:$AJ$76,9,FALSE),"-")</f>
        <v/>
      </c>
      <c r="Z88" s="59" t="str">
        <f t="shared" si="66"/>
        <v/>
      </c>
      <c r="AA88" s="62" t="str">
        <f>IFERROR(VLOOKUP($F88,WORKSHEET!$AA$7:$AJ$76,10,FALSE),"-")</f>
        <v/>
      </c>
      <c r="AB88" s="63" t="str">
        <f t="shared" si="67"/>
        <v/>
      </c>
      <c r="AC88" s="66" t="str">
        <f t="shared" si="68"/>
        <v/>
      </c>
      <c r="AD88" s="70" t="str">
        <f t="shared" si="74"/>
        <v/>
      </c>
      <c r="AE88" s="68" t="str">
        <f t="shared" si="75"/>
        <v/>
      </c>
      <c r="AF88" s="414" t="str">
        <f t="shared" si="69"/>
        <v/>
      </c>
      <c r="AG88" s="414" t="str">
        <f t="shared" si="70"/>
        <v/>
      </c>
      <c r="AH88" s="415" t="str">
        <f>IF($B88&gt;KEY!$B$2,"",IFERROR(VLOOKUP($B88,KEY!$A$5:$D$74,4,FALSE),""))</f>
        <v/>
      </c>
      <c r="AI88" s="415" t="str">
        <f t="shared" si="56"/>
        <v/>
      </c>
      <c r="AJ88" s="414"/>
      <c r="AK88" s="324"/>
      <c r="AL88" s="322"/>
      <c r="AO88" s="85">
        <f t="shared" si="71"/>
        <v>0</v>
      </c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1:80" s="1" customFormat="1" ht="17.149999999999999" customHeight="1" x14ac:dyDescent="0.35">
      <c r="A89" s="86"/>
      <c r="B89" s="57">
        <v>70</v>
      </c>
      <c r="C89" s="57" t="str">
        <f t="shared" si="44"/>
        <v/>
      </c>
      <c r="D89" s="57" t="str">
        <f t="shared" si="72"/>
        <v/>
      </c>
      <c r="E89" s="57" t="str">
        <f t="shared" si="45"/>
        <v/>
      </c>
      <c r="F89" s="3" t="str">
        <f>IF($B89&gt;KEY!$B$2,"",IFERROR(VLOOKUP($B89,KEY!$A$5:$B$74,2),""))</f>
        <v/>
      </c>
      <c r="G89" s="71" t="str">
        <f>IFERROR(VLOOKUP($F89,WORKSHEET!$AA$7:$AJ$76,2,FALSE),"-")</f>
        <v/>
      </c>
      <c r="H89" s="63" t="str">
        <f t="shared" si="58"/>
        <v/>
      </c>
      <c r="I89" s="38" t="str">
        <f>IFERROR(VLOOKUP($F89,WORKSHEET!$AA$7:$AJ$76,3,FALSE),"-")</f>
        <v/>
      </c>
      <c r="J89" s="6" t="str">
        <f t="shared" si="73"/>
        <v/>
      </c>
      <c r="K89" s="59" t="str">
        <f t="shared" si="59"/>
        <v/>
      </c>
      <c r="L89" s="60"/>
      <c r="M89" s="61" t="str">
        <f>IFERROR(VLOOKUP($F89,WORKSHEET!$AA$7:$AJ$76,4,FALSE),"-")</f>
        <v/>
      </c>
      <c r="N89" s="63" t="str">
        <f t="shared" si="60"/>
        <v/>
      </c>
      <c r="O89" s="38" t="str">
        <f>IFERROR(VLOOKUP($F89,WORKSHEET!$AA$7:$AJ$76,5,FALSE),"-")</f>
        <v/>
      </c>
      <c r="P89" s="59" t="str">
        <f t="shared" si="61"/>
        <v/>
      </c>
      <c r="Q89" s="11" t="str">
        <f>IFERROR(VLOOKUP($F89,WORKSHEET!$AA$7:$AJ$76,6,FALSE),"-")</f>
        <v/>
      </c>
      <c r="R89" s="63" t="str">
        <f t="shared" si="62"/>
        <v/>
      </c>
      <c r="S89" s="15" t="str">
        <f>IFERROR(VLOOKUP($F89,WORKSHEET!$AA$7:$AJ$76,7,FALSE),"-")</f>
        <v/>
      </c>
      <c r="T89" s="59" t="str">
        <f t="shared" si="63"/>
        <v/>
      </c>
      <c r="U89" s="62" t="str">
        <f>IFERROR(VLOOKUP($F89,WORKSHEET!$AA$7:$AJ$76,8,FALSE),"-")</f>
        <v/>
      </c>
      <c r="V89" s="63" t="str">
        <f t="shared" si="64"/>
        <v/>
      </c>
      <c r="W89" s="64" t="str">
        <f>IF(WORKSHEET!W76="","-",WORKSHEET!W76)</f>
        <v>-</v>
      </c>
      <c r="X89" s="59">
        <f t="shared" si="65"/>
        <v>0</v>
      </c>
      <c r="Y89" s="15" t="str">
        <f>IFERROR(VLOOKUP($F89,WORKSHEET!$AA$7:$AJ$76,9,FALSE),"-")</f>
        <v/>
      </c>
      <c r="Z89" s="59" t="str">
        <f t="shared" si="66"/>
        <v/>
      </c>
      <c r="AA89" s="62" t="str">
        <f>IFERROR(VLOOKUP($F89,WORKSHEET!$AA$7:$AJ$76,10,FALSE),"-")</f>
        <v/>
      </c>
      <c r="AB89" s="63" t="str">
        <f t="shared" si="67"/>
        <v/>
      </c>
      <c r="AC89" s="66" t="str">
        <f t="shared" si="68"/>
        <v/>
      </c>
      <c r="AD89" s="70" t="str">
        <f t="shared" si="74"/>
        <v/>
      </c>
      <c r="AE89" s="68" t="str">
        <f t="shared" si="75"/>
        <v/>
      </c>
      <c r="AF89" s="414" t="str">
        <f t="shared" si="69"/>
        <v/>
      </c>
      <c r="AG89" s="414" t="str">
        <f t="shared" si="70"/>
        <v/>
      </c>
      <c r="AH89" s="415" t="str">
        <f>IF($B89&gt;KEY!$B$2,"",IFERROR(VLOOKUP($B89,KEY!$A$5:$D$74,4,FALSE),""))</f>
        <v/>
      </c>
      <c r="AI89" s="415" t="str">
        <f t="shared" si="56"/>
        <v/>
      </c>
      <c r="AJ89" s="414"/>
      <c r="AK89" s="324"/>
      <c r="AL89" s="322"/>
      <c r="AO89" s="85">
        <f t="shared" si="71"/>
        <v>0</v>
      </c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</row>
    <row r="90" spans="1:80" s="1" customFormat="1" ht="17.149999999999999" customHeight="1" x14ac:dyDescent="0.35">
      <c r="A90" s="86"/>
      <c r="B90" s="57"/>
      <c r="C90" s="57" t="str">
        <f t="shared" si="44"/>
        <v/>
      </c>
      <c r="D90" s="57" t="str">
        <f t="shared" si="72"/>
        <v/>
      </c>
      <c r="E90" s="57" t="str">
        <f t="shared" si="45"/>
        <v/>
      </c>
      <c r="F90" s="3" t="str">
        <f>IF($B90&gt;KEY!$B$2,"",IFERROR(VLOOKUP($B90,KEY!$A$5:$B$74,2),""))</f>
        <v/>
      </c>
      <c r="G90" s="71" t="str">
        <f>IFERROR(VLOOKUP($F90,WORKSHEET!$AA$7:$AJ$76,2,FALSE),"-")</f>
        <v/>
      </c>
      <c r="H90" s="63" t="str">
        <f t="shared" si="58"/>
        <v/>
      </c>
      <c r="I90" s="38" t="str">
        <f>IFERROR(VLOOKUP($F90,WORKSHEET!$AA$7:$AJ$76,3,FALSE),"-")</f>
        <v/>
      </c>
      <c r="J90" s="6" t="str">
        <f t="shared" si="73"/>
        <v/>
      </c>
      <c r="K90" s="59" t="str">
        <f t="shared" si="59"/>
        <v/>
      </c>
      <c r="L90" s="60"/>
      <c r="M90" s="61" t="str">
        <f>IFERROR(VLOOKUP($F90,WORKSHEET!$AA$7:$AJ$76,4,FALSE),"-")</f>
        <v/>
      </c>
      <c r="N90" s="63" t="str">
        <f t="shared" si="60"/>
        <v/>
      </c>
      <c r="O90" s="38" t="str">
        <f>IFERROR(VLOOKUP($F90,WORKSHEET!$AA$7:$AJ$76,5,FALSE),"-")</f>
        <v/>
      </c>
      <c r="P90" s="59" t="str">
        <f t="shared" si="61"/>
        <v/>
      </c>
      <c r="Q90" s="11" t="str">
        <f>IFERROR(VLOOKUP($F90,WORKSHEET!$AA$7:$AJ$76,6,FALSE),"-")</f>
        <v/>
      </c>
      <c r="R90" s="63" t="str">
        <f t="shared" si="62"/>
        <v/>
      </c>
      <c r="S90" s="15" t="str">
        <f>IFERROR(VLOOKUP($F90,WORKSHEET!$AA$7:$AJ$76,7,FALSE),"-")</f>
        <v/>
      </c>
      <c r="T90" s="59" t="str">
        <f t="shared" si="63"/>
        <v/>
      </c>
      <c r="U90" s="62" t="str">
        <f>IFERROR(VLOOKUP($F90,WORKSHEET!$AA$7:$AJ$76,8,FALSE),"-")</f>
        <v/>
      </c>
      <c r="V90" s="63" t="str">
        <f t="shared" si="64"/>
        <v/>
      </c>
      <c r="W90" s="64" t="str">
        <f>IF(WORKSHEET!W77="","-",WORKSHEET!W77)</f>
        <v>-</v>
      </c>
      <c r="X90" s="59">
        <f t="shared" si="65"/>
        <v>0</v>
      </c>
      <c r="Y90" s="15" t="str">
        <f>IFERROR(VLOOKUP($F90,WORKSHEET!$AA$7:$AJ$76,9,FALSE),"-")</f>
        <v/>
      </c>
      <c r="Z90" s="59" t="str">
        <f t="shared" si="66"/>
        <v/>
      </c>
      <c r="AA90" s="62" t="str">
        <f>IFERROR(VLOOKUP($F90,WORKSHEET!$AA$7:$AJ$76,10,FALSE),"-")</f>
        <v/>
      </c>
      <c r="AB90" s="63" t="str">
        <f t="shared" si="67"/>
        <v/>
      </c>
      <c r="AC90" s="66" t="str">
        <f t="shared" si="68"/>
        <v/>
      </c>
      <c r="AD90" s="417" t="str">
        <f t="shared" si="74"/>
        <v/>
      </c>
      <c r="AE90" s="68" t="str">
        <f t="shared" si="75"/>
        <v/>
      </c>
      <c r="AF90" s="414" t="str">
        <f t="shared" si="69"/>
        <v/>
      </c>
      <c r="AG90" s="414" t="str">
        <f t="shared" si="70"/>
        <v/>
      </c>
      <c r="AH90" s="415" t="str">
        <f>IF($B90&gt;KEY!$B$2,"",IFERROR(VLOOKUP($B90,KEY!$A$5:$D$74,4,FALSE),""))</f>
        <v/>
      </c>
      <c r="AI90" s="415" t="str">
        <f t="shared" si="56"/>
        <v/>
      </c>
      <c r="AJ90" s="414"/>
      <c r="AK90" s="324"/>
      <c r="AL90" s="322"/>
      <c r="AO90" s="85">
        <f t="shared" si="71"/>
        <v>0</v>
      </c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</row>
    <row r="91" spans="1:80" ht="17.149999999999999" customHeight="1" x14ac:dyDescent="0.35">
      <c r="F91" s="172" t="s">
        <v>103</v>
      </c>
      <c r="G91" s="173">
        <f>IF(WORKSHEET!U77="","-",IFERROR(WORKSHEET!K77/WORKSHEET!L77,"N/A"))</f>
        <v>0.97143930853062754</v>
      </c>
      <c r="H91" s="174">
        <f>IFERROR((IF(G91&lt;G$122,0,H$122)+IF(G91&lt;G$123,0,H$123)+IF(G91&lt;G$124,0,H$124)+IF(G91&lt;G$125,0,H$125)+IF(G91&lt;G$126,0,H$126)+IF(G91&lt;G$129,0,H$129)),0)</f>
        <v>10</v>
      </c>
      <c r="I91" s="175">
        <f>IF(WORKSHEET!H77="","-",(WORKSHEET!H77)/(WORKSHEET!G77/KEY!$AE$62))</f>
        <v>1.8731501057082451</v>
      </c>
      <c r="J91" s="176">
        <f>(WORKSHEET!H77)/WORKSHEET!G77</f>
        <v>0.62438336856941512</v>
      </c>
      <c r="K91" s="177">
        <f>IFERROR((IF(J91&lt;J$122,0,K$122)+IF(J91&lt;J$123,0,K$123)+IF(J91&lt;J$124,0,K$124)+IF(J91&lt;J$125,0,K$125)+IF(J91&lt;J$126,0,K$126)+IF(J91&lt;J$129,0,K$129)),0)</f>
        <v>12</v>
      </c>
      <c r="L91" s="178"/>
      <c r="M91" s="179">
        <f>IFERROR(VLOOKUP($F91,WORKSHEET!$AA$7:$AJ$86,4,FALSE),"-")</f>
        <v>2.2108183079056865</v>
      </c>
      <c r="N91" s="174">
        <f>IFERROR((IF(M91&lt;M$122,0,N$122)+IF(M91&lt;M$123,0,N$123)+IF(M91&lt;M$124,0,N$124)+IF(M91&lt;M$125,0,N$125)+IF(M91&lt;M$126,0,N$126)+IF(M91&lt;M$129,0,N$129)),0)</f>
        <v>12</v>
      </c>
      <c r="O91" s="175">
        <f>IFERROR(VLOOKUP($F91,WORKSHEET!$AA$7:$AJ$86,5,FALSE),"-")</f>
        <v>0.75765151515151519</v>
      </c>
      <c r="P91" s="177">
        <f>IFERROR((IF(O91&lt;O$122,0,P$122)+IF(O91&lt;O$123,0,P$123)+IF(O91&lt;O$124,0,P$124)+IF(O91&lt;O$125,0,P$125)+IF(O91&lt;O$126,0,P$126)+IF(O91&lt;O$129,0,P$129)),0)</f>
        <v>2</v>
      </c>
      <c r="Q91" s="180">
        <f>IFERROR(WORKSHEET!N77/WORKSHEET!M77,"-")</f>
        <v>0.15163094644736114</v>
      </c>
      <c r="R91" s="174">
        <f>IFERROR((IF(Q91&lt;Q$122,0,R$122)+IF(Q91&lt;Q$123,0,R$123)+IF(Q91&lt;Q$124,0,R$124)+IF(Q91&lt;Q$125,0,R$125)+IF(Q91&lt;Q$126,0,R$126)+IF(Q91&lt;Q$129,0,R$129)),0)</f>
        <v>12</v>
      </c>
      <c r="S91" s="181">
        <f>IFERROR(WORKSHEET!P77/WORKSHEET!O77,"-")</f>
        <v>0.22062168309325247</v>
      </c>
      <c r="T91" s="177">
        <f>IFERROR((IF(S91&lt;S$122,0,T$122)+IF(S91&lt;S$123,0,T$123)+IF(S91&lt;S$124,0,T$124)+IF(S91&lt;S$125,0,T$125)+IF(S91&lt;S$126,0,T$126)+IF(S91&lt;S$129,0,T$129)),0)</f>
        <v>10</v>
      </c>
      <c r="U91" s="182">
        <f>IF(WORKSHEET!U77="","-",IFERROR(WORKSHEET!V77/WORKSHEET!U77,"N/A"))</f>
        <v>0.65154264972776765</v>
      </c>
      <c r="V91" s="183">
        <f>IFERROR((IF(U91&lt;U$122,0,V$122)+IF(U91&lt;U$123,0,V$123)+IF(U91&lt;U$124,0,V$124)+IF(U91&lt;U$125,0,V$125)+IF(U91&lt;U$126,0,V$126)+IF(U91&lt;U$129,0,V$129)),0)</f>
        <v>10</v>
      </c>
      <c r="W91" s="184" t="str">
        <f>IF(WORKSHEET!W77="","-",WORKSHEET!W77)</f>
        <v>-</v>
      </c>
      <c r="X91" s="185">
        <f>IFERROR(IF(W91=W$122,X$122,0),0)</f>
        <v>0</v>
      </c>
      <c r="Y91" s="181">
        <f>IFERROR(WORKSHEET!Q77/WORKSHEET!T77,"-")</f>
        <v>1.0258379888268156</v>
      </c>
      <c r="Z91" s="177">
        <f>IFERROR((IF(Y91&lt;Y$122,0,Z$122)+IF(Y91&lt;Y$123,0,Z$123)+IF(Y91&lt;Y$124,0,Z$124)+IF(Y91&lt;Y$125,0,Z$125)+IF(Y91&lt;Y$126,0,Z$126)+IF(Y91&lt;Y$129,0,Z$129)),0)</f>
        <v>10</v>
      </c>
      <c r="AA91" s="182">
        <f>IFERROR(WORKSHEET!R77/WORKSHEET!S77,"-")</f>
        <v>0.58327668252889187</v>
      </c>
      <c r="AB91" s="183">
        <f>IFERROR((IF(AA91&lt;AA$122,0,AB$122)+IF(AA91&lt;AA$123,0,AB$123)+IF(AA91&lt;AA$124,0,AB$124)+IF(AA91&lt;AA$125,0,AB$125)+IF(AA91&lt;AA$126,0,AB$126)+IF(AA91&lt;AA$129,0,AB$129)),0)</f>
        <v>12</v>
      </c>
      <c r="AC91" s="186">
        <f>(H91+R91+T91+V91+X91+N91+Z91+AB91+P91+K91)</f>
        <v>90</v>
      </c>
      <c r="AD91" s="187">
        <f t="shared" ref="AD91:AD99" si="76">100-((COUNTIF(G91:Z91,"N/A"))*12)</f>
        <v>100</v>
      </c>
      <c r="AE91" s="188">
        <f>AVERAGE(AE20:AE90)</f>
        <v>0.80683543807357438</v>
      </c>
    </row>
    <row r="92" spans="1:80" ht="17.149999999999999" customHeight="1" x14ac:dyDescent="0.35">
      <c r="E92" s="57"/>
      <c r="F92" s="171" t="s">
        <v>16</v>
      </c>
      <c r="G92" s="71">
        <f>IFERROR(VLOOKUP($F92,WORKSHEET!$AA$7:$AJ$86,2,FALSE),"-")</f>
        <v>0.96024096385542168</v>
      </c>
      <c r="H92" s="63">
        <f>IF($F92="","",IFERROR((IF(G92&lt;G$122,0,H$122)+IF(G92&lt;G$123,0,H$123)+IF(G92&lt;G$124,0,H$124)+IF(G92&lt;G$125,0,H$125)+IF(G92&lt;G$126,0,H$126)+IF(G92&lt;G$129,0,H$129)+IF(G92&lt;G$128,0,H$128)+IF(G92&lt;G$127,0,H$127)),0))</f>
        <v>10</v>
      </c>
      <c r="I92" s="38">
        <f>IFERROR(VLOOKUP($F92,WORKSHEET!$AA$7:$AJ$86,3,FALSE),"-")</f>
        <v>2.3085501858736057</v>
      </c>
      <c r="J92" s="6">
        <f>(WORKSHEET!H79)/WORKSHEET!G79</f>
        <v>0.22522522522522523</v>
      </c>
      <c r="K92" s="59">
        <f>IF($F92="","",IFERROR((IF(J92&lt;J$122,0,K$122)+IF(J92&lt;J$123,0,K$123)+IF(J92&lt;J$124,0,K$124)+IF(J92&lt;J$125,0,K$125)+IF(J92&lt;J$126,0,K$126)+IF(J92&lt;J$129,0,K$129)+IF(J92&lt;J$127,0,K$127)+IF(J92&lt;J$128,0,K$128)),0))</f>
        <v>5</v>
      </c>
      <c r="L92" s="60"/>
      <c r="M92" s="61">
        <f>IFERROR(VLOOKUP($F92,WORKSHEET!$AA$7:$AJ$86,4,FALSE),"-")</f>
        <v>2.442622950819672</v>
      </c>
      <c r="N92" s="63">
        <f>IF($F92="","",IFERROR((IF(M92&lt;M$122,0,N$122)+IF(M92&lt;M$123,0,N$123)+IF(M92&lt;M$124,0,N$124)+IF(M92&lt;M$125,0,N$125)+IF(M92&lt;M$126,0,N$126)+IF(M92&lt;M$129,0,N$129)+IF(M92&lt;M$128,0,N$128)+IF(M92&lt;M$127,0,N$127)),0))</f>
        <v>12</v>
      </c>
      <c r="O92" s="38">
        <f>IFERROR(VLOOKUP($F92,WORKSHEET!$AA$7:$AJ$86,5,FALSE),"-")</f>
        <v>0.79861111111111116</v>
      </c>
      <c r="P92" s="59">
        <f>IF($F92="","",IFERROR((IF(O92&lt;O$122,0,P$122)+IF(O92&lt;O$123,0,P$123)+IF(O92&lt;O$124,0,P$124)+IF(O92&lt;O$125,0,P$125)+IF(O92&lt;O$126,0,P$126)+IF(O92&lt;O$129,0,P$129)+IF(O92&lt;O$128,0,P$128)+IF(O92&lt;O$127,0,P$127)),0))</f>
        <v>3</v>
      </c>
      <c r="Q92" s="11">
        <f>IFERROR(VLOOKUP($F92,WORKSHEET!$AA$7:$AJ$86,6,FALSE),"-")</f>
        <v>0.16151202749140894</v>
      </c>
      <c r="R92" s="63">
        <f>IF($F92="","",IFERROR((IF(Q92&lt;Q$122,0,R$122)+IF(Q92&lt;Q$123,0,R$123)+IF(Q92&lt;Q$124,0,R$124)+IF(Q92&lt;Q$125,0,R$125)+IF(Q92&lt;Q$126,0,R$126)+IF(Q92&lt;Q$129,0,R$129)+IF(Q92&lt;Q$128,0,R$128)+IF(Q92&lt;Q$127,0,R$127)),0))</f>
        <v>12</v>
      </c>
      <c r="S92" s="15">
        <f>IFERROR(VLOOKUP($F92,WORKSHEET!$AA$7:$AJ$86,7,FALSE),"-")</f>
        <v>0.21628498727735368</v>
      </c>
      <c r="T92" s="59">
        <f>IF($F92="","",IFERROR((IF(S92&lt;S$122,0,T$122)+IF(S92&lt;S$123,0,T$123)+IF(S92&lt;S$124,0,T$124)+IF(S92&lt;S$125,0,T$125)+IF(S92&lt;S$126,0,T$126)+IF(S92&lt;S$129,0,T$129)+IF(S92&lt;S$128,0,T$128)+IF(S92&lt;S$127,0,T$127)),0))</f>
        <v>10</v>
      </c>
      <c r="U92" s="62">
        <f>IFERROR(VLOOKUP($F92,WORKSHEET!$AA$7:$AJ$86,8,FALSE),"-")</f>
        <v>0.6875</v>
      </c>
      <c r="V92" s="63">
        <f>IF($F92="","",IFERROR((IF(U92&lt;U$122,0,V$122)+IF(U92&lt;U$123,0,V$123)+IF(U92&lt;U$124,0,V$124)+IF(U92&lt;U$125,0,V$125)+IF(U92&lt;U$126,0,V$126)+IF(U92&lt;U$129,0,V$129)+IF(U92&lt;U$128,0,V$128)+IF(U92&lt;U$127,0,V$127)),0))</f>
        <v>10</v>
      </c>
      <c r="W92" s="64" t="str">
        <f>IF(WORKSHEET!W79="","-",WORKSHEET!W79)</f>
        <v>-</v>
      </c>
      <c r="X92" s="59">
        <f>IFERROR((IF(W92&lt;W$122,0,X$122)+IF(W92&lt;W$123,0,X$123)+IF(W92&lt;W$124,0,X$124)+IF(W92&lt;W$125,0,X$125)+IF(W92&lt;W$126,0,X$126)+IF(W92&lt;W$129,0,X$129)+IF(W92&lt;W$128,0,X$128)+IF(W92&lt;W$127,0,X$127)),0)</f>
        <v>0</v>
      </c>
      <c r="Y92" s="15">
        <f>IFERROR(VLOOKUP($F92,WORKSHEET!$AA$7:$AJ$86,9,FALSE),"-")</f>
        <v>0.96731358529111333</v>
      </c>
      <c r="Z92" s="59">
        <f>IF($F92="","",IFERROR((IF(Y92&lt;Y$122,0,Z$122)+IF(Y92&lt;Y$123,0,Z$123)+IF(Y92&lt;Y$124,0,Z$124)+IF(Y92&lt;Y$125,0,Z$125)+IF(Y92&lt;Y$126,0,Z$126)+IF(Y92&lt;Y$129,0,Z$129)+IF(Y92&lt;Y$128,0,Z$128)+IF(Y92&lt;Y$127,0,Z$127)),0))</f>
        <v>12</v>
      </c>
      <c r="AA92" s="62">
        <f>IFERROR(VLOOKUP($F92,WORKSHEET!$AA$7:$AJ$86,10,FALSE),"-")</f>
        <v>0.65791632485643969</v>
      </c>
      <c r="AB92" s="63">
        <f>IF($F92="","",IFERROR((IF(AA92&lt;AA$122,0,AB$122)+IF(AA92&lt;AA$123,0,AB$123)+IF(AA92&lt;AA$124,0,AB$124)+IF(AA92&lt;AA$125,0,AB$125)+IF(AA92&lt;AA$126,0,AB$126)+IF(AA92&lt;AA$129,0,AB$129)+IF(AA92&lt;AA$128,0,AB$128)+IF(AA92&lt;AA$127,0,AB$127)),0))</f>
        <v>12</v>
      </c>
      <c r="AC92" s="88">
        <f>IF($F92="","",(H92+R92+T92+V92+N92+Z92+AB92+P92+K92))</f>
        <v>86</v>
      </c>
      <c r="AD92" s="89">
        <f t="shared" si="76"/>
        <v>100</v>
      </c>
      <c r="AE92" s="90">
        <f t="shared" ref="AE92:AE99" si="77">AVERAGEIFS($AE$20:$AE$90,$AH$20:$AH$90,$F92)</f>
        <v>0.82871212121212101</v>
      </c>
      <c r="AF92" s="91">
        <f>RANK(AJ92,$AJ$92:$AJ$100,1)</f>
        <v>2</v>
      </c>
      <c r="AG92" s="414" t="str">
        <f t="shared" ref="AG92:AG99" si="78">IF(F92="","",F92)</f>
        <v>Arizona</v>
      </c>
      <c r="AH92" s="91">
        <f>RANK($AE92,$AE$92:$AE$100,0)</f>
        <v>2</v>
      </c>
      <c r="AI92" s="91">
        <v>1</v>
      </c>
      <c r="AJ92" s="91">
        <f>AH92+(AI92/100)</f>
        <v>2.0099999999999998</v>
      </c>
    </row>
    <row r="93" spans="1:80" ht="17.149999999999999" customHeight="1" x14ac:dyDescent="0.35">
      <c r="E93" s="57"/>
      <c r="F93" s="171" t="s">
        <v>104</v>
      </c>
      <c r="G93" s="71">
        <f>IFERROR(VLOOKUP($F93,WORKSHEET!$AA$7:$AJ$86,2,FALSE),"-")</f>
        <v>0.84772370486656201</v>
      </c>
      <c r="H93" s="63">
        <f t="shared" ref="H93:H99" si="79">IF($F93="","",IFERROR((IF(G93&lt;G$122,0,H$122)+IF(G93&lt;G$123,0,H$123)+IF(G93&lt;G$124,0,H$124)+IF(G93&lt;G$125,0,H$125)+IF(G93&lt;G$126,0,H$126)+IF(G93&lt;G$129,0,H$129)+IF(G93&lt;G$128,0,H$128)+IF(G93&lt;G$127,0,H$127)),0))</f>
        <v>7</v>
      </c>
      <c r="I93" s="38">
        <f>IFERROR(VLOOKUP($F93,WORKSHEET!$AA$7:$AJ$86,3,FALSE),"-")</f>
        <v>0.67567567567567566</v>
      </c>
      <c r="J93" s="6">
        <f>(WORKSHEET!H80)/WORKSHEET!G80</f>
        <v>1.2897196261682242</v>
      </c>
      <c r="K93" s="59">
        <f t="shared" ref="K93:K99" si="80">IF($F93="","",IFERROR((IF(J93&lt;J$122,0,K$122)+IF(J93&lt;J$123,0,K$123)+IF(J93&lt;J$124,0,K$124)+IF(J93&lt;J$125,0,K$125)+IF(J93&lt;J$126,0,K$126)+IF(J93&lt;J$129,0,K$129)+IF(J93&lt;J$127,0,K$127)+IF(J93&lt;J$128,0,K$128)),0))</f>
        <v>12</v>
      </c>
      <c r="L93" s="60"/>
      <c r="M93" s="61">
        <f>IFERROR(VLOOKUP($F93,WORKSHEET!$AA$7:$AJ$86,4,FALSE),"-")</f>
        <v>0.6</v>
      </c>
      <c r="N93" s="63">
        <f t="shared" ref="N93:N99" si="81">IF($F93="","",IFERROR((IF(M93&lt;M$122,0,N$122)+IF(M93&lt;M$123,0,N$123)+IF(M93&lt;M$124,0,N$124)+IF(M93&lt;M$125,0,N$125)+IF(M93&lt;M$126,0,N$126)+IF(M93&lt;M$129,0,N$129)+IF(M93&lt;M$128,0,N$128)+IF(M93&lt;M$127,0,N$127)),0))</f>
        <v>3</v>
      </c>
      <c r="O93" s="38">
        <f>IFERROR(VLOOKUP($F93,WORKSHEET!$AA$7:$AJ$86,5,FALSE),"-")</f>
        <v>0.75</v>
      </c>
      <c r="P93" s="59">
        <f t="shared" ref="P93:P99" si="82">IF($F93="","",IFERROR((IF(O93&lt;O$122,0,P$122)+IF(O93&lt;O$123,0,P$123)+IF(O93&lt;O$124,0,P$124)+IF(O93&lt;O$125,0,P$125)+IF(O93&lt;O$126,0,P$126)+IF(O93&lt;O$129,0,P$129)+IF(O93&lt;O$128,0,P$128)+IF(O93&lt;O$127,0,P$127)),0))</f>
        <v>2</v>
      </c>
      <c r="Q93" s="11">
        <f>IFERROR(VLOOKUP($F93,WORKSHEET!$AA$7:$AJ$86,6,FALSE),"-")</f>
        <v>0.19105199516324062</v>
      </c>
      <c r="R93" s="63">
        <f t="shared" ref="R93:R99" si="83">IF($F93="","",IFERROR((IF(Q93&lt;Q$122,0,R$122)+IF(Q93&lt;Q$123,0,R$123)+IF(Q93&lt;Q$124,0,R$124)+IF(Q93&lt;Q$125,0,R$125)+IF(Q93&lt;Q$126,0,R$126)+IF(Q93&lt;Q$129,0,R$129)+IF(Q93&lt;Q$128,0,R$128)+IF(Q93&lt;Q$127,0,R$127)),0))</f>
        <v>12</v>
      </c>
      <c r="S93" s="15">
        <f>IFERROR(VLOOKUP($F93,WORKSHEET!$AA$7:$AJ$86,7,FALSE),"-")</f>
        <v>0.24257425742574257</v>
      </c>
      <c r="T93" s="59">
        <f t="shared" ref="T93:T99" si="84">IF($F93="","",IFERROR((IF(S93&lt;S$122,0,T$122)+IF(S93&lt;S$123,0,T$123)+IF(S93&lt;S$124,0,T$124)+IF(S93&lt;S$125,0,T$125)+IF(S93&lt;S$126,0,T$126)+IF(S93&lt;S$129,0,T$129)+IF(S93&lt;S$128,0,T$128)+IF(S93&lt;S$127,0,T$127)),0))</f>
        <v>12</v>
      </c>
      <c r="U93" s="62">
        <f>IFERROR(VLOOKUP($F93,WORKSHEET!$AA$7:$AJ$86,8,FALSE),"-")</f>
        <v>0.61728395061728392</v>
      </c>
      <c r="V93" s="63">
        <f t="shared" ref="V93:V99" si="85">IF($F93="","",IFERROR((IF(U93&lt;U$122,0,V$122)+IF(U93&lt;U$123,0,V$123)+IF(U93&lt;U$124,0,V$124)+IF(U93&lt;U$125,0,V$125)+IF(U93&lt;U$126,0,V$126)+IF(U93&lt;U$129,0,V$129)+IF(U93&lt;U$128,0,V$128)+IF(U93&lt;U$127,0,V$127)),0))</f>
        <v>8</v>
      </c>
      <c r="W93" s="64" t="str">
        <f>IF(WORKSHEET!W80="","-",WORKSHEET!W80)</f>
        <v>-</v>
      </c>
      <c r="X93" s="59">
        <f t="shared" ref="X93:X99" si="86">IFERROR((IF(W93&lt;W$122,0,X$122)+IF(W93&lt;W$123,0,X$123)+IF(W93&lt;W$124,0,X$124)+IF(W93&lt;W$125,0,X$125)+IF(W93&lt;W$126,0,X$126)+IF(W93&lt;W$129,0,X$129)+IF(W93&lt;W$128,0,X$128)+IF(W93&lt;W$127,0,X$127)),0)</f>
        <v>0</v>
      </c>
      <c r="Y93" s="15">
        <f>IFERROR(VLOOKUP($F93,WORKSHEET!$AA$7:$AJ$86,9,FALSE),"-")</f>
        <v>0.74805194805194808</v>
      </c>
      <c r="Z93" s="59">
        <f t="shared" ref="Z93:Z99" si="87">IF($F93="","",IFERROR((IF(Y93&lt;Y$122,0,Z$122)+IF(Y93&lt;Y$123,0,Z$123)+IF(Y93&lt;Y$124,0,Z$124)+IF(Y93&lt;Y$125,0,Z$125)+IF(Y93&lt;Y$126,0,Z$126)+IF(Y93&lt;Y$129,0,Z$129)+IF(Y93&lt;Y$128,0,Z$128)+IF(Y93&lt;Y$127,0,Z$127)),0))</f>
        <v>6</v>
      </c>
      <c r="AA93" s="62">
        <f>IFERROR(VLOOKUP($F93,WORKSHEET!$AA$7:$AJ$86,10,FALSE),"-")</f>
        <v>0.47155963302752296</v>
      </c>
      <c r="AB93" s="63">
        <f t="shared" ref="AB93:AB99" si="88">IF($F93="","",IFERROR((IF(AA93&lt;AA$122,0,AB$122)+IF(AA93&lt;AA$123,0,AB$123)+IF(AA93&lt;AA$124,0,AB$124)+IF(AA93&lt;AA$125,0,AB$125)+IF(AA93&lt;AA$126,0,AB$126)+IF(AA93&lt;AA$129,0,AB$129)+IF(AA93&lt;AA$128,0,AB$128)+IF(AA93&lt;AA$127,0,AB$127)),0))</f>
        <v>10</v>
      </c>
      <c r="AC93" s="88">
        <f>IF($F93="","",(H93+R93+T93+V93+N93+Z93+AB93+P93+K93))</f>
        <v>72</v>
      </c>
      <c r="AD93" s="89">
        <f t="shared" si="76"/>
        <v>100</v>
      </c>
      <c r="AE93" s="90">
        <f t="shared" si="77"/>
        <v>0.58499999999999996</v>
      </c>
      <c r="AF93" s="91">
        <f t="shared" ref="AF93:AF99" si="89">RANK(AJ93,$AJ$92:$AJ$100,1)</f>
        <v>8</v>
      </c>
      <c r="AG93" s="414" t="str">
        <f t="shared" si="78"/>
        <v>Indiana</v>
      </c>
      <c r="AH93" s="91">
        <f t="shared" ref="AH93:AH99" si="90">RANK($AE93,$AE$92:$AE$100,0)</f>
        <v>8</v>
      </c>
      <c r="AI93" s="91">
        <v>2</v>
      </c>
      <c r="AJ93" s="91">
        <f t="shared" ref="AJ93:AJ99" si="91">AH93+(AI93/100)</f>
        <v>8.02</v>
      </c>
    </row>
    <row r="94" spans="1:80" ht="17.149999999999999" customHeight="1" x14ac:dyDescent="0.35">
      <c r="E94" s="57"/>
      <c r="F94" s="171" t="s">
        <v>105</v>
      </c>
      <c r="G94" s="71">
        <f>IFERROR(VLOOKUP($F94,WORKSHEET!$AA$7:$AJ$86,2,FALSE),"-")</f>
        <v>0.9563567362428842</v>
      </c>
      <c r="H94" s="63">
        <f t="shared" si="79"/>
        <v>10</v>
      </c>
      <c r="I94" s="38">
        <f>IFERROR(VLOOKUP($F94,WORKSHEET!$AA$7:$AJ$86,3,FALSE),"-")</f>
        <v>3.8691588785046731</v>
      </c>
      <c r="J94" s="6">
        <f>(WORKSHEET!H81)/WORKSHEET!G81</f>
        <v>0.40849673202614378</v>
      </c>
      <c r="K94" s="59">
        <f t="shared" si="80"/>
        <v>12</v>
      </c>
      <c r="L94" s="60"/>
      <c r="M94" s="61">
        <f>IFERROR(VLOOKUP($F94,WORKSHEET!$AA$7:$AJ$86,4,FALSE),"-")</f>
        <v>2.342857142857143</v>
      </c>
      <c r="N94" s="63">
        <f t="shared" si="81"/>
        <v>12</v>
      </c>
      <c r="O94" s="38">
        <f>IFERROR(VLOOKUP($F94,WORKSHEET!$AA$7:$AJ$86,5,FALSE),"-")</f>
        <v>0.625</v>
      </c>
      <c r="P94" s="59">
        <f t="shared" si="82"/>
        <v>1</v>
      </c>
      <c r="Q94" s="11">
        <f>IFERROR(VLOOKUP($F94,WORKSHEET!$AA$7:$AJ$86,6,FALSE),"-")</f>
        <v>0.18204488778054864</v>
      </c>
      <c r="R94" s="63">
        <f t="shared" si="83"/>
        <v>12</v>
      </c>
      <c r="S94" s="15">
        <f>IFERROR(VLOOKUP($F94,WORKSHEET!$AA$7:$AJ$86,7,FALSE),"-")</f>
        <v>0.22404371584699453</v>
      </c>
      <c r="T94" s="59">
        <f t="shared" si="84"/>
        <v>10</v>
      </c>
      <c r="U94" s="62">
        <f>IFERROR(VLOOKUP($F94,WORKSHEET!$AA$7:$AJ$86,8,FALSE),"-")</f>
        <v>0.42</v>
      </c>
      <c r="V94" s="63">
        <f t="shared" si="85"/>
        <v>0</v>
      </c>
      <c r="W94" s="64" t="str">
        <f>IF(WORKSHEET!W81="","-",WORKSHEET!W81)</f>
        <v>-</v>
      </c>
      <c r="X94" s="59">
        <f t="shared" si="86"/>
        <v>0</v>
      </c>
      <c r="Y94" s="15">
        <f>IFERROR(VLOOKUP($F94,WORKSHEET!$AA$7:$AJ$86,9,FALSE),"-")</f>
        <v>0.93766233766233764</v>
      </c>
      <c r="Z94" s="59">
        <f t="shared" si="87"/>
        <v>11</v>
      </c>
      <c r="AA94" s="62">
        <f>IFERROR(VLOOKUP($F94,WORKSHEET!$AA$7:$AJ$86,10,FALSE),"-")</f>
        <v>0.51574803149606296</v>
      </c>
      <c r="AB94" s="63">
        <f t="shared" si="88"/>
        <v>12</v>
      </c>
      <c r="AC94" s="88">
        <f>IF($F94="","",(H94+R94+T94+V94+N94+Z94+AB94+P94+K94))</f>
        <v>80</v>
      </c>
      <c r="AD94" s="89">
        <f t="shared" si="76"/>
        <v>100</v>
      </c>
      <c r="AE94" s="90">
        <f t="shared" si="77"/>
        <v>0.80333333333333334</v>
      </c>
      <c r="AF94" s="91">
        <f t="shared" si="89"/>
        <v>4</v>
      </c>
      <c r="AG94" s="414" t="str">
        <f t="shared" si="78"/>
        <v>Michigan &amp; Minnesota</v>
      </c>
      <c r="AH94" s="91">
        <f t="shared" si="90"/>
        <v>4</v>
      </c>
      <c r="AI94" s="91">
        <v>3</v>
      </c>
      <c r="AJ94" s="91">
        <f t="shared" si="91"/>
        <v>4.03</v>
      </c>
    </row>
    <row r="95" spans="1:80" ht="17.149999999999999" customHeight="1" x14ac:dyDescent="0.35">
      <c r="E95" s="57"/>
      <c r="F95" s="171" t="s">
        <v>106</v>
      </c>
      <c r="G95" s="71">
        <f>IFERROR(VLOOKUP($F95,WORKSHEET!$AA$7:$AJ$86,2,FALSE),"-")</f>
        <v>0.92901878914405012</v>
      </c>
      <c r="H95" s="63">
        <f t="shared" si="79"/>
        <v>9</v>
      </c>
      <c r="I95" s="38">
        <f>IFERROR(VLOOKUP($F95,WORKSHEET!$AA$7:$AJ$86,3,FALSE),"-")</f>
        <v>1.2254901960784315</v>
      </c>
      <c r="J95" s="6">
        <f>(WORKSHEET!H82)/WORKSHEET!G82</f>
        <v>0.75789473684210529</v>
      </c>
      <c r="K95" s="59">
        <f t="shared" si="80"/>
        <v>12</v>
      </c>
      <c r="L95" s="60"/>
      <c r="M95" s="61">
        <f>IFERROR(VLOOKUP($F95,WORKSHEET!$AA$7:$AJ$86,4,FALSE),"-")</f>
        <v>2.3131313131313131</v>
      </c>
      <c r="N95" s="63">
        <f t="shared" si="81"/>
        <v>12</v>
      </c>
      <c r="O95" s="38">
        <f>IFERROR(VLOOKUP($F95,WORKSHEET!$AA$7:$AJ$86,5,FALSE),"-")</f>
        <v>0.765625</v>
      </c>
      <c r="P95" s="59">
        <f t="shared" si="82"/>
        <v>2</v>
      </c>
      <c r="Q95" s="11">
        <f>IFERROR(VLOOKUP($F95,WORKSHEET!$AA$7:$AJ$86,6,FALSE),"-")</f>
        <v>0.14230171073094869</v>
      </c>
      <c r="R95" s="63">
        <f t="shared" si="83"/>
        <v>12</v>
      </c>
      <c r="S95" s="15">
        <f>IFERROR(VLOOKUP($F95,WORKSHEET!$AA$7:$AJ$86,7,FALSE),"-")</f>
        <v>0.23669724770642203</v>
      </c>
      <c r="T95" s="59">
        <f t="shared" si="84"/>
        <v>12</v>
      </c>
      <c r="U95" s="62">
        <f>IFERROR(VLOOKUP($F95,WORKSHEET!$AA$7:$AJ$86,8,FALSE),"-")</f>
        <v>0.67149758454106279</v>
      </c>
      <c r="V95" s="63">
        <f t="shared" si="85"/>
        <v>10</v>
      </c>
      <c r="W95" s="64" t="str">
        <f>IF(WORKSHEET!W82="","-",WORKSHEET!W82)</f>
        <v>-</v>
      </c>
      <c r="X95" s="59">
        <f t="shared" si="86"/>
        <v>0</v>
      </c>
      <c r="Y95" s="15">
        <f>IFERROR(VLOOKUP($F95,WORKSHEET!$AA$7:$AJ$86,9,FALSE),"-")</f>
        <v>1.0068870523415978</v>
      </c>
      <c r="Z95" s="59">
        <f t="shared" si="87"/>
        <v>12</v>
      </c>
      <c r="AA95" s="62">
        <f>IFERROR(VLOOKUP($F95,WORKSHEET!$AA$7:$AJ$86,10,FALSE),"-")</f>
        <v>0.53975200583515681</v>
      </c>
      <c r="AB95" s="63">
        <f t="shared" si="88"/>
        <v>12</v>
      </c>
      <c r="AC95" s="88">
        <f>IF($F95="","",(H95+R95+T95+V95+N95+Z95+AB95+P95+K95))</f>
        <v>93</v>
      </c>
      <c r="AD95" s="89">
        <f t="shared" si="76"/>
        <v>100</v>
      </c>
      <c r="AE95" s="90">
        <f t="shared" si="77"/>
        <v>0.78</v>
      </c>
      <c r="AF95" s="91">
        <f t="shared" si="89"/>
        <v>6</v>
      </c>
      <c r="AG95" s="414" t="str">
        <f t="shared" si="78"/>
        <v>Northern California</v>
      </c>
      <c r="AH95" s="91">
        <f t="shared" si="90"/>
        <v>6</v>
      </c>
      <c r="AI95" s="91">
        <v>4</v>
      </c>
      <c r="AJ95" s="91">
        <f t="shared" si="91"/>
        <v>6.04</v>
      </c>
    </row>
    <row r="96" spans="1:80" ht="17.149999999999999" customHeight="1" x14ac:dyDescent="0.35">
      <c r="E96" s="57"/>
      <c r="F96" s="171" t="s">
        <v>107</v>
      </c>
      <c r="G96" s="71">
        <f>IFERROR(VLOOKUP($F96,WORKSHEET!$AA$7:$AJ$86,2,FALSE),"-")</f>
        <v>0.8927848954821308</v>
      </c>
      <c r="H96" s="63">
        <f t="shared" si="79"/>
        <v>7</v>
      </c>
      <c r="I96" s="38">
        <f>IFERROR(VLOOKUP($F96,WORKSHEET!$AA$7:$AJ$86,3,FALSE),"-")</f>
        <v>2.2736842105263158</v>
      </c>
      <c r="J96" s="6">
        <f>(WORKSHEET!H83)/WORKSHEET!G83</f>
        <v>0.68867924528301883</v>
      </c>
      <c r="K96" s="59">
        <f t="shared" si="80"/>
        <v>12</v>
      </c>
      <c r="L96" s="60"/>
      <c r="M96" s="61">
        <f>IFERROR(VLOOKUP($F96,WORKSHEET!$AA$7:$AJ$86,4,FALSE),"-")</f>
        <v>2.6419753086419755</v>
      </c>
      <c r="N96" s="63">
        <f t="shared" si="81"/>
        <v>12</v>
      </c>
      <c r="O96" s="38">
        <f>IFERROR(VLOOKUP($F96,WORKSHEET!$AA$7:$AJ$86,5,FALSE),"-")</f>
        <v>0.91666666666666663</v>
      </c>
      <c r="P96" s="59">
        <f t="shared" si="82"/>
        <v>4</v>
      </c>
      <c r="Q96" s="11">
        <f>IFERROR(VLOOKUP($F96,WORKSHEET!$AA$7:$AJ$86,6,FALSE),"-")</f>
        <v>0.17775229357798164</v>
      </c>
      <c r="R96" s="63">
        <f t="shared" si="83"/>
        <v>12</v>
      </c>
      <c r="S96" s="15">
        <f>IFERROR(VLOOKUP($F96,WORKSHEET!$AA$7:$AJ$86,7,FALSE),"-")</f>
        <v>0.29349269588313415</v>
      </c>
      <c r="T96" s="59">
        <f t="shared" si="84"/>
        <v>12</v>
      </c>
      <c r="U96" s="62">
        <f>IFERROR(VLOOKUP($F96,WORKSHEET!$AA$7:$AJ$86,8,FALSE),"-")</f>
        <v>0.61445783132530118</v>
      </c>
      <c r="V96" s="63">
        <f t="shared" si="85"/>
        <v>8</v>
      </c>
      <c r="W96" s="64" t="str">
        <f>IF(WORKSHEET!W83="","-",WORKSHEET!W83)</f>
        <v>-</v>
      </c>
      <c r="X96" s="59">
        <f t="shared" si="86"/>
        <v>0</v>
      </c>
      <c r="Y96" s="15">
        <f>IFERROR(VLOOKUP($F96,WORKSHEET!$AA$7:$AJ$86,9,FALSE),"-")</f>
        <v>1.1773288439955107</v>
      </c>
      <c r="Z96" s="59">
        <f t="shared" si="87"/>
        <v>12</v>
      </c>
      <c r="AA96" s="62">
        <f>IFERROR(VLOOKUP($F96,WORKSHEET!$AA$7:$AJ$86,10,FALSE),"-")</f>
        <v>0.68706896551724139</v>
      </c>
      <c r="AB96" s="63">
        <f t="shared" si="88"/>
        <v>12</v>
      </c>
      <c r="AC96" s="88">
        <f>IF($F96="","",(H96+R96+T96+V96+N96+Z96+AB96+P96+K96))</f>
        <v>91</v>
      </c>
      <c r="AD96" s="89">
        <f t="shared" si="76"/>
        <v>100</v>
      </c>
      <c r="AE96" s="90">
        <f t="shared" si="77"/>
        <v>0.83198830409356717</v>
      </c>
      <c r="AF96" s="91">
        <f t="shared" si="89"/>
        <v>1</v>
      </c>
      <c r="AG96" s="414" t="str">
        <f t="shared" si="78"/>
        <v>Orange County</v>
      </c>
      <c r="AH96" s="91">
        <f t="shared" si="90"/>
        <v>1</v>
      </c>
      <c r="AI96" s="91">
        <v>5</v>
      </c>
      <c r="AJ96" s="91">
        <f t="shared" si="91"/>
        <v>1.05</v>
      </c>
    </row>
    <row r="97" spans="5:41" ht="17.149999999999999" customHeight="1" x14ac:dyDescent="0.35">
      <c r="E97" s="57"/>
      <c r="F97" s="171" t="s">
        <v>108</v>
      </c>
      <c r="G97" s="71">
        <f>IFERROR(VLOOKUP($F97,WORKSHEET!$AA$7:$AJ$86,2,FALSE),"-")</f>
        <v>0.99740596627756162</v>
      </c>
      <c r="H97" s="63">
        <f t="shared" si="79"/>
        <v>12</v>
      </c>
      <c r="I97" s="38">
        <f>IFERROR(VLOOKUP($F97,WORKSHEET!$AA$7:$AJ$86,3,FALSE),"-")</f>
        <v>2.0660377358490565</v>
      </c>
      <c r="J97" s="6">
        <f>(WORKSHEET!H84)/WORKSHEET!G84</f>
        <v>0.41577825159914711</v>
      </c>
      <c r="K97" s="59">
        <f t="shared" si="80"/>
        <v>12</v>
      </c>
      <c r="L97" s="60"/>
      <c r="M97" s="61">
        <f>IFERROR(VLOOKUP($F97,WORKSHEET!$AA$7:$AJ$86,4,FALSE),"-")</f>
        <v>2.6120689655172415</v>
      </c>
      <c r="N97" s="63">
        <f t="shared" si="81"/>
        <v>12</v>
      </c>
      <c r="O97" s="38">
        <f>IFERROR(VLOOKUP($F97,WORKSHEET!$AA$7:$AJ$86,5,FALSE),"-")</f>
        <v>0.87549999999999994</v>
      </c>
      <c r="P97" s="59">
        <f t="shared" si="82"/>
        <v>3</v>
      </c>
      <c r="Q97" s="11">
        <f>IFERROR(VLOOKUP($F97,WORKSHEET!$AA$7:$AJ$86,6,FALSE),"-")</f>
        <v>0.14974003466204505</v>
      </c>
      <c r="R97" s="63">
        <f t="shared" si="83"/>
        <v>12</v>
      </c>
      <c r="S97" s="15">
        <f>IFERROR(VLOOKUP($F97,WORKSHEET!$AA$7:$AJ$86,7,FALSE),"-")</f>
        <v>0.23931623931623933</v>
      </c>
      <c r="T97" s="59">
        <f t="shared" si="84"/>
        <v>12</v>
      </c>
      <c r="U97" s="62">
        <f>IFERROR(VLOOKUP($F97,WORKSHEET!$AA$7:$AJ$86,8,FALSE),"-")</f>
        <v>0.69461077844311381</v>
      </c>
      <c r="V97" s="63">
        <f t="shared" si="85"/>
        <v>10</v>
      </c>
      <c r="W97" s="64" t="str">
        <f>IF(WORKSHEET!W84="","-",WORKSHEET!W84)</f>
        <v>-</v>
      </c>
      <c r="X97" s="59">
        <f t="shared" si="86"/>
        <v>0</v>
      </c>
      <c r="Y97" s="15">
        <f>IFERROR(VLOOKUP($F97,WORKSHEET!$AA$7:$AJ$86,9,FALSE),"-")</f>
        <v>1.0246865203761755</v>
      </c>
      <c r="Z97" s="59">
        <f t="shared" si="87"/>
        <v>12</v>
      </c>
      <c r="AA97" s="62">
        <f>IFERROR(VLOOKUP($F97,WORKSHEET!$AA$7:$AJ$86,10,FALSE),"-")</f>
        <v>0.60992907801418439</v>
      </c>
      <c r="AB97" s="63">
        <f t="shared" si="88"/>
        <v>12</v>
      </c>
      <c r="AC97" s="88">
        <f>(H97+R97+T97+V97+X97+N97+Z97+AB97+P97+K97)</f>
        <v>97</v>
      </c>
      <c r="AD97" s="89">
        <f t="shared" si="76"/>
        <v>100</v>
      </c>
      <c r="AE97" s="90">
        <f t="shared" si="77"/>
        <v>0.82499999999999996</v>
      </c>
      <c r="AF97" s="91">
        <f t="shared" si="89"/>
        <v>3</v>
      </c>
      <c r="AG97" s="414" t="str">
        <f t="shared" si="78"/>
        <v>Southern California</v>
      </c>
      <c r="AH97" s="91">
        <f t="shared" si="90"/>
        <v>3</v>
      </c>
      <c r="AI97" s="91">
        <v>6</v>
      </c>
      <c r="AJ97" s="91">
        <f t="shared" si="91"/>
        <v>3.06</v>
      </c>
    </row>
    <row r="98" spans="5:41" ht="17.149999999999999" customHeight="1" x14ac:dyDescent="0.35">
      <c r="E98" s="57"/>
      <c r="F98" s="171" t="s">
        <v>109</v>
      </c>
      <c r="G98" s="71">
        <f>IFERROR(VLOOKUP($F98,WORKSHEET!$AA$7:$AJ$86,2,FALSE),"-")</f>
        <v>1.0673035171515415</v>
      </c>
      <c r="H98" s="63">
        <f t="shared" si="79"/>
        <v>12</v>
      </c>
      <c r="I98" s="38">
        <f>IFERROR(VLOOKUP($F98,WORKSHEET!$AA$7:$AJ$86,3,FALSE),"-")</f>
        <v>1.2473347547974414</v>
      </c>
      <c r="J98" s="6">
        <f>(WORKSHEET!H85)/WORKSHEET!G85</f>
        <v>0.7857142857142857</v>
      </c>
      <c r="K98" s="59">
        <f t="shared" si="80"/>
        <v>12</v>
      </c>
      <c r="L98" s="60"/>
      <c r="M98" s="61">
        <f>IFERROR(VLOOKUP($F98,WORKSHEET!$AA$7:$AJ$86,4,FALSE),"-")</f>
        <v>1.7898089171974523</v>
      </c>
      <c r="N98" s="63">
        <f t="shared" si="81"/>
        <v>9</v>
      </c>
      <c r="O98" s="38">
        <f>IFERROR(VLOOKUP($F98,WORKSHEET!$AA$7:$AJ$86,5,FALSE),"-")</f>
        <v>0.82499999999999996</v>
      </c>
      <c r="P98" s="59">
        <f t="shared" si="82"/>
        <v>3</v>
      </c>
      <c r="Q98" s="11">
        <f>IFERROR(VLOOKUP($F98,WORKSHEET!$AA$7:$AJ$86,6,FALSE),"-")</f>
        <v>0.12621737436696534</v>
      </c>
      <c r="R98" s="63">
        <f t="shared" si="83"/>
        <v>12</v>
      </c>
      <c r="S98" s="15">
        <f>IFERROR(VLOOKUP($F98,WORKSHEET!$AA$7:$AJ$86,7,FALSE),"-")</f>
        <v>0.17341040462427745</v>
      </c>
      <c r="T98" s="59">
        <f t="shared" si="84"/>
        <v>8</v>
      </c>
      <c r="U98" s="62">
        <f>IFERROR(VLOOKUP($F98,WORKSHEET!$AA$7:$AJ$86,8,FALSE),"-")</f>
        <v>0.76315789473684215</v>
      </c>
      <c r="V98" s="63">
        <f t="shared" si="85"/>
        <v>12</v>
      </c>
      <c r="W98" s="64" t="str">
        <f>IF(WORKSHEET!W85="","-",WORKSHEET!W85)</f>
        <v>-</v>
      </c>
      <c r="X98" s="59">
        <f t="shared" si="86"/>
        <v>0</v>
      </c>
      <c r="Y98" s="15">
        <f>IFERROR(VLOOKUP($F98,WORKSHEET!$AA$7:$AJ$86,9,FALSE),"-")</f>
        <v>1.122466705269253</v>
      </c>
      <c r="Z98" s="59">
        <f t="shared" si="87"/>
        <v>12</v>
      </c>
      <c r="AA98" s="62">
        <f>IFERROR(VLOOKUP($F98,WORKSHEET!$AA$7:$AJ$86,10,FALSE),"-")</f>
        <v>0.51778496362166537</v>
      </c>
      <c r="AB98" s="63">
        <f t="shared" si="88"/>
        <v>12</v>
      </c>
      <c r="AC98" s="88">
        <f>(H98+R98+T98+V98+X98+N98+Z98+AB98+P98+K98)</f>
        <v>92</v>
      </c>
      <c r="AD98" s="89">
        <f t="shared" si="76"/>
        <v>100</v>
      </c>
      <c r="AE98" s="90">
        <f t="shared" si="77"/>
        <v>0.79722488038277517</v>
      </c>
      <c r="AF98" s="91">
        <f t="shared" si="89"/>
        <v>5</v>
      </c>
      <c r="AG98" s="414" t="str">
        <f t="shared" si="78"/>
        <v>Texas</v>
      </c>
      <c r="AH98" s="91">
        <f t="shared" si="90"/>
        <v>5</v>
      </c>
      <c r="AI98" s="91">
        <v>7</v>
      </c>
      <c r="AJ98" s="91">
        <f t="shared" si="91"/>
        <v>5.07</v>
      </c>
    </row>
    <row r="99" spans="5:41" ht="17.149999999999999" customHeight="1" x14ac:dyDescent="0.35">
      <c r="E99" s="57"/>
      <c r="F99" s="171" t="s">
        <v>110</v>
      </c>
      <c r="G99" s="71">
        <f>IFERROR(VLOOKUP($F99,WORKSHEET!$AA$7:$AJ$86,2,FALSE),"-")</f>
        <v>1.1111111111111112</v>
      </c>
      <c r="H99" s="63">
        <f t="shared" si="79"/>
        <v>12</v>
      </c>
      <c r="I99" s="38">
        <f>IFERROR(VLOOKUP($F99,WORKSHEET!$AA$7:$AJ$86,3,FALSE),"-")</f>
        <v>2.3571428571428572</v>
      </c>
      <c r="J99" s="6" t="e">
        <f>(WORKSHEET!H86)/WORKSHEET!G86</f>
        <v>#DIV/0!</v>
      </c>
      <c r="K99" s="59">
        <f t="shared" si="80"/>
        <v>0</v>
      </c>
      <c r="L99" s="60"/>
      <c r="M99" s="61">
        <f>IFERROR(VLOOKUP($F99,WORKSHEET!$AA$7:$AJ$86,4,FALSE),"-")</f>
        <v>1.1333333333333333</v>
      </c>
      <c r="N99" s="63">
        <f t="shared" si="81"/>
        <v>6</v>
      </c>
      <c r="O99" s="38">
        <f>IFERROR(VLOOKUP($F99,WORKSHEET!$AA$7:$AJ$86,5,FALSE),"-")</f>
        <v>0.875</v>
      </c>
      <c r="P99" s="59">
        <f t="shared" si="82"/>
        <v>3</v>
      </c>
      <c r="Q99" s="11">
        <f>IFERROR(VLOOKUP($F99,WORKSHEET!$AA$7:$AJ$86,6,FALSE),"-")</f>
        <v>0.21612903225806451</v>
      </c>
      <c r="R99" s="63">
        <f t="shared" si="83"/>
        <v>12</v>
      </c>
      <c r="S99" s="15">
        <f>IFERROR(VLOOKUP($F99,WORKSHEET!$AA$7:$AJ$86,7,FALSE),"-")</f>
        <v>0.25388601036269431</v>
      </c>
      <c r="T99" s="59">
        <f t="shared" si="84"/>
        <v>12</v>
      </c>
      <c r="U99" s="62">
        <f>IFERROR(VLOOKUP($F99,WORKSHEET!$AA$7:$AJ$86,8,FALSE),"-")</f>
        <v>0.2857142857142857</v>
      </c>
      <c r="V99" s="63">
        <f t="shared" si="85"/>
        <v>0</v>
      </c>
      <c r="W99" s="64" t="str">
        <f>IF(WORKSHEET!W86="","-",WORKSHEET!W86)</f>
        <v>-</v>
      </c>
      <c r="X99" s="59">
        <f t="shared" si="86"/>
        <v>0</v>
      </c>
      <c r="Y99" s="15">
        <f>IFERROR(VLOOKUP($F99,WORKSHEET!$AA$7:$AJ$86,9,FALSE),"-")</f>
        <v>0.87878787878787878</v>
      </c>
      <c r="Z99" s="59">
        <f t="shared" si="87"/>
        <v>10</v>
      </c>
      <c r="AA99" s="62">
        <f>IFERROR(VLOOKUP($F99,WORKSHEET!$AA$7:$AJ$86,10,FALSE),"-")</f>
        <v>0.47599999999999998</v>
      </c>
      <c r="AB99" s="63">
        <f t="shared" si="88"/>
        <v>10</v>
      </c>
      <c r="AC99" s="88">
        <f>(H99+R99+T99+V99+X99+N99+Z99+AB99+P99+K99)</f>
        <v>65</v>
      </c>
      <c r="AD99" s="89">
        <f t="shared" si="76"/>
        <v>100</v>
      </c>
      <c r="AE99" s="90">
        <f t="shared" si="77"/>
        <v>0.77</v>
      </c>
      <c r="AF99" s="91">
        <f t="shared" si="89"/>
        <v>7</v>
      </c>
      <c r="AG99" s="414" t="str">
        <f t="shared" si="78"/>
        <v>Wisconsin</v>
      </c>
      <c r="AH99" s="91">
        <f t="shared" si="90"/>
        <v>7</v>
      </c>
      <c r="AI99" s="91">
        <v>8</v>
      </c>
      <c r="AJ99" s="91">
        <f t="shared" si="91"/>
        <v>7.08</v>
      </c>
    </row>
    <row r="100" spans="5:41" ht="17.149999999999999" customHeight="1" x14ac:dyDescent="0.35">
      <c r="E100" s="57"/>
      <c r="F100" s="171"/>
      <c r="G100" s="71"/>
      <c r="H100" s="63"/>
      <c r="I100" s="38"/>
      <c r="J100" s="6"/>
      <c r="K100" s="59"/>
      <c r="L100" s="60"/>
      <c r="M100" s="61"/>
      <c r="N100" s="63"/>
      <c r="O100" s="38"/>
      <c r="P100" s="59"/>
      <c r="Q100" s="11"/>
      <c r="R100" s="63"/>
      <c r="S100" s="15"/>
      <c r="T100" s="59"/>
      <c r="U100" s="62"/>
      <c r="V100" s="63"/>
      <c r="W100" s="64"/>
      <c r="X100" s="59"/>
      <c r="Y100" s="15"/>
      <c r="Z100" s="59"/>
      <c r="AA100" s="62"/>
      <c r="AB100" s="63"/>
      <c r="AC100" s="88"/>
      <c r="AD100" s="89"/>
      <c r="AE100" s="90"/>
      <c r="AF100" s="91"/>
      <c r="AG100" s="414"/>
      <c r="AH100" s="91"/>
      <c r="AI100" s="91"/>
      <c r="AJ100" s="91"/>
    </row>
    <row r="101" spans="5:41" ht="17.149999999999999" customHeight="1" x14ac:dyDescent="0.35">
      <c r="G101" s="73"/>
      <c r="H101" s="73"/>
      <c r="I101" s="74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4"/>
    </row>
    <row r="102" spans="5:41" ht="17.149999999999999" customHeight="1" x14ac:dyDescent="0.35">
      <c r="E102" s="57">
        <v>1</v>
      </c>
      <c r="F102" s="171" t="str">
        <f>IF(OR(WORKSHEET!E92="",WORKSHEET!C92=""),"",WORKSHEET!E92&amp;" - "&amp;TEXT(WORKSHEET!C92,"mmm-yy"))</f>
        <v/>
      </c>
      <c r="G102" s="71" t="str">
        <f>IF(WORKSHEET!U92="","-",IFERROR(WORKSHEET!K92/WORKSHEET!L92,"N/A"))</f>
        <v>N/A</v>
      </c>
      <c r="H102" s="58">
        <f>IFERROR((IF(G102&lt;G$122,0,H$122)+IF(G102&lt;G$123,0,H$123)+IF(G102&lt;G$124,0,H$124)+IF(G102&lt;G$125,0,H$125)+IF(G102&lt;G$126,0,H$126)+IF(G102&lt;G$129,0,H$129)),0)</f>
        <v>0</v>
      </c>
      <c r="I102" s="38" t="e">
        <f>IF(WORKSHEET!H92="","-",(WORKSHEET!H92)/(WORKSHEET!G92/KEY!$AE$62))</f>
        <v>#DIV/0!</v>
      </c>
      <c r="J102" s="6" t="str">
        <f>IFERROR((WORKSHEET!H92)/WORKSHEET!G92,"-")</f>
        <v>-</v>
      </c>
      <c r="K102" s="59">
        <f>IFERROR((IF(J102&lt;J$122,0,K$122)+IF(J102&lt;J$123,0,K$123)+IF(J102&lt;J$124,0,K$124)+IF(J102&lt;J$125,0,K$125)+IF(J102&lt;J$126,0,K$126)+IF(J102&lt;J$129,0,K$129)),0)</f>
        <v>0</v>
      </c>
      <c r="L102" s="60">
        <f>IF(WORKSHEET!I92="","-",WORKSHEET!I92)</f>
        <v>0</v>
      </c>
      <c r="M102" s="61" t="e">
        <f>IF(WORKSHEET!I92="","-",L102/WORKSHEET!$F92)</f>
        <v>#DIV/0!</v>
      </c>
      <c r="N102" s="58">
        <f>IFERROR((IF(M102&lt;M$122,0,N$122)+IF(M102&lt;M$123,0,N$123)+IF(M102&lt;M$124,0,N$124)+IF(M102&lt;M$125,0,N$125)+IF(M102&lt;M$126,0,N$126)+IF(M102&lt;M$129,0,N$129)),0)</f>
        <v>0</v>
      </c>
      <c r="O102" s="38">
        <f>IF(WORKSHEET!J92="","-",WORKSHEET!J92)</f>
        <v>0</v>
      </c>
      <c r="P102" s="59">
        <f>IFERROR((IF(O102&lt;O$122,0,P$122)+IF(O102&lt;O$123,0,P$123)+IF(O102&lt;O$124,0,P$124)+IF(O102&lt;O$125,0,P$125)+IF(O102&lt;O$126,0,P$126)+IF(O102&lt;O$129,0,P$129)),0)</f>
        <v>0</v>
      </c>
      <c r="Q102" s="11" t="str">
        <f>IFERROR(WORKSHEET!N92/WORKSHEET!M92,"-")</f>
        <v>-</v>
      </c>
      <c r="R102" s="63">
        <f t="shared" ref="R102:R119" si="92">IFERROR((IF(Q102&lt;Q$122,0,R$122)+IF(Q102&lt;Q$123,0,R$123)+IF(Q102&lt;Q$124,0,R$124)+IF(Q102&lt;Q$125,0,R$125)+IF(Q102&lt;Q$126,0,R$126)+IF(Q102&lt;Q$129,0,R$129)+IF(Q102&lt;Q$128,0,R$128)+IF(Q102&lt;Q$127,0,R$127)),0)</f>
        <v>0</v>
      </c>
      <c r="S102" s="15" t="str">
        <f>IFERROR(WORKSHEET!P92/WORKSHEET!O92,"-")</f>
        <v>-</v>
      </c>
      <c r="T102" s="59">
        <f t="shared" ref="T102:T119" si="93">IFERROR((IF(S102&lt;S$122,0,T$122)+IF(S102&lt;S$123,0,T$123)+IF(S102&lt;S$124,0,T$124)+IF(S102&lt;S$125,0,T$125)+IF(S102&lt;S$126,0,T$126)+IF(S102&lt;S$129,0,T$129)+IF(S102&lt;S$128,0,T$128)+IF(S102&lt;S$127,0,T$127)),0)</f>
        <v>0</v>
      </c>
      <c r="U102" s="62" t="str">
        <f>IF(WORKSHEET!U92="","-",IFERROR(WORKSHEET!V92/WORKSHEET!U92,"N/A"))</f>
        <v>N/A</v>
      </c>
      <c r="V102" s="63">
        <f t="shared" ref="V102:V119" si="94">IFERROR((IF(U102&lt;U$122,0,V$122)+IF(U102&lt;U$123,0,V$123)+IF(U102&lt;U$124,0,V$124)+IF(U102&lt;U$125,0,V$125)+IF(U102&lt;U$126,0,V$126)+IF(U102&lt;U$129,0,V$129)+IF(U102&lt;U$128,0,V$128)+IF(U102&lt;U$127,0,V$127)),0)</f>
        <v>0</v>
      </c>
      <c r="W102" s="337" t="s">
        <v>64</v>
      </c>
      <c r="X102" s="65">
        <f>IFERROR(IF(W102=W$122,X$122,0),0)</f>
        <v>0</v>
      </c>
      <c r="Y102" s="15" t="str">
        <f>IFERROR(WORKSHEET!Q92/WORKSHEET!T92,"-")</f>
        <v>-</v>
      </c>
      <c r="Z102" s="59">
        <f t="shared" ref="Z102:Z119" si="95">IFERROR((IF(Y102&lt;Y$122,0,Z$122)+IF(Y102&lt;Y$123,0,Z$123)+IF(Y102&lt;Y$124,0,Z$124)+IF(Y102&lt;Y$125,0,Z$125)+IF(Y102&lt;Y$126,0,Z$126)+IF(Y102&lt;Y$129,0,Z$129)+IF(Y102&lt;Y$128,0,Z$128)+IF(Y102&lt;Y$127,0,Z$127)),0)</f>
        <v>0</v>
      </c>
      <c r="AA102" s="62" t="str">
        <f>IFERROR(WORKSHEET!R92/WORKSHEET!S92,"-")</f>
        <v>-</v>
      </c>
      <c r="AB102" s="63">
        <f t="shared" ref="AB102:AB119" si="96">IFERROR((IF(AA102&lt;AA$122,0,AB$122)+IF(AA102&lt;AA$123,0,AB$123)+IF(AA102&lt;AA$124,0,AB$124)+IF(AA102&lt;AA$125,0,AB$125)+IF(AA102&lt;AA$126,0,AB$126)+IF(AA102&lt;AA$129,0,AB$129)+IF(AA102&lt;AA$128,0,AB$128)+IF(AA102&lt;AA$127,0,AB$127)),0)</f>
        <v>0</v>
      </c>
      <c r="AC102" s="88">
        <f t="shared" ref="AC102:AC119" si="97">(H102+R102+T102+V102+X102+N102+Z102+AB102+P102+K102)</f>
        <v>0</v>
      </c>
      <c r="AD102" s="89">
        <f t="shared" ref="AD102:AD119" si="98">100-((COUNTIF(G102:Z102,"N/A"))*12)</f>
        <v>76</v>
      </c>
      <c r="AE102" s="90">
        <f>IF(AG102=TRUE,"-",AC102/AD102)</f>
        <v>0</v>
      </c>
      <c r="AF102" s="91"/>
      <c r="AG102" t="b">
        <f t="shared" ref="AG102:AG119" si="99">OR(COUNTIF(F102,"Arizona*"),COUNTIF(F102,"Northern Cal*"),COUNTIF(F102,"Orange Cou*"),COUNTIF(F102,"Southern Cal*"),COUNTIF(F102,"Texas*"))</f>
        <v>0</v>
      </c>
      <c r="AO102" s="85">
        <f t="shared" ref="AO102:AO119" si="100">SUMIFS($G$130:$AB$130,$F102:$AA102,"N/A")</f>
        <v>24</v>
      </c>
    </row>
    <row r="103" spans="5:41" ht="17.149999999999999" customHeight="1" x14ac:dyDescent="0.35">
      <c r="E103" s="57">
        <v>2</v>
      </c>
      <c r="F103" s="171" t="str">
        <f>IF(OR(WORKSHEET!E93="",WORKSHEET!C93=""),"",WORKSHEET!E93&amp;" - "&amp;TEXT(WORKSHEET!C93,"mmm-yy"))</f>
        <v/>
      </c>
      <c r="G103" s="71" t="str">
        <f>IF(WORKSHEET!U93="","-",IFERROR(WORKSHEET!K93/WORKSHEET!L93,"N/A"))</f>
        <v>N/A</v>
      </c>
      <c r="H103" s="58">
        <f t="shared" ref="H103:H119" si="101">IFERROR((IF(G103&lt;G$122,0,H$122)+IF(G103&lt;G$123,0,H$123)+IF(G103&lt;G$124,0,H$124)+IF(G103&lt;G$125,0,H$125)+IF(G103&lt;G$126,0,H$126)+IF(G103&lt;G$129,0,H$129)),0)</f>
        <v>0</v>
      </c>
      <c r="I103" s="38" t="e">
        <f>IF(WORKSHEET!H93="","-",(WORKSHEET!H93)/(WORKSHEET!G93/KEY!$AE$62))</f>
        <v>#DIV/0!</v>
      </c>
      <c r="J103" s="6" t="str">
        <f>IFERROR((WORKSHEET!H93)/WORKSHEET!G93,"-")</f>
        <v>-</v>
      </c>
      <c r="K103" s="59">
        <f t="shared" ref="K103:K119" si="102">IFERROR((IF(J103&lt;J$122,0,K$122)+IF(J103&lt;J$123,0,K$123)+IF(J103&lt;J$124,0,K$124)+IF(J103&lt;J$125,0,K$125)+IF(J103&lt;J$126,0,K$126)+IF(J103&lt;J$129,0,K$129)),0)</f>
        <v>0</v>
      </c>
      <c r="L103" s="60">
        <f>IF(WORKSHEET!I93="","-",WORKSHEET!I93)</f>
        <v>0</v>
      </c>
      <c r="M103" s="61" t="e">
        <f>IF(WORKSHEET!I93="","-",L103/WORKSHEET!$F93)</f>
        <v>#DIV/0!</v>
      </c>
      <c r="N103" s="58">
        <f t="shared" ref="N103:N119" si="103">IFERROR((IF(M103&lt;M$122,0,N$122)+IF(M103&lt;M$123,0,N$123)+IF(M103&lt;M$124,0,N$124)+IF(M103&lt;M$125,0,N$125)+IF(M103&lt;M$126,0,N$126)+IF(M103&lt;M$129,0,N$129)),0)</f>
        <v>0</v>
      </c>
      <c r="O103" s="38">
        <f>IF(WORKSHEET!J93="","-",WORKSHEET!J93)</f>
        <v>0</v>
      </c>
      <c r="P103" s="59">
        <f t="shared" ref="P103:P119" si="104">IFERROR((IF(O103&lt;O$122,0,P$122)+IF(O103&lt;O$123,0,P$123)+IF(O103&lt;O$124,0,P$124)+IF(O103&lt;O$125,0,P$125)+IF(O103&lt;O$126,0,P$126)+IF(O103&lt;O$129,0,P$129)),0)</f>
        <v>0</v>
      </c>
      <c r="Q103" s="11" t="str">
        <f>IFERROR(WORKSHEET!N93/WORKSHEET!M93,"-")</f>
        <v>-</v>
      </c>
      <c r="R103" s="63">
        <f t="shared" si="92"/>
        <v>0</v>
      </c>
      <c r="S103" s="15" t="str">
        <f>IFERROR(WORKSHEET!P93/WORKSHEET!O93,"-")</f>
        <v>-</v>
      </c>
      <c r="T103" s="59">
        <f t="shared" si="93"/>
        <v>0</v>
      </c>
      <c r="U103" s="62" t="str">
        <f>IF(WORKSHEET!U93="","-",IFERROR(WORKSHEET!V93/WORKSHEET!U93,"N/A"))</f>
        <v>N/A</v>
      </c>
      <c r="V103" s="63">
        <f t="shared" si="94"/>
        <v>0</v>
      </c>
      <c r="W103" s="337" t="s">
        <v>64</v>
      </c>
      <c r="X103" s="65">
        <f t="shared" ref="X103:X119" si="105">IFERROR(IF(W103=W$122,X$122,0),0)</f>
        <v>0</v>
      </c>
      <c r="Y103" s="15" t="str">
        <f>IFERROR(WORKSHEET!Q93/WORKSHEET!T93,"-")</f>
        <v>-</v>
      </c>
      <c r="Z103" s="59">
        <f t="shared" si="95"/>
        <v>0</v>
      </c>
      <c r="AA103" s="62" t="str">
        <f>IFERROR(WORKSHEET!R93/WORKSHEET!S93,"-")</f>
        <v>-</v>
      </c>
      <c r="AB103" s="63">
        <f t="shared" si="96"/>
        <v>0</v>
      </c>
      <c r="AC103" s="88">
        <f t="shared" si="97"/>
        <v>0</v>
      </c>
      <c r="AD103" s="89">
        <f t="shared" si="98"/>
        <v>76</v>
      </c>
      <c r="AE103" s="90">
        <f t="shared" ref="AE103:AE119" si="106">IF(AG103=TRUE,"-",AC103/AD103)</f>
        <v>0</v>
      </c>
      <c r="AF103" s="91"/>
      <c r="AG103" t="b">
        <f t="shared" si="99"/>
        <v>0</v>
      </c>
      <c r="AO103" s="85">
        <f t="shared" si="100"/>
        <v>24</v>
      </c>
    </row>
    <row r="104" spans="5:41" ht="17.149999999999999" customHeight="1" x14ac:dyDescent="0.35">
      <c r="E104" s="57">
        <v>3</v>
      </c>
      <c r="F104" s="171" t="str">
        <f>IF(OR(WORKSHEET!E94="",WORKSHEET!C94=""),"",WORKSHEET!E94&amp;" - "&amp;TEXT(WORKSHEET!C94,"mmm-yy"))</f>
        <v/>
      </c>
      <c r="G104" s="71" t="str">
        <f>IF(WORKSHEET!U94="","-",IFERROR(WORKSHEET!K94/WORKSHEET!L94,"N/A"))</f>
        <v>N/A</v>
      </c>
      <c r="H104" s="58">
        <f t="shared" si="101"/>
        <v>0</v>
      </c>
      <c r="I104" s="38" t="e">
        <f>IF(WORKSHEET!H94="","-",(WORKSHEET!H94)/(WORKSHEET!G94/KEY!$AE$62))</f>
        <v>#DIV/0!</v>
      </c>
      <c r="J104" s="6" t="str">
        <f>IFERROR((WORKSHEET!H94)/WORKSHEET!G94,"-")</f>
        <v>-</v>
      </c>
      <c r="K104" s="59">
        <f t="shared" si="102"/>
        <v>0</v>
      </c>
      <c r="L104" s="60">
        <f>IF(WORKSHEET!I94="","-",WORKSHEET!I94)</f>
        <v>0</v>
      </c>
      <c r="M104" s="61" t="e">
        <f>IF(WORKSHEET!I94="","-",L104/WORKSHEET!$F94)</f>
        <v>#DIV/0!</v>
      </c>
      <c r="N104" s="58">
        <f t="shared" si="103"/>
        <v>0</v>
      </c>
      <c r="O104" s="38">
        <f>IF(WORKSHEET!J94="","-",WORKSHEET!J94)</f>
        <v>0</v>
      </c>
      <c r="P104" s="59">
        <f t="shared" si="104"/>
        <v>0</v>
      </c>
      <c r="Q104" s="11" t="str">
        <f>IFERROR(WORKSHEET!N94/WORKSHEET!M94,"-")</f>
        <v>-</v>
      </c>
      <c r="R104" s="63">
        <f t="shared" si="92"/>
        <v>0</v>
      </c>
      <c r="S104" s="15" t="str">
        <f>IFERROR(WORKSHEET!P94/WORKSHEET!O94,"-")</f>
        <v>-</v>
      </c>
      <c r="T104" s="59">
        <f t="shared" si="93"/>
        <v>0</v>
      </c>
      <c r="U104" s="62" t="str">
        <f>IF(WORKSHEET!U94="","-",IFERROR(WORKSHEET!V94/WORKSHEET!U94,"N/A"))</f>
        <v>N/A</v>
      </c>
      <c r="V104" s="63">
        <f t="shared" si="94"/>
        <v>0</v>
      </c>
      <c r="W104" s="337" t="s">
        <v>64</v>
      </c>
      <c r="X104" s="65">
        <f t="shared" si="105"/>
        <v>0</v>
      </c>
      <c r="Y104" s="15" t="str">
        <f>IFERROR(WORKSHEET!Q94/WORKSHEET!T94,"-")</f>
        <v>-</v>
      </c>
      <c r="Z104" s="59">
        <f t="shared" si="95"/>
        <v>0</v>
      </c>
      <c r="AA104" s="62" t="str">
        <f>IFERROR(WORKSHEET!R94/WORKSHEET!S94,"-")</f>
        <v>-</v>
      </c>
      <c r="AB104" s="63">
        <f t="shared" si="96"/>
        <v>0</v>
      </c>
      <c r="AC104" s="88">
        <f t="shared" si="97"/>
        <v>0</v>
      </c>
      <c r="AD104" s="89">
        <f t="shared" si="98"/>
        <v>76</v>
      </c>
      <c r="AE104" s="90">
        <f t="shared" si="106"/>
        <v>0</v>
      </c>
      <c r="AF104" s="91"/>
      <c r="AG104" t="b">
        <f t="shared" si="99"/>
        <v>0</v>
      </c>
      <c r="AO104" s="85">
        <f t="shared" si="100"/>
        <v>24</v>
      </c>
    </row>
    <row r="105" spans="5:41" ht="17.149999999999999" customHeight="1" x14ac:dyDescent="0.35">
      <c r="E105" s="57">
        <v>4</v>
      </c>
      <c r="F105" s="171" t="str">
        <f>IF(OR(WORKSHEET!E95="",WORKSHEET!C95=""),"",WORKSHEET!E95&amp;" - "&amp;TEXT(WORKSHEET!C95,"mmm-yy"))</f>
        <v/>
      </c>
      <c r="G105" s="71" t="str">
        <f>IF(WORKSHEET!U95="","-",IFERROR(WORKSHEET!K95/WORKSHEET!L95,"N/A"))</f>
        <v>N/A</v>
      </c>
      <c r="H105" s="58">
        <f t="shared" si="101"/>
        <v>0</v>
      </c>
      <c r="I105" s="38" t="e">
        <f>IF(WORKSHEET!H95="","-",(WORKSHEET!H95)/(WORKSHEET!G95/KEY!$AE$62))</f>
        <v>#DIV/0!</v>
      </c>
      <c r="J105" s="6" t="str">
        <f>IFERROR((WORKSHEET!H95)/WORKSHEET!G95,"-")</f>
        <v>-</v>
      </c>
      <c r="K105" s="59">
        <f t="shared" si="102"/>
        <v>0</v>
      </c>
      <c r="L105" s="60">
        <f>IF(WORKSHEET!I95="","-",WORKSHEET!I95)</f>
        <v>0</v>
      </c>
      <c r="M105" s="61" t="e">
        <f>IF(WORKSHEET!I95="","-",L105/WORKSHEET!$F95)</f>
        <v>#DIV/0!</v>
      </c>
      <c r="N105" s="58">
        <f t="shared" si="103"/>
        <v>0</v>
      </c>
      <c r="O105" s="38">
        <f>IF(WORKSHEET!J95="","-",WORKSHEET!J95)</f>
        <v>0</v>
      </c>
      <c r="P105" s="59">
        <f t="shared" si="104"/>
        <v>0</v>
      </c>
      <c r="Q105" s="11" t="str">
        <f>IFERROR(WORKSHEET!N95/WORKSHEET!M95,"-")</f>
        <v>-</v>
      </c>
      <c r="R105" s="63">
        <f t="shared" si="92"/>
        <v>0</v>
      </c>
      <c r="S105" s="15" t="str">
        <f>IFERROR(WORKSHEET!P95/WORKSHEET!O95,"-")</f>
        <v>-</v>
      </c>
      <c r="T105" s="59">
        <f t="shared" si="93"/>
        <v>0</v>
      </c>
      <c r="U105" s="62" t="str">
        <f>IF(WORKSHEET!U95="","-",IFERROR(WORKSHEET!V95/WORKSHEET!U95,"N/A"))</f>
        <v>N/A</v>
      </c>
      <c r="V105" s="63">
        <f t="shared" si="94"/>
        <v>0</v>
      </c>
      <c r="W105" s="337" t="s">
        <v>64</v>
      </c>
      <c r="X105" s="65">
        <f t="shared" si="105"/>
        <v>0</v>
      </c>
      <c r="Y105" s="15" t="str">
        <f>IFERROR(WORKSHEET!Q95/WORKSHEET!T95,"-")</f>
        <v>-</v>
      </c>
      <c r="Z105" s="59">
        <f t="shared" si="95"/>
        <v>0</v>
      </c>
      <c r="AA105" s="62" t="str">
        <f>IFERROR(WORKSHEET!R95/WORKSHEET!S95,"-")</f>
        <v>-</v>
      </c>
      <c r="AB105" s="63">
        <f t="shared" si="96"/>
        <v>0</v>
      </c>
      <c r="AC105" s="88">
        <f t="shared" si="97"/>
        <v>0</v>
      </c>
      <c r="AD105" s="89">
        <f t="shared" si="98"/>
        <v>76</v>
      </c>
      <c r="AE105" s="90">
        <f t="shared" si="106"/>
        <v>0</v>
      </c>
      <c r="AF105" s="91"/>
      <c r="AG105" t="b">
        <f t="shared" si="99"/>
        <v>0</v>
      </c>
      <c r="AO105" s="85">
        <f t="shared" si="100"/>
        <v>24</v>
      </c>
    </row>
    <row r="106" spans="5:41" ht="17.149999999999999" customHeight="1" x14ac:dyDescent="0.35">
      <c r="E106" s="57">
        <v>5</v>
      </c>
      <c r="F106" s="171" t="str">
        <f>IF(OR(WORKSHEET!E96="",WORKSHEET!C96=""),"",WORKSHEET!E96&amp;" - "&amp;TEXT(WORKSHEET!C96,"mmm-yy"))</f>
        <v/>
      </c>
      <c r="G106" s="71" t="str">
        <f>IF(WORKSHEET!U96="","-",IFERROR(WORKSHEET!K96/WORKSHEET!L96,"N/A"))</f>
        <v>N/A</v>
      </c>
      <c r="H106" s="58">
        <f t="shared" si="101"/>
        <v>0</v>
      </c>
      <c r="I106" s="38" t="e">
        <f>IF(WORKSHEET!H96="","-",(WORKSHEET!H96)/(WORKSHEET!G96/KEY!$AE$62))</f>
        <v>#DIV/0!</v>
      </c>
      <c r="J106" s="6" t="str">
        <f>IFERROR((WORKSHEET!H96)/WORKSHEET!G96,"-")</f>
        <v>-</v>
      </c>
      <c r="K106" s="59">
        <f t="shared" si="102"/>
        <v>0</v>
      </c>
      <c r="L106" s="60">
        <f>IF(WORKSHEET!I96="","-",WORKSHEET!I96)</f>
        <v>0</v>
      </c>
      <c r="M106" s="61" t="e">
        <f>IF(WORKSHEET!I96="","-",L106/WORKSHEET!$F96)</f>
        <v>#DIV/0!</v>
      </c>
      <c r="N106" s="58">
        <f t="shared" si="103"/>
        <v>0</v>
      </c>
      <c r="O106" s="38">
        <f>IF(WORKSHEET!J96="","-",WORKSHEET!J96)</f>
        <v>0</v>
      </c>
      <c r="P106" s="59">
        <f t="shared" si="104"/>
        <v>0</v>
      </c>
      <c r="Q106" s="11" t="str">
        <f>IFERROR(WORKSHEET!N96/WORKSHEET!M96,"-")</f>
        <v>-</v>
      </c>
      <c r="R106" s="63">
        <f t="shared" si="92"/>
        <v>0</v>
      </c>
      <c r="S106" s="15" t="str">
        <f>IFERROR(WORKSHEET!P96/WORKSHEET!O96,"-")</f>
        <v>-</v>
      </c>
      <c r="T106" s="59">
        <f t="shared" si="93"/>
        <v>0</v>
      </c>
      <c r="U106" s="62" t="str">
        <f>IF(WORKSHEET!U96="","-",IFERROR(WORKSHEET!V96/WORKSHEET!U96,"N/A"))</f>
        <v>N/A</v>
      </c>
      <c r="V106" s="63">
        <f t="shared" si="94"/>
        <v>0</v>
      </c>
      <c r="W106" s="337" t="s">
        <v>64</v>
      </c>
      <c r="X106" s="65">
        <f t="shared" si="105"/>
        <v>0</v>
      </c>
      <c r="Y106" s="15" t="str">
        <f>IFERROR(WORKSHEET!Q96/WORKSHEET!T96,"-")</f>
        <v>-</v>
      </c>
      <c r="Z106" s="59">
        <f t="shared" si="95"/>
        <v>0</v>
      </c>
      <c r="AA106" s="62" t="str">
        <f>IFERROR(WORKSHEET!R96/WORKSHEET!S96,"-")</f>
        <v>-</v>
      </c>
      <c r="AB106" s="63">
        <f t="shared" si="96"/>
        <v>0</v>
      </c>
      <c r="AC106" s="88">
        <f t="shared" si="97"/>
        <v>0</v>
      </c>
      <c r="AD106" s="89">
        <f t="shared" si="98"/>
        <v>76</v>
      </c>
      <c r="AE106" s="90">
        <f t="shared" si="106"/>
        <v>0</v>
      </c>
      <c r="AF106" s="91"/>
      <c r="AG106" t="b">
        <f t="shared" si="99"/>
        <v>0</v>
      </c>
      <c r="AO106" s="85">
        <f t="shared" si="100"/>
        <v>24</v>
      </c>
    </row>
    <row r="107" spans="5:41" ht="17.149999999999999" customHeight="1" x14ac:dyDescent="0.35">
      <c r="E107" s="57">
        <v>6</v>
      </c>
      <c r="F107" s="171" t="str">
        <f>IF(OR(WORKSHEET!E97="",WORKSHEET!C97=""),"",WORKSHEET!E97&amp;" - "&amp;TEXT(WORKSHEET!C97,"mmm-yy"))</f>
        <v/>
      </c>
      <c r="G107" s="71" t="str">
        <f>IF(WORKSHEET!U97="","-",IFERROR(WORKSHEET!K97/WORKSHEET!L97,"N/A"))</f>
        <v>N/A</v>
      </c>
      <c r="H107" s="58">
        <f t="shared" si="101"/>
        <v>0</v>
      </c>
      <c r="I107" s="38" t="e">
        <f>IF(WORKSHEET!H97="","-",(WORKSHEET!H97)/(WORKSHEET!G97/KEY!$AE$62))</f>
        <v>#DIV/0!</v>
      </c>
      <c r="J107" s="6" t="str">
        <f>IFERROR((WORKSHEET!H97)/WORKSHEET!G97,"-")</f>
        <v>-</v>
      </c>
      <c r="K107" s="59">
        <f t="shared" si="102"/>
        <v>0</v>
      </c>
      <c r="L107" s="60">
        <f>IF(WORKSHEET!I97="","-",WORKSHEET!I97)</f>
        <v>0</v>
      </c>
      <c r="M107" s="61" t="e">
        <f>IF(WORKSHEET!I97="","-",L107/WORKSHEET!$F97)</f>
        <v>#DIV/0!</v>
      </c>
      <c r="N107" s="58">
        <f t="shared" si="103"/>
        <v>0</v>
      </c>
      <c r="O107" s="38">
        <f>IF(WORKSHEET!J97="","-",WORKSHEET!J97)</f>
        <v>0</v>
      </c>
      <c r="P107" s="59">
        <f t="shared" si="104"/>
        <v>0</v>
      </c>
      <c r="Q107" s="11" t="str">
        <f>IFERROR(WORKSHEET!N97/WORKSHEET!M97,"-")</f>
        <v>-</v>
      </c>
      <c r="R107" s="63">
        <f t="shared" si="92"/>
        <v>0</v>
      </c>
      <c r="S107" s="15" t="str">
        <f>IFERROR(WORKSHEET!P97/WORKSHEET!O97,"-")</f>
        <v>-</v>
      </c>
      <c r="T107" s="59">
        <f t="shared" si="93"/>
        <v>0</v>
      </c>
      <c r="U107" s="62" t="str">
        <f>IF(WORKSHEET!U97="","-",IFERROR(WORKSHEET!V97/WORKSHEET!U97,"N/A"))</f>
        <v>N/A</v>
      </c>
      <c r="V107" s="63">
        <f t="shared" si="94"/>
        <v>0</v>
      </c>
      <c r="W107" s="337" t="s">
        <v>64</v>
      </c>
      <c r="X107" s="65">
        <f t="shared" si="105"/>
        <v>0</v>
      </c>
      <c r="Y107" s="15" t="str">
        <f>IFERROR(WORKSHEET!Q97/WORKSHEET!T97,"-")</f>
        <v>-</v>
      </c>
      <c r="Z107" s="59">
        <f t="shared" si="95"/>
        <v>0</v>
      </c>
      <c r="AA107" s="62" t="str">
        <f>IFERROR(WORKSHEET!R97/WORKSHEET!S97,"-")</f>
        <v>-</v>
      </c>
      <c r="AB107" s="63">
        <f t="shared" si="96"/>
        <v>0</v>
      </c>
      <c r="AC107" s="88">
        <f t="shared" si="97"/>
        <v>0</v>
      </c>
      <c r="AD107" s="89">
        <f t="shared" si="98"/>
        <v>76</v>
      </c>
      <c r="AE107" s="90">
        <f t="shared" si="106"/>
        <v>0</v>
      </c>
      <c r="AF107" s="91"/>
      <c r="AG107" t="b">
        <f t="shared" si="99"/>
        <v>0</v>
      </c>
      <c r="AO107" s="85">
        <f t="shared" si="100"/>
        <v>24</v>
      </c>
    </row>
    <row r="108" spans="5:41" ht="17.149999999999999" customHeight="1" x14ac:dyDescent="0.35">
      <c r="E108" s="57">
        <v>1</v>
      </c>
      <c r="F108" s="171" t="str">
        <f>IF(OR(WORKSHEET!E98="",WORKSHEET!C98=""),"",WORKSHEET!E98&amp;" - "&amp;TEXT(WORKSHEET!C98,"mmm-yy"))</f>
        <v/>
      </c>
      <c r="G108" s="71" t="str">
        <f>IF(WORKSHEET!U98="","-",IFERROR(WORKSHEET!K98/WORKSHEET!L98,"N/A"))</f>
        <v>N/A</v>
      </c>
      <c r="H108" s="58">
        <f t="shared" si="101"/>
        <v>0</v>
      </c>
      <c r="I108" s="38" t="e">
        <f>IF(WORKSHEET!H98="","-",(WORKSHEET!H98)/(WORKSHEET!G98/KEY!$AE$62))</f>
        <v>#DIV/0!</v>
      </c>
      <c r="J108" s="6" t="str">
        <f>IFERROR((WORKSHEET!H98)/WORKSHEET!G98,"-")</f>
        <v>-</v>
      </c>
      <c r="K108" s="59">
        <f t="shared" si="102"/>
        <v>0</v>
      </c>
      <c r="L108" s="60">
        <f>IF(WORKSHEET!I98="","-",WORKSHEET!I98)</f>
        <v>0</v>
      </c>
      <c r="M108" s="61" t="e">
        <f>IF(WORKSHEET!I98="","-",L108/WORKSHEET!$F98)</f>
        <v>#DIV/0!</v>
      </c>
      <c r="N108" s="58">
        <f t="shared" si="103"/>
        <v>0</v>
      </c>
      <c r="O108" s="38">
        <f>IF(WORKSHEET!J98="","-",WORKSHEET!J98)</f>
        <v>0</v>
      </c>
      <c r="P108" s="59">
        <f t="shared" si="104"/>
        <v>0</v>
      </c>
      <c r="Q108" s="11" t="str">
        <f>IFERROR(WORKSHEET!N98/WORKSHEET!M98,"-")</f>
        <v>-</v>
      </c>
      <c r="R108" s="63">
        <f t="shared" si="92"/>
        <v>0</v>
      </c>
      <c r="S108" s="15" t="str">
        <f>IFERROR(WORKSHEET!P98/WORKSHEET!O98,"-")</f>
        <v>-</v>
      </c>
      <c r="T108" s="59">
        <f t="shared" si="93"/>
        <v>0</v>
      </c>
      <c r="U108" s="62" t="str">
        <f>IF(WORKSHEET!U98="","-",IFERROR(WORKSHEET!V98/WORKSHEET!U98,"N/A"))</f>
        <v>N/A</v>
      </c>
      <c r="V108" s="63">
        <f t="shared" si="94"/>
        <v>0</v>
      </c>
      <c r="W108" s="337" t="s">
        <v>64</v>
      </c>
      <c r="X108" s="65">
        <f t="shared" si="105"/>
        <v>0</v>
      </c>
      <c r="Y108" s="15" t="str">
        <f>IFERROR(WORKSHEET!Q98/WORKSHEET!T98,"-")</f>
        <v>-</v>
      </c>
      <c r="Z108" s="59">
        <f t="shared" si="95"/>
        <v>0</v>
      </c>
      <c r="AA108" s="62" t="str">
        <f>IFERROR(WORKSHEET!R98/WORKSHEET!S98,"-")</f>
        <v>-</v>
      </c>
      <c r="AB108" s="63">
        <f t="shared" si="96"/>
        <v>0</v>
      </c>
      <c r="AC108" s="88">
        <f t="shared" si="97"/>
        <v>0</v>
      </c>
      <c r="AD108" s="89">
        <f t="shared" si="98"/>
        <v>76</v>
      </c>
      <c r="AE108" s="90">
        <f t="shared" si="106"/>
        <v>0</v>
      </c>
      <c r="AF108" s="91"/>
      <c r="AG108" t="b">
        <f t="shared" si="99"/>
        <v>0</v>
      </c>
      <c r="AO108" s="85">
        <f t="shared" si="100"/>
        <v>24</v>
      </c>
    </row>
    <row r="109" spans="5:41" ht="17.149999999999999" customHeight="1" x14ac:dyDescent="0.35">
      <c r="E109" s="57">
        <v>2</v>
      </c>
      <c r="F109" s="171" t="str">
        <f>IF(OR(WORKSHEET!E99="",WORKSHEET!C99=""),"",WORKSHEET!E99&amp;" - "&amp;TEXT(WORKSHEET!C99,"mmm-yy"))</f>
        <v/>
      </c>
      <c r="G109" s="71" t="str">
        <f>IF(WORKSHEET!U99="","-",IFERROR(WORKSHEET!K99/WORKSHEET!L99,"N/A"))</f>
        <v>N/A</v>
      </c>
      <c r="H109" s="58">
        <f t="shared" si="101"/>
        <v>0</v>
      </c>
      <c r="I109" s="38" t="e">
        <f>IF(WORKSHEET!H99="","-",(WORKSHEET!H99)/(WORKSHEET!G99/KEY!$AE$62))</f>
        <v>#DIV/0!</v>
      </c>
      <c r="J109" s="6" t="str">
        <f>IFERROR((WORKSHEET!H99)/WORKSHEET!G99,"-")</f>
        <v>-</v>
      </c>
      <c r="K109" s="59">
        <f t="shared" si="102"/>
        <v>0</v>
      </c>
      <c r="L109" s="60">
        <f>IF(WORKSHEET!I99="","-",WORKSHEET!I99)</f>
        <v>0</v>
      </c>
      <c r="M109" s="61" t="e">
        <f>IF(WORKSHEET!I99="","-",L109/WORKSHEET!$F99)</f>
        <v>#DIV/0!</v>
      </c>
      <c r="N109" s="58">
        <f t="shared" si="103"/>
        <v>0</v>
      </c>
      <c r="O109" s="38">
        <f>IF(WORKSHEET!J99="","-",WORKSHEET!J99)</f>
        <v>0</v>
      </c>
      <c r="P109" s="59">
        <f t="shared" si="104"/>
        <v>0</v>
      </c>
      <c r="Q109" s="11" t="str">
        <f>IFERROR(WORKSHEET!N99/WORKSHEET!M99,"-")</f>
        <v>-</v>
      </c>
      <c r="R109" s="63">
        <f t="shared" si="92"/>
        <v>0</v>
      </c>
      <c r="S109" s="15" t="str">
        <f>IFERROR(WORKSHEET!P99/WORKSHEET!O99,"-")</f>
        <v>-</v>
      </c>
      <c r="T109" s="59">
        <f t="shared" si="93"/>
        <v>0</v>
      </c>
      <c r="U109" s="62" t="str">
        <f>IF(WORKSHEET!U99="","-",IFERROR(WORKSHEET!V99/WORKSHEET!U99,"N/A"))</f>
        <v>N/A</v>
      </c>
      <c r="V109" s="63">
        <f t="shared" si="94"/>
        <v>0</v>
      </c>
      <c r="W109" s="337" t="s">
        <v>64</v>
      </c>
      <c r="X109" s="65">
        <f t="shared" si="105"/>
        <v>0</v>
      </c>
      <c r="Y109" s="15" t="str">
        <f>IFERROR(WORKSHEET!Q99/WORKSHEET!T99,"-")</f>
        <v>-</v>
      </c>
      <c r="Z109" s="59">
        <f t="shared" si="95"/>
        <v>0</v>
      </c>
      <c r="AA109" s="62" t="str">
        <f>IFERROR(WORKSHEET!R99/WORKSHEET!S99,"-")</f>
        <v>-</v>
      </c>
      <c r="AB109" s="63">
        <f t="shared" si="96"/>
        <v>0</v>
      </c>
      <c r="AC109" s="88">
        <f t="shared" si="97"/>
        <v>0</v>
      </c>
      <c r="AD109" s="89">
        <f t="shared" si="98"/>
        <v>76</v>
      </c>
      <c r="AE109" s="90">
        <f t="shared" si="106"/>
        <v>0</v>
      </c>
      <c r="AF109" s="91"/>
      <c r="AG109" t="b">
        <f t="shared" si="99"/>
        <v>0</v>
      </c>
      <c r="AO109" s="85">
        <f t="shared" si="100"/>
        <v>24</v>
      </c>
    </row>
    <row r="110" spans="5:41" ht="17.149999999999999" customHeight="1" x14ac:dyDescent="0.35">
      <c r="E110" s="57">
        <v>3</v>
      </c>
      <c r="F110" s="171" t="str">
        <f>IF(OR(WORKSHEET!E100="",WORKSHEET!C100=""),"",WORKSHEET!E100&amp;" - "&amp;TEXT(WORKSHEET!C100,"mmm-yy"))</f>
        <v/>
      </c>
      <c r="G110" s="71" t="str">
        <f>IF(WORKSHEET!U100="","-",IFERROR(WORKSHEET!K100/WORKSHEET!L100,"N/A"))</f>
        <v>N/A</v>
      </c>
      <c r="H110" s="58">
        <f t="shared" si="101"/>
        <v>0</v>
      </c>
      <c r="I110" s="38" t="e">
        <f>IF(WORKSHEET!H100="","-",(WORKSHEET!H100)/(WORKSHEET!G100/KEY!$AE$62))</f>
        <v>#DIV/0!</v>
      </c>
      <c r="J110" s="6" t="str">
        <f>IFERROR((WORKSHEET!H100)/WORKSHEET!G100,"-")</f>
        <v>-</v>
      </c>
      <c r="K110" s="59">
        <f t="shared" si="102"/>
        <v>0</v>
      </c>
      <c r="L110" s="60">
        <f>IF(WORKSHEET!I100="","-",WORKSHEET!I100)</f>
        <v>0</v>
      </c>
      <c r="M110" s="61" t="e">
        <f>IF(WORKSHEET!I100="","-",L110/WORKSHEET!$F100)</f>
        <v>#DIV/0!</v>
      </c>
      <c r="N110" s="58">
        <f t="shared" si="103"/>
        <v>0</v>
      </c>
      <c r="O110" s="38">
        <f>IF(WORKSHEET!J100="","-",WORKSHEET!J100)</f>
        <v>0</v>
      </c>
      <c r="P110" s="59">
        <f t="shared" si="104"/>
        <v>0</v>
      </c>
      <c r="Q110" s="11" t="str">
        <f>IFERROR(WORKSHEET!N100/WORKSHEET!M100,"-")</f>
        <v>-</v>
      </c>
      <c r="R110" s="63">
        <f t="shared" si="92"/>
        <v>0</v>
      </c>
      <c r="S110" s="15" t="str">
        <f>IFERROR(WORKSHEET!P100/WORKSHEET!O100,"-")</f>
        <v>-</v>
      </c>
      <c r="T110" s="59">
        <f t="shared" si="93"/>
        <v>0</v>
      </c>
      <c r="U110" s="62" t="str">
        <f>IF(WORKSHEET!U100="","-",IFERROR(WORKSHEET!V100/WORKSHEET!U100,"N/A"))</f>
        <v>N/A</v>
      </c>
      <c r="V110" s="63">
        <f t="shared" si="94"/>
        <v>0</v>
      </c>
      <c r="W110" s="337" t="s">
        <v>64</v>
      </c>
      <c r="X110" s="65">
        <f t="shared" si="105"/>
        <v>0</v>
      </c>
      <c r="Y110" s="15" t="str">
        <f>IFERROR(WORKSHEET!Q100/WORKSHEET!T100,"-")</f>
        <v>-</v>
      </c>
      <c r="Z110" s="59">
        <f t="shared" si="95"/>
        <v>0</v>
      </c>
      <c r="AA110" s="62" t="str">
        <f>IFERROR(WORKSHEET!R100/WORKSHEET!S100,"-")</f>
        <v>-</v>
      </c>
      <c r="AB110" s="63">
        <f t="shared" si="96"/>
        <v>0</v>
      </c>
      <c r="AC110" s="88">
        <f t="shared" si="97"/>
        <v>0</v>
      </c>
      <c r="AD110" s="89">
        <f t="shared" si="98"/>
        <v>76</v>
      </c>
      <c r="AE110" s="90">
        <f t="shared" si="106"/>
        <v>0</v>
      </c>
      <c r="AF110" s="91"/>
      <c r="AG110" t="b">
        <f t="shared" si="99"/>
        <v>0</v>
      </c>
      <c r="AO110" s="85">
        <f t="shared" si="100"/>
        <v>24</v>
      </c>
    </row>
    <row r="111" spans="5:41" ht="17.149999999999999" customHeight="1" x14ac:dyDescent="0.35">
      <c r="E111" s="57">
        <v>4</v>
      </c>
      <c r="F111" s="171" t="str">
        <f>IF(OR(WORKSHEET!E101="",WORKSHEET!C101=""),"",WORKSHEET!E101&amp;" - "&amp;TEXT(WORKSHEET!C101,"mmm-yy"))</f>
        <v/>
      </c>
      <c r="G111" s="71" t="str">
        <f>IF(WORKSHEET!U101="","-",IFERROR(WORKSHEET!K101/WORKSHEET!L101,"N/A"))</f>
        <v>N/A</v>
      </c>
      <c r="H111" s="58">
        <f t="shared" si="101"/>
        <v>0</v>
      </c>
      <c r="I111" s="38" t="e">
        <f>IF(WORKSHEET!H101="","-",(WORKSHEET!H101)/(WORKSHEET!G101/KEY!$AE$62))</f>
        <v>#DIV/0!</v>
      </c>
      <c r="J111" s="6" t="str">
        <f>IFERROR((WORKSHEET!H101)/WORKSHEET!G101,"-")</f>
        <v>-</v>
      </c>
      <c r="K111" s="59">
        <f t="shared" si="102"/>
        <v>0</v>
      </c>
      <c r="L111" s="60">
        <f>IF(WORKSHEET!I101="","-",WORKSHEET!I101)</f>
        <v>0</v>
      </c>
      <c r="M111" s="61" t="e">
        <f>IF(WORKSHEET!I101="","-",L111/WORKSHEET!$F101)</f>
        <v>#DIV/0!</v>
      </c>
      <c r="N111" s="58">
        <f t="shared" si="103"/>
        <v>0</v>
      </c>
      <c r="O111" s="38">
        <f>IF(WORKSHEET!J101="","-",WORKSHEET!J101)</f>
        <v>0</v>
      </c>
      <c r="P111" s="59">
        <f t="shared" si="104"/>
        <v>0</v>
      </c>
      <c r="Q111" s="11" t="str">
        <f>IFERROR(WORKSHEET!N101/WORKSHEET!M101,"-")</f>
        <v>-</v>
      </c>
      <c r="R111" s="63">
        <f t="shared" si="92"/>
        <v>0</v>
      </c>
      <c r="S111" s="15" t="str">
        <f>IFERROR(WORKSHEET!P101/WORKSHEET!O101,"-")</f>
        <v>-</v>
      </c>
      <c r="T111" s="59">
        <f t="shared" si="93"/>
        <v>0</v>
      </c>
      <c r="U111" s="62" t="str">
        <f>IF(WORKSHEET!U101="","-",IFERROR(WORKSHEET!V101/WORKSHEET!U101,"N/A"))</f>
        <v>N/A</v>
      </c>
      <c r="V111" s="63">
        <f t="shared" si="94"/>
        <v>0</v>
      </c>
      <c r="W111" s="337" t="s">
        <v>64</v>
      </c>
      <c r="X111" s="65">
        <f t="shared" si="105"/>
        <v>0</v>
      </c>
      <c r="Y111" s="15" t="str">
        <f>IFERROR(WORKSHEET!Q101/WORKSHEET!T101,"-")</f>
        <v>-</v>
      </c>
      <c r="Z111" s="59">
        <f t="shared" si="95"/>
        <v>0</v>
      </c>
      <c r="AA111" s="62" t="str">
        <f>IFERROR(WORKSHEET!R101/WORKSHEET!S101,"-")</f>
        <v>-</v>
      </c>
      <c r="AB111" s="63">
        <f t="shared" si="96"/>
        <v>0</v>
      </c>
      <c r="AC111" s="88">
        <f t="shared" si="97"/>
        <v>0</v>
      </c>
      <c r="AD111" s="89">
        <f t="shared" si="98"/>
        <v>76</v>
      </c>
      <c r="AE111" s="90">
        <f t="shared" si="106"/>
        <v>0</v>
      </c>
      <c r="AF111" s="91"/>
      <c r="AG111" t="b">
        <f t="shared" si="99"/>
        <v>0</v>
      </c>
      <c r="AO111" s="85">
        <f t="shared" si="100"/>
        <v>24</v>
      </c>
    </row>
    <row r="112" spans="5:41" ht="17.149999999999999" customHeight="1" x14ac:dyDescent="0.35">
      <c r="E112" s="57">
        <v>5</v>
      </c>
      <c r="F112" s="171" t="str">
        <f>IF(OR(WORKSHEET!E102="",WORKSHEET!C102=""),"",WORKSHEET!E102&amp;" - "&amp;TEXT(WORKSHEET!C102,"mmm-yy"))</f>
        <v/>
      </c>
      <c r="G112" s="71" t="str">
        <f>IF(WORKSHEET!U102="","-",IFERROR(WORKSHEET!K102/WORKSHEET!L102,"N/A"))</f>
        <v>N/A</v>
      </c>
      <c r="H112" s="58">
        <f t="shared" si="101"/>
        <v>0</v>
      </c>
      <c r="I112" s="38" t="e">
        <f>IF(WORKSHEET!H102="","-",(WORKSHEET!H102)/(WORKSHEET!G102/KEY!$AE$62))</f>
        <v>#DIV/0!</v>
      </c>
      <c r="J112" s="6" t="str">
        <f>IFERROR((WORKSHEET!H102)/WORKSHEET!G102,"-")</f>
        <v>-</v>
      </c>
      <c r="K112" s="59">
        <f t="shared" si="102"/>
        <v>0</v>
      </c>
      <c r="L112" s="60">
        <f>IF(WORKSHEET!I102="","-",WORKSHEET!I102)</f>
        <v>0</v>
      </c>
      <c r="M112" s="61" t="e">
        <f>IF(WORKSHEET!I102="","-",L112/WORKSHEET!$F102)</f>
        <v>#DIV/0!</v>
      </c>
      <c r="N112" s="58">
        <f t="shared" si="103"/>
        <v>0</v>
      </c>
      <c r="O112" s="38">
        <f>IF(WORKSHEET!J102="","-",WORKSHEET!J102)</f>
        <v>0</v>
      </c>
      <c r="P112" s="59">
        <f t="shared" si="104"/>
        <v>0</v>
      </c>
      <c r="Q112" s="11" t="str">
        <f>IFERROR(WORKSHEET!N102/WORKSHEET!M102,"-")</f>
        <v>-</v>
      </c>
      <c r="R112" s="63">
        <f t="shared" si="92"/>
        <v>0</v>
      </c>
      <c r="S112" s="15" t="str">
        <f>IFERROR(WORKSHEET!P102/WORKSHEET!O102,"-")</f>
        <v>-</v>
      </c>
      <c r="T112" s="59">
        <f t="shared" si="93"/>
        <v>0</v>
      </c>
      <c r="U112" s="62" t="str">
        <f>IF(WORKSHEET!U102="","-",IFERROR(WORKSHEET!V102/WORKSHEET!U102,"N/A"))</f>
        <v>N/A</v>
      </c>
      <c r="V112" s="63">
        <f t="shared" si="94"/>
        <v>0</v>
      </c>
      <c r="W112" s="337" t="s">
        <v>64</v>
      </c>
      <c r="X112" s="65">
        <f t="shared" si="105"/>
        <v>0</v>
      </c>
      <c r="Y112" s="15" t="str">
        <f>IFERROR(WORKSHEET!Q102/WORKSHEET!T102,"-")</f>
        <v>-</v>
      </c>
      <c r="Z112" s="59">
        <f t="shared" si="95"/>
        <v>0</v>
      </c>
      <c r="AA112" s="62" t="str">
        <f>IFERROR(WORKSHEET!R102/WORKSHEET!S102,"-")</f>
        <v>-</v>
      </c>
      <c r="AB112" s="63">
        <f t="shared" si="96"/>
        <v>0</v>
      </c>
      <c r="AC112" s="88">
        <f t="shared" si="97"/>
        <v>0</v>
      </c>
      <c r="AD112" s="89">
        <f t="shared" si="98"/>
        <v>76</v>
      </c>
      <c r="AE112" s="90">
        <f t="shared" si="106"/>
        <v>0</v>
      </c>
      <c r="AF112" s="91"/>
      <c r="AG112" t="b">
        <f t="shared" si="99"/>
        <v>0</v>
      </c>
      <c r="AO112" s="85">
        <f t="shared" si="100"/>
        <v>24</v>
      </c>
    </row>
    <row r="113" spans="2:41" ht="17.149999999999999" customHeight="1" x14ac:dyDescent="0.35">
      <c r="E113" s="57">
        <v>6</v>
      </c>
      <c r="F113" s="171" t="str">
        <f>IF(OR(WORKSHEET!E103="",WORKSHEET!C103=""),"",WORKSHEET!E103&amp;" - "&amp;TEXT(WORKSHEET!C103,"mmm-yy"))</f>
        <v/>
      </c>
      <c r="G113" s="71" t="str">
        <f>IF(WORKSHEET!U103="","-",IFERROR(WORKSHEET!K103/WORKSHEET!L103,"N/A"))</f>
        <v>N/A</v>
      </c>
      <c r="H113" s="58">
        <f t="shared" si="101"/>
        <v>0</v>
      </c>
      <c r="I113" s="38" t="e">
        <f>IF(WORKSHEET!H103="","-",(WORKSHEET!H103)/(WORKSHEET!G103/KEY!$AE$62))</f>
        <v>#DIV/0!</v>
      </c>
      <c r="J113" s="6" t="str">
        <f>IFERROR((WORKSHEET!H103)/WORKSHEET!G103,"-")</f>
        <v>-</v>
      </c>
      <c r="K113" s="59">
        <f t="shared" si="102"/>
        <v>0</v>
      </c>
      <c r="L113" s="60">
        <f>IF(WORKSHEET!I103="","-",WORKSHEET!I103)</f>
        <v>0</v>
      </c>
      <c r="M113" s="61" t="e">
        <f>IF(WORKSHEET!I103="","-",L113/WORKSHEET!$F103)</f>
        <v>#DIV/0!</v>
      </c>
      <c r="N113" s="58">
        <f t="shared" si="103"/>
        <v>0</v>
      </c>
      <c r="O113" s="38">
        <f>IF(WORKSHEET!J103="","-",WORKSHEET!J103)</f>
        <v>0</v>
      </c>
      <c r="P113" s="59">
        <f t="shared" si="104"/>
        <v>0</v>
      </c>
      <c r="Q113" s="11" t="str">
        <f>IFERROR(WORKSHEET!N103/WORKSHEET!M103,"-")</f>
        <v>-</v>
      </c>
      <c r="R113" s="63">
        <f t="shared" si="92"/>
        <v>0</v>
      </c>
      <c r="S113" s="15" t="str">
        <f>IFERROR(WORKSHEET!P103/WORKSHEET!O103,"-")</f>
        <v>-</v>
      </c>
      <c r="T113" s="59">
        <f t="shared" si="93"/>
        <v>0</v>
      </c>
      <c r="U113" s="62" t="str">
        <f>IF(WORKSHEET!U103="","-",IFERROR(WORKSHEET!V103/WORKSHEET!U103,"N/A"))</f>
        <v>N/A</v>
      </c>
      <c r="V113" s="63">
        <f t="shared" si="94"/>
        <v>0</v>
      </c>
      <c r="W113" s="337" t="s">
        <v>64</v>
      </c>
      <c r="X113" s="65">
        <f t="shared" si="105"/>
        <v>0</v>
      </c>
      <c r="Y113" s="15" t="str">
        <f>IFERROR(WORKSHEET!Q103/WORKSHEET!T103,"-")</f>
        <v>-</v>
      </c>
      <c r="Z113" s="59">
        <f t="shared" si="95"/>
        <v>0</v>
      </c>
      <c r="AA113" s="62" t="str">
        <f>IFERROR(WORKSHEET!R103/WORKSHEET!S103,"-")</f>
        <v>-</v>
      </c>
      <c r="AB113" s="63">
        <f t="shared" si="96"/>
        <v>0</v>
      </c>
      <c r="AC113" s="88">
        <f t="shared" si="97"/>
        <v>0</v>
      </c>
      <c r="AD113" s="89">
        <f t="shared" si="98"/>
        <v>76</v>
      </c>
      <c r="AE113" s="90">
        <f t="shared" si="106"/>
        <v>0</v>
      </c>
      <c r="AF113" s="91"/>
      <c r="AG113" t="b">
        <f t="shared" si="99"/>
        <v>0</v>
      </c>
      <c r="AO113" s="85">
        <f t="shared" si="100"/>
        <v>24</v>
      </c>
    </row>
    <row r="114" spans="2:41" ht="17.149999999999999" customHeight="1" x14ac:dyDescent="0.35">
      <c r="E114" s="57">
        <v>1</v>
      </c>
      <c r="F114" s="171" t="str">
        <f>IF(OR(WORKSHEET!E104="",WORKSHEET!C104=""),"",WORKSHEET!E104&amp;" - "&amp;TEXT(WORKSHEET!C104,"mmm-yy"))</f>
        <v/>
      </c>
      <c r="G114" s="71" t="str">
        <f>IF(WORKSHEET!U104="","-",IFERROR(WORKSHEET!K104/WORKSHEET!L104,"N/A"))</f>
        <v>N/A</v>
      </c>
      <c r="H114" s="58">
        <f t="shared" si="101"/>
        <v>0</v>
      </c>
      <c r="I114" s="38" t="e">
        <f>IF(WORKSHEET!H104="","-",(WORKSHEET!H104)/(WORKSHEET!G104/KEY!$AE$62))</f>
        <v>#DIV/0!</v>
      </c>
      <c r="J114" s="6" t="str">
        <f>IFERROR((WORKSHEET!H104)/WORKSHEET!G104,"-")</f>
        <v>-</v>
      </c>
      <c r="K114" s="59">
        <f t="shared" si="102"/>
        <v>0</v>
      </c>
      <c r="L114" s="60">
        <f>IF(WORKSHEET!I104="","-",WORKSHEET!I104)</f>
        <v>0</v>
      </c>
      <c r="M114" s="61" t="e">
        <f>IF(WORKSHEET!I104="","-",L114/WORKSHEET!$F104)</f>
        <v>#DIV/0!</v>
      </c>
      <c r="N114" s="58">
        <f t="shared" si="103"/>
        <v>0</v>
      </c>
      <c r="O114" s="38">
        <f>IF(WORKSHEET!J104="","-",WORKSHEET!J104)</f>
        <v>0</v>
      </c>
      <c r="P114" s="59">
        <f t="shared" si="104"/>
        <v>0</v>
      </c>
      <c r="Q114" s="11" t="str">
        <f>IFERROR(WORKSHEET!N104/WORKSHEET!M104,"-")</f>
        <v>-</v>
      </c>
      <c r="R114" s="63">
        <f t="shared" si="92"/>
        <v>0</v>
      </c>
      <c r="S114" s="15" t="str">
        <f>IFERROR(WORKSHEET!P104/WORKSHEET!O104,"-")</f>
        <v>-</v>
      </c>
      <c r="T114" s="59">
        <f t="shared" si="93"/>
        <v>0</v>
      </c>
      <c r="U114" s="62" t="str">
        <f>IF(WORKSHEET!U104="","-",IFERROR(WORKSHEET!V104/WORKSHEET!U104,"N/A"))</f>
        <v>N/A</v>
      </c>
      <c r="V114" s="63">
        <f t="shared" si="94"/>
        <v>0</v>
      </c>
      <c r="W114" s="337" t="s">
        <v>64</v>
      </c>
      <c r="X114" s="65">
        <f t="shared" si="105"/>
        <v>0</v>
      </c>
      <c r="Y114" s="15" t="str">
        <f>IFERROR(WORKSHEET!Q104/WORKSHEET!T104,"-")</f>
        <v>-</v>
      </c>
      <c r="Z114" s="59">
        <f t="shared" si="95"/>
        <v>0</v>
      </c>
      <c r="AA114" s="62" t="str">
        <f>IFERROR(WORKSHEET!R104/WORKSHEET!S104,"-")</f>
        <v>-</v>
      </c>
      <c r="AB114" s="63">
        <f t="shared" si="96"/>
        <v>0</v>
      </c>
      <c r="AC114" s="88">
        <f t="shared" si="97"/>
        <v>0</v>
      </c>
      <c r="AD114" s="89">
        <f t="shared" si="98"/>
        <v>76</v>
      </c>
      <c r="AE114" s="90">
        <f t="shared" si="106"/>
        <v>0</v>
      </c>
      <c r="AF114" s="91"/>
      <c r="AG114" t="b">
        <f t="shared" si="99"/>
        <v>0</v>
      </c>
      <c r="AO114" s="85">
        <f t="shared" si="100"/>
        <v>24</v>
      </c>
    </row>
    <row r="115" spans="2:41" ht="17.149999999999999" customHeight="1" x14ac:dyDescent="0.35">
      <c r="E115" s="57">
        <v>2</v>
      </c>
      <c r="F115" s="171" t="str">
        <f>IF(OR(WORKSHEET!E105="",WORKSHEET!C105=""),"",WORKSHEET!E105&amp;" - "&amp;TEXT(WORKSHEET!C105,"mmm-yy"))</f>
        <v/>
      </c>
      <c r="G115" s="71" t="str">
        <f>IF(WORKSHEET!U105="","-",IFERROR(WORKSHEET!K105/WORKSHEET!L105,"N/A"))</f>
        <v>N/A</v>
      </c>
      <c r="H115" s="58">
        <f t="shared" si="101"/>
        <v>0</v>
      </c>
      <c r="I115" s="38" t="e">
        <f>IF(WORKSHEET!H105="","-",(WORKSHEET!H105)/(WORKSHEET!G105/KEY!$AE$62))</f>
        <v>#DIV/0!</v>
      </c>
      <c r="J115" s="6" t="str">
        <f>IFERROR((WORKSHEET!H105)/WORKSHEET!G105,"-")</f>
        <v>-</v>
      </c>
      <c r="K115" s="59">
        <f t="shared" si="102"/>
        <v>0</v>
      </c>
      <c r="L115" s="60">
        <f>IF(WORKSHEET!I105="","-",WORKSHEET!I105)</f>
        <v>0</v>
      </c>
      <c r="M115" s="61" t="e">
        <f>IF(WORKSHEET!I105="","-",L115/WORKSHEET!$F105)</f>
        <v>#DIV/0!</v>
      </c>
      <c r="N115" s="58">
        <f t="shared" si="103"/>
        <v>0</v>
      </c>
      <c r="O115" s="38">
        <f>IF(WORKSHEET!J105="","-",WORKSHEET!J105)</f>
        <v>0</v>
      </c>
      <c r="P115" s="59">
        <f t="shared" si="104"/>
        <v>0</v>
      </c>
      <c r="Q115" s="11" t="str">
        <f>IFERROR(WORKSHEET!N105/WORKSHEET!M105,"-")</f>
        <v>-</v>
      </c>
      <c r="R115" s="63">
        <f t="shared" si="92"/>
        <v>0</v>
      </c>
      <c r="S115" s="15" t="str">
        <f>IFERROR(WORKSHEET!P105/WORKSHEET!O105,"-")</f>
        <v>-</v>
      </c>
      <c r="T115" s="59">
        <f t="shared" si="93"/>
        <v>0</v>
      </c>
      <c r="U115" s="62" t="str">
        <f>IF(WORKSHEET!U105="","-",IFERROR(WORKSHEET!V105/WORKSHEET!U105,"N/A"))</f>
        <v>N/A</v>
      </c>
      <c r="V115" s="63">
        <f t="shared" si="94"/>
        <v>0</v>
      </c>
      <c r="W115" s="337" t="s">
        <v>64</v>
      </c>
      <c r="X115" s="65">
        <f t="shared" si="105"/>
        <v>0</v>
      </c>
      <c r="Y115" s="15" t="str">
        <f>IFERROR(WORKSHEET!Q105/WORKSHEET!T105,"-")</f>
        <v>-</v>
      </c>
      <c r="Z115" s="59">
        <f t="shared" si="95"/>
        <v>0</v>
      </c>
      <c r="AA115" s="62" t="str">
        <f>IFERROR(WORKSHEET!R105/WORKSHEET!S105,"-")</f>
        <v>-</v>
      </c>
      <c r="AB115" s="63">
        <f t="shared" si="96"/>
        <v>0</v>
      </c>
      <c r="AC115" s="88">
        <f t="shared" si="97"/>
        <v>0</v>
      </c>
      <c r="AD115" s="89">
        <f t="shared" si="98"/>
        <v>76</v>
      </c>
      <c r="AE115" s="90">
        <f t="shared" si="106"/>
        <v>0</v>
      </c>
      <c r="AF115" s="91"/>
      <c r="AG115" t="b">
        <f t="shared" si="99"/>
        <v>0</v>
      </c>
      <c r="AO115" s="85">
        <f t="shared" si="100"/>
        <v>24</v>
      </c>
    </row>
    <row r="116" spans="2:41" ht="17.149999999999999" customHeight="1" x14ac:dyDescent="0.35">
      <c r="E116" s="57">
        <v>3</v>
      </c>
      <c r="F116" s="171" t="str">
        <f>IF(OR(WORKSHEET!E106="",WORKSHEET!C106=""),"",WORKSHEET!E106&amp;" - "&amp;TEXT(WORKSHEET!C106,"mmm-yy"))</f>
        <v/>
      </c>
      <c r="G116" s="71" t="str">
        <f>IF(WORKSHEET!U106="","-",IFERROR(WORKSHEET!K106/WORKSHEET!L106,"N/A"))</f>
        <v>N/A</v>
      </c>
      <c r="H116" s="58">
        <f t="shared" si="101"/>
        <v>0</v>
      </c>
      <c r="I116" s="38" t="e">
        <f>IF(WORKSHEET!H106="","-",(WORKSHEET!H106)/(WORKSHEET!G106/KEY!$AE$62))</f>
        <v>#DIV/0!</v>
      </c>
      <c r="J116" s="6" t="str">
        <f>IFERROR((WORKSHEET!H106)/WORKSHEET!G106,"-")</f>
        <v>-</v>
      </c>
      <c r="K116" s="59">
        <f t="shared" si="102"/>
        <v>0</v>
      </c>
      <c r="L116" s="60">
        <f>IF(WORKSHEET!I106="","-",WORKSHEET!I106)</f>
        <v>0</v>
      </c>
      <c r="M116" s="61" t="e">
        <f>IF(WORKSHEET!I106="","-",L116/WORKSHEET!$F106)</f>
        <v>#DIV/0!</v>
      </c>
      <c r="N116" s="58">
        <f t="shared" si="103"/>
        <v>0</v>
      </c>
      <c r="O116" s="38">
        <f>IF(WORKSHEET!J106="","-",WORKSHEET!J106)</f>
        <v>0</v>
      </c>
      <c r="P116" s="59">
        <f t="shared" si="104"/>
        <v>0</v>
      </c>
      <c r="Q116" s="11" t="str">
        <f>IFERROR(WORKSHEET!N106/WORKSHEET!M106,"-")</f>
        <v>-</v>
      </c>
      <c r="R116" s="63">
        <f t="shared" si="92"/>
        <v>0</v>
      </c>
      <c r="S116" s="15" t="str">
        <f>IFERROR(WORKSHEET!P106/WORKSHEET!O106,"-")</f>
        <v>-</v>
      </c>
      <c r="T116" s="59">
        <f t="shared" si="93"/>
        <v>0</v>
      </c>
      <c r="U116" s="62" t="str">
        <f>IF(WORKSHEET!U106="","-",IFERROR(WORKSHEET!V106/WORKSHEET!U106,"N/A"))</f>
        <v>N/A</v>
      </c>
      <c r="V116" s="63">
        <f t="shared" si="94"/>
        <v>0</v>
      </c>
      <c r="W116" s="337" t="s">
        <v>64</v>
      </c>
      <c r="X116" s="65">
        <f t="shared" si="105"/>
        <v>0</v>
      </c>
      <c r="Y116" s="15" t="str">
        <f>IFERROR(WORKSHEET!Q106/WORKSHEET!T106,"-")</f>
        <v>-</v>
      </c>
      <c r="Z116" s="59">
        <f t="shared" si="95"/>
        <v>0</v>
      </c>
      <c r="AA116" s="62" t="str">
        <f>IFERROR(WORKSHEET!R106/WORKSHEET!S106,"-")</f>
        <v>-</v>
      </c>
      <c r="AB116" s="63">
        <f t="shared" si="96"/>
        <v>0</v>
      </c>
      <c r="AC116" s="88">
        <f t="shared" si="97"/>
        <v>0</v>
      </c>
      <c r="AD116" s="89">
        <f t="shared" si="98"/>
        <v>76</v>
      </c>
      <c r="AE116" s="90">
        <f t="shared" si="106"/>
        <v>0</v>
      </c>
      <c r="AF116" s="171" t="str">
        <f>IF(OR(WORKSHEET!AE106="",WORKSHEET!AC106=""),"",WORKSHEET!AE106&amp;" - "&amp;TEXT(WORKSHEET!AC106,"mmm-yy"))</f>
        <v/>
      </c>
      <c r="AG116" t="b">
        <f t="shared" si="99"/>
        <v>0</v>
      </c>
      <c r="AO116" s="85">
        <f t="shared" si="100"/>
        <v>24</v>
      </c>
    </row>
    <row r="117" spans="2:41" ht="17.149999999999999" customHeight="1" x14ac:dyDescent="0.35">
      <c r="E117" s="57">
        <v>4</v>
      </c>
      <c r="F117" s="171" t="str">
        <f>IF(OR(WORKSHEET!E107="",WORKSHEET!C107=""),"",WORKSHEET!E107&amp;" - "&amp;TEXT(WORKSHEET!C107,"mmm-yy"))</f>
        <v/>
      </c>
      <c r="G117" s="71" t="str">
        <f>IF(WORKSHEET!U107="","-",IFERROR(WORKSHEET!K107/WORKSHEET!L107,"N/A"))</f>
        <v>N/A</v>
      </c>
      <c r="H117" s="58">
        <f t="shared" si="101"/>
        <v>0</v>
      </c>
      <c r="I117" s="38" t="e">
        <f>IF(WORKSHEET!H107="","-",(WORKSHEET!H107)/(WORKSHEET!G107/KEY!$AE$62))</f>
        <v>#DIV/0!</v>
      </c>
      <c r="J117" s="6" t="str">
        <f>IFERROR((WORKSHEET!H107)/WORKSHEET!G107,"-")</f>
        <v>-</v>
      </c>
      <c r="K117" s="59">
        <f t="shared" si="102"/>
        <v>0</v>
      </c>
      <c r="L117" s="60">
        <f>IF(WORKSHEET!I107="","-",WORKSHEET!I107)</f>
        <v>0</v>
      </c>
      <c r="M117" s="61" t="e">
        <f>IF(WORKSHEET!I107="","-",L117/WORKSHEET!$F107)</f>
        <v>#DIV/0!</v>
      </c>
      <c r="N117" s="58">
        <f t="shared" si="103"/>
        <v>0</v>
      </c>
      <c r="O117" s="38">
        <f>IF(WORKSHEET!J107="","-",WORKSHEET!J107)</f>
        <v>0</v>
      </c>
      <c r="P117" s="59">
        <f t="shared" si="104"/>
        <v>0</v>
      </c>
      <c r="Q117" s="11" t="str">
        <f>IFERROR(WORKSHEET!N107/WORKSHEET!M107,"-")</f>
        <v>-</v>
      </c>
      <c r="R117" s="63">
        <f t="shared" si="92"/>
        <v>0</v>
      </c>
      <c r="S117" s="15" t="str">
        <f>IFERROR(WORKSHEET!P107/WORKSHEET!O107,"-")</f>
        <v>-</v>
      </c>
      <c r="T117" s="59">
        <f t="shared" si="93"/>
        <v>0</v>
      </c>
      <c r="U117" s="62" t="str">
        <f>IF(WORKSHEET!U107="","-",IFERROR(WORKSHEET!V107/WORKSHEET!U107,"N/A"))</f>
        <v>N/A</v>
      </c>
      <c r="V117" s="63">
        <f t="shared" si="94"/>
        <v>0</v>
      </c>
      <c r="W117" s="337" t="s">
        <v>64</v>
      </c>
      <c r="X117" s="65">
        <f t="shared" si="105"/>
        <v>0</v>
      </c>
      <c r="Y117" s="15" t="str">
        <f>IFERROR(WORKSHEET!Q107/WORKSHEET!T107,"-")</f>
        <v>-</v>
      </c>
      <c r="Z117" s="59">
        <f t="shared" si="95"/>
        <v>0</v>
      </c>
      <c r="AA117" s="62" t="str">
        <f>IFERROR(WORKSHEET!R107/WORKSHEET!S107,"-")</f>
        <v>-</v>
      </c>
      <c r="AB117" s="63">
        <f t="shared" si="96"/>
        <v>0</v>
      </c>
      <c r="AC117" s="88">
        <f t="shared" si="97"/>
        <v>0</v>
      </c>
      <c r="AD117" s="89">
        <f t="shared" si="98"/>
        <v>76</v>
      </c>
      <c r="AE117" s="90">
        <f t="shared" si="106"/>
        <v>0</v>
      </c>
      <c r="AF117" s="171" t="str">
        <f>IF(OR(WORKSHEET!AE107="",WORKSHEET!AC107=""),"",WORKSHEET!AE107&amp;" - "&amp;TEXT(WORKSHEET!AC107,"mmm-yy"))</f>
        <v/>
      </c>
      <c r="AG117" t="b">
        <f t="shared" si="99"/>
        <v>0</v>
      </c>
      <c r="AO117" s="85">
        <f t="shared" si="100"/>
        <v>24</v>
      </c>
    </row>
    <row r="118" spans="2:41" ht="17.149999999999999" customHeight="1" x14ac:dyDescent="0.35">
      <c r="E118" s="57">
        <v>5</v>
      </c>
      <c r="F118" s="171" t="str">
        <f>IF(OR(WORKSHEET!E108="",WORKSHEET!C108=""),"",WORKSHEET!E108&amp;" - "&amp;TEXT(WORKSHEET!C108,"mmm-yy"))</f>
        <v/>
      </c>
      <c r="G118" s="71" t="str">
        <f>IF(WORKSHEET!U108="","-",IFERROR(WORKSHEET!K108/WORKSHEET!L108,"N/A"))</f>
        <v>N/A</v>
      </c>
      <c r="H118" s="58">
        <f t="shared" si="101"/>
        <v>0</v>
      </c>
      <c r="I118" s="38" t="e">
        <f>IF(WORKSHEET!H108="","-",(WORKSHEET!H108)/(WORKSHEET!G108/KEY!$AE$62))</f>
        <v>#DIV/0!</v>
      </c>
      <c r="J118" s="6" t="str">
        <f>IFERROR((WORKSHEET!H108)/WORKSHEET!G108,"-")</f>
        <v>-</v>
      </c>
      <c r="K118" s="59">
        <f t="shared" si="102"/>
        <v>0</v>
      </c>
      <c r="L118" s="60">
        <f>IF(WORKSHEET!I108="","-",WORKSHEET!I108)</f>
        <v>0</v>
      </c>
      <c r="M118" s="61" t="e">
        <f>IF(WORKSHEET!I108="","-",L118/WORKSHEET!$F108)</f>
        <v>#DIV/0!</v>
      </c>
      <c r="N118" s="58">
        <f t="shared" si="103"/>
        <v>0</v>
      </c>
      <c r="O118" s="38">
        <f>IF(WORKSHEET!J108="","-",WORKSHEET!J108)</f>
        <v>0</v>
      </c>
      <c r="P118" s="59">
        <f t="shared" si="104"/>
        <v>0</v>
      </c>
      <c r="Q118" s="11" t="str">
        <f>IFERROR(WORKSHEET!N108/WORKSHEET!M108,"-")</f>
        <v>-</v>
      </c>
      <c r="R118" s="63">
        <f t="shared" si="92"/>
        <v>0</v>
      </c>
      <c r="S118" s="15" t="str">
        <f>IFERROR(WORKSHEET!P108/WORKSHEET!O108,"-")</f>
        <v>-</v>
      </c>
      <c r="T118" s="59">
        <f t="shared" si="93"/>
        <v>0</v>
      </c>
      <c r="U118" s="62" t="str">
        <f>IF(WORKSHEET!U108="","-",IFERROR(WORKSHEET!V108/WORKSHEET!U108,"N/A"))</f>
        <v>N/A</v>
      </c>
      <c r="V118" s="63">
        <f t="shared" si="94"/>
        <v>0</v>
      </c>
      <c r="W118" s="337" t="s">
        <v>64</v>
      </c>
      <c r="X118" s="65">
        <f t="shared" si="105"/>
        <v>0</v>
      </c>
      <c r="Y118" s="15" t="str">
        <f>IFERROR(WORKSHEET!Q108/WORKSHEET!T108,"-")</f>
        <v>-</v>
      </c>
      <c r="Z118" s="59">
        <f t="shared" si="95"/>
        <v>0</v>
      </c>
      <c r="AA118" s="62" t="str">
        <f>IFERROR(WORKSHEET!R108/WORKSHEET!S108,"-")</f>
        <v>-</v>
      </c>
      <c r="AB118" s="63">
        <f t="shared" si="96"/>
        <v>0</v>
      </c>
      <c r="AC118" s="88">
        <f t="shared" si="97"/>
        <v>0</v>
      </c>
      <c r="AD118" s="89">
        <f t="shared" si="98"/>
        <v>76</v>
      </c>
      <c r="AE118" s="90">
        <f t="shared" si="106"/>
        <v>0</v>
      </c>
      <c r="AF118" s="171" t="str">
        <f>IF(OR(WORKSHEET!AE108="",WORKSHEET!AC108=""),"",WORKSHEET!AE108&amp;" - "&amp;TEXT(WORKSHEET!AC108,"mmm-yy"))</f>
        <v/>
      </c>
      <c r="AG118" t="b">
        <f t="shared" si="99"/>
        <v>0</v>
      </c>
      <c r="AO118" s="85">
        <f t="shared" si="100"/>
        <v>24</v>
      </c>
    </row>
    <row r="119" spans="2:41" ht="17.149999999999999" customHeight="1" x14ac:dyDescent="0.35">
      <c r="E119" s="57">
        <v>6</v>
      </c>
      <c r="F119" s="171" t="str">
        <f>IF(OR(WORKSHEET!E109="",WORKSHEET!C109=""),"",WORKSHEET!E109&amp;" - "&amp;TEXT(WORKSHEET!C109,"mmm-yy"))</f>
        <v/>
      </c>
      <c r="G119" s="71" t="str">
        <f>IF(WORKSHEET!U109="","-",IFERROR(WORKSHEET!K109/WORKSHEET!L109,"N/A"))</f>
        <v>N/A</v>
      </c>
      <c r="H119" s="58">
        <f t="shared" si="101"/>
        <v>0</v>
      </c>
      <c r="I119" s="38" t="e">
        <f>IF(WORKSHEET!H109="","-",(WORKSHEET!H109)/(WORKSHEET!G109/KEY!$AE$62))</f>
        <v>#DIV/0!</v>
      </c>
      <c r="J119" s="6" t="str">
        <f>IFERROR((WORKSHEET!H109)/WORKSHEET!G109,"-")</f>
        <v>-</v>
      </c>
      <c r="K119" s="59">
        <f t="shared" si="102"/>
        <v>0</v>
      </c>
      <c r="L119" s="60">
        <f>IF(WORKSHEET!I109="","-",WORKSHEET!I109)</f>
        <v>0</v>
      </c>
      <c r="M119" s="61" t="e">
        <f>IF(WORKSHEET!I109="","-",L119/WORKSHEET!$F109)</f>
        <v>#DIV/0!</v>
      </c>
      <c r="N119" s="58">
        <f t="shared" si="103"/>
        <v>0</v>
      </c>
      <c r="O119" s="38">
        <f>IF(WORKSHEET!J109="","-",WORKSHEET!J109)</f>
        <v>0</v>
      </c>
      <c r="P119" s="59">
        <f t="shared" si="104"/>
        <v>0</v>
      </c>
      <c r="Q119" s="11" t="str">
        <f>IFERROR(WORKSHEET!N109/WORKSHEET!M109,"-")</f>
        <v>-</v>
      </c>
      <c r="R119" s="63">
        <f t="shared" si="92"/>
        <v>0</v>
      </c>
      <c r="S119" s="15" t="str">
        <f>IFERROR(WORKSHEET!P109/WORKSHEET!O109,"-")</f>
        <v>-</v>
      </c>
      <c r="T119" s="59">
        <f t="shared" si="93"/>
        <v>0</v>
      </c>
      <c r="U119" s="62" t="str">
        <f>IF(WORKSHEET!U109="","-",IFERROR(WORKSHEET!V109/WORKSHEET!U109,"N/A"))</f>
        <v>N/A</v>
      </c>
      <c r="V119" s="63">
        <f t="shared" si="94"/>
        <v>0</v>
      </c>
      <c r="W119" s="337" t="s">
        <v>64</v>
      </c>
      <c r="X119" s="65">
        <f t="shared" si="105"/>
        <v>0</v>
      </c>
      <c r="Y119" s="15" t="str">
        <f>IFERROR(WORKSHEET!Q109/WORKSHEET!T109,"-")</f>
        <v>-</v>
      </c>
      <c r="Z119" s="59">
        <f t="shared" si="95"/>
        <v>0</v>
      </c>
      <c r="AA119" s="62" t="str">
        <f>IFERROR(WORKSHEET!R109/WORKSHEET!S109,"-")</f>
        <v>-</v>
      </c>
      <c r="AB119" s="63">
        <f t="shared" si="96"/>
        <v>0</v>
      </c>
      <c r="AC119" s="88">
        <f t="shared" si="97"/>
        <v>0</v>
      </c>
      <c r="AD119" s="89">
        <f t="shared" si="98"/>
        <v>76</v>
      </c>
      <c r="AE119" s="90">
        <f t="shared" si="106"/>
        <v>0</v>
      </c>
      <c r="AF119" s="171" t="str">
        <f>IF(OR(WORKSHEET!AE109="",WORKSHEET!AC109=""),"",WORKSHEET!AE109&amp;" - "&amp;TEXT(WORKSHEET!AC109,"mmm-yy"))</f>
        <v/>
      </c>
      <c r="AG119" t="b">
        <f t="shared" si="99"/>
        <v>0</v>
      </c>
      <c r="AO119" s="85">
        <f t="shared" si="100"/>
        <v>24</v>
      </c>
    </row>
    <row r="120" spans="2:41" ht="17.149999999999999" customHeight="1" x14ac:dyDescent="0.35">
      <c r="G120" s="420">
        <v>396</v>
      </c>
      <c r="H120" s="420">
        <f>SUM(H20:H90)</f>
        <v>497</v>
      </c>
      <c r="I120" s="421">
        <f>H120/G120</f>
        <v>1.255050505050505</v>
      </c>
      <c r="J120" s="422"/>
      <c r="K120" s="420">
        <f>SUM(K20:K90)</f>
        <v>630</v>
      </c>
      <c r="L120" s="420"/>
      <c r="M120" s="420"/>
      <c r="N120" s="420">
        <f>SUM(N20:N90)</f>
        <v>579</v>
      </c>
      <c r="O120" s="420"/>
      <c r="P120" s="420">
        <f>SUM(P20:P90)</f>
        <v>161</v>
      </c>
      <c r="Q120" s="420"/>
      <c r="R120" s="420">
        <f>SUM(R20:R90)</f>
        <v>674</v>
      </c>
      <c r="S120" s="420"/>
      <c r="T120" s="420">
        <f>SUM(T20:T90)</f>
        <v>592</v>
      </c>
      <c r="U120" s="420"/>
      <c r="V120" s="420">
        <f>SUM(V20:V90)</f>
        <v>448</v>
      </c>
      <c r="W120" s="420"/>
      <c r="X120" s="420"/>
      <c r="Y120" s="420"/>
      <c r="Z120" s="420">
        <f>SUM(Z20:Z90)</f>
        <v>583</v>
      </c>
      <c r="AA120" s="420"/>
      <c r="AB120" s="420">
        <f>SUM(AB20:AB90)</f>
        <v>670</v>
      </c>
      <c r="AC120" s="73"/>
      <c r="AD120" s="73"/>
      <c r="AE120" s="74"/>
    </row>
    <row r="121" spans="2:41" ht="17.149999999999999" customHeight="1" thickBot="1" x14ac:dyDescent="0.4">
      <c r="B121" s="8"/>
      <c r="C121" s="8"/>
      <c r="D121" s="8"/>
      <c r="E121" s="8"/>
      <c r="F121" s="8" t="s">
        <v>40</v>
      </c>
      <c r="G121" s="25" t="s">
        <v>41</v>
      </c>
      <c r="H121" s="26" t="s">
        <v>42</v>
      </c>
      <c r="I121" s="27"/>
      <c r="J121" s="27"/>
      <c r="K121" s="30" t="s">
        <v>42</v>
      </c>
      <c r="L121" s="49"/>
      <c r="M121" s="76" t="s">
        <v>41</v>
      </c>
      <c r="N121" s="26" t="s">
        <v>42</v>
      </c>
      <c r="O121" s="54" t="s">
        <v>41</v>
      </c>
      <c r="P121" s="27" t="s">
        <v>42</v>
      </c>
      <c r="Q121" s="25" t="s">
        <v>41</v>
      </c>
      <c r="R121" s="26" t="s">
        <v>42</v>
      </c>
      <c r="S121" s="28" t="s">
        <v>41</v>
      </c>
      <c r="T121" s="30" t="s">
        <v>42</v>
      </c>
      <c r="U121" s="32" t="s">
        <v>41</v>
      </c>
      <c r="V121" s="26" t="s">
        <v>42</v>
      </c>
      <c r="W121" s="31" t="s">
        <v>41</v>
      </c>
      <c r="X121" s="30" t="s">
        <v>42</v>
      </c>
      <c r="Y121" s="28" t="s">
        <v>41</v>
      </c>
      <c r="Z121" s="30" t="s">
        <v>42</v>
      </c>
      <c r="AA121" s="32" t="s">
        <v>41</v>
      </c>
      <c r="AB121" s="26" t="s">
        <v>42</v>
      </c>
    </row>
    <row r="122" spans="2:41" ht="17.149999999999999" customHeight="1" x14ac:dyDescent="0.35">
      <c r="B122" s="3"/>
      <c r="C122" s="3"/>
      <c r="D122" s="3"/>
      <c r="E122" s="3"/>
      <c r="F122" s="3" t="s">
        <v>43</v>
      </c>
      <c r="G122" s="11">
        <v>0.79500000000000004</v>
      </c>
      <c r="H122" s="33">
        <f t="shared" ref="H122:H129" si="107">IF(H8="","-",H8-H7)</f>
        <v>5</v>
      </c>
      <c r="I122" s="40">
        <v>0.59499999999999997</v>
      </c>
      <c r="J122" s="189">
        <f>I122*0.33</f>
        <v>0.19635</v>
      </c>
      <c r="K122" s="37">
        <f t="shared" ref="K122:K129" si="108">IF(K8="","-",K8-K7)</f>
        <v>5</v>
      </c>
      <c r="L122" s="77"/>
      <c r="M122" s="61">
        <v>0.45</v>
      </c>
      <c r="N122" s="33">
        <f t="shared" ref="N122:N129" si="109">IF(N8="","-",N8-N7)</f>
        <v>3</v>
      </c>
      <c r="O122" s="4">
        <v>0.59499999999999997</v>
      </c>
      <c r="P122" s="37">
        <f t="shared" ref="P122:P129" si="110">IF(P8="","-",P8-P7)</f>
        <v>1</v>
      </c>
      <c r="Q122" s="11">
        <v>6.5000000000000002E-2</v>
      </c>
      <c r="R122" s="33">
        <f t="shared" ref="R122:R129" si="111">IF(R8="","-",R8-R7)</f>
        <v>4</v>
      </c>
      <c r="S122" s="10">
        <v>0.115</v>
      </c>
      <c r="T122" s="37">
        <f t="shared" ref="T122:T129" si="112">IF(T8="","-",T8-T7)</f>
        <v>4</v>
      </c>
      <c r="U122" s="39">
        <v>0.44500000000000001</v>
      </c>
      <c r="V122" s="33">
        <f t="shared" ref="V122:V129" si="113">IF(V8="","-",V8-V7)</f>
        <v>4</v>
      </c>
      <c r="W122" s="38" t="s">
        <v>58</v>
      </c>
      <c r="X122" s="37">
        <v>10</v>
      </c>
      <c r="Y122" s="10">
        <v>0.59499999999999997</v>
      </c>
      <c r="Z122" s="37">
        <f t="shared" ref="Z122:Z129" si="114">IF(Z8="","-",Z8-Z7)</f>
        <v>2</v>
      </c>
      <c r="AA122" s="39">
        <v>0.30499999999999999</v>
      </c>
      <c r="AB122" s="33">
        <f t="shared" ref="AB122:AB129" si="115">IF(AB8="","-",AB8-AB7)</f>
        <v>4</v>
      </c>
      <c r="AO122" s="85"/>
    </row>
    <row r="123" spans="2:41" ht="17.149999999999999" customHeight="1" x14ac:dyDescent="0.35">
      <c r="B123" s="3"/>
      <c r="C123" s="3"/>
      <c r="D123" s="3"/>
      <c r="E123" s="3"/>
      <c r="F123" s="3" t="s">
        <v>43</v>
      </c>
      <c r="G123" s="11">
        <v>0.84499999999999997</v>
      </c>
      <c r="H123" s="33">
        <f t="shared" si="107"/>
        <v>2</v>
      </c>
      <c r="I123" s="40">
        <v>0.69499999999999995</v>
      </c>
      <c r="J123" s="190">
        <f>I123*0.33</f>
        <v>0.22935</v>
      </c>
      <c r="K123" s="37">
        <f t="shared" si="108"/>
        <v>2</v>
      </c>
      <c r="L123" s="77"/>
      <c r="M123" s="61">
        <v>0.95</v>
      </c>
      <c r="N123" s="33">
        <f t="shared" si="109"/>
        <v>3</v>
      </c>
      <c r="O123" s="4">
        <v>0.69499999999999995</v>
      </c>
      <c r="P123" s="37">
        <f t="shared" si="110"/>
        <v>1</v>
      </c>
      <c r="Q123" s="11">
        <v>8.5000000000000006E-2</v>
      </c>
      <c r="R123" s="33">
        <f t="shared" si="111"/>
        <v>2</v>
      </c>
      <c r="S123" s="10">
        <v>0.13500000000000001</v>
      </c>
      <c r="T123" s="37">
        <f t="shared" si="112"/>
        <v>2</v>
      </c>
      <c r="U123" s="39">
        <v>0.54500000000000004</v>
      </c>
      <c r="V123" s="33">
        <f t="shared" si="113"/>
        <v>2</v>
      </c>
      <c r="W123" s="38" t="s">
        <v>64</v>
      </c>
      <c r="X123" s="37" t="s">
        <v>64</v>
      </c>
      <c r="Y123" s="10">
        <v>0.69499999999999995</v>
      </c>
      <c r="Z123" s="37">
        <f t="shared" si="114"/>
        <v>2</v>
      </c>
      <c r="AA123" s="39">
        <v>0.34499999999999997</v>
      </c>
      <c r="AB123" s="33">
        <f t="shared" si="115"/>
        <v>2</v>
      </c>
    </row>
    <row r="124" spans="2:41" ht="17.149999999999999" customHeight="1" x14ac:dyDescent="0.35">
      <c r="B124" s="3"/>
      <c r="C124" s="3"/>
      <c r="D124" s="3"/>
      <c r="E124" s="3"/>
      <c r="F124" s="3" t="s">
        <v>43</v>
      </c>
      <c r="G124" s="11">
        <v>0.89500000000000002</v>
      </c>
      <c r="H124" s="33">
        <f t="shared" si="107"/>
        <v>2</v>
      </c>
      <c r="I124" s="40">
        <v>0.79500000000000004</v>
      </c>
      <c r="J124" s="190">
        <f>I124*0.33</f>
        <v>0.26235000000000003</v>
      </c>
      <c r="K124" s="37">
        <f t="shared" si="108"/>
        <v>2</v>
      </c>
      <c r="L124" s="77"/>
      <c r="M124" s="61">
        <v>1.45</v>
      </c>
      <c r="N124" s="33">
        <f t="shared" si="109"/>
        <v>3</v>
      </c>
      <c r="O124" s="4">
        <v>0.79500000000000004</v>
      </c>
      <c r="P124" s="37">
        <f t="shared" si="110"/>
        <v>1</v>
      </c>
      <c r="Q124" s="11">
        <v>9.5000000000000001E-2</v>
      </c>
      <c r="R124" s="33">
        <f t="shared" si="111"/>
        <v>2</v>
      </c>
      <c r="S124" s="10">
        <v>0.16500000000000001</v>
      </c>
      <c r="T124" s="37">
        <f t="shared" si="112"/>
        <v>2</v>
      </c>
      <c r="U124" s="39">
        <v>0.59499999999999997</v>
      </c>
      <c r="V124" s="33">
        <f t="shared" si="113"/>
        <v>2</v>
      </c>
      <c r="W124" s="38" t="s">
        <v>64</v>
      </c>
      <c r="X124" s="37" t="s">
        <v>64</v>
      </c>
      <c r="Y124" s="10">
        <v>0.745</v>
      </c>
      <c r="Z124" s="37">
        <f t="shared" si="114"/>
        <v>2</v>
      </c>
      <c r="AA124" s="39">
        <v>0.39500000000000002</v>
      </c>
      <c r="AB124" s="33">
        <f t="shared" si="115"/>
        <v>2</v>
      </c>
    </row>
    <row r="125" spans="2:41" ht="17.149999999999999" customHeight="1" x14ac:dyDescent="0.35">
      <c r="B125" s="3"/>
      <c r="C125" s="3"/>
      <c r="D125" s="3"/>
      <c r="E125" s="3"/>
      <c r="F125" s="3" t="s">
        <v>43</v>
      </c>
      <c r="G125" s="35">
        <v>0.94499999999999995</v>
      </c>
      <c r="H125" s="78">
        <f t="shared" si="107"/>
        <v>1</v>
      </c>
      <c r="I125" s="40">
        <v>0.89500000000000002</v>
      </c>
      <c r="J125" s="190">
        <f>I125*0.33</f>
        <v>0.29535</v>
      </c>
      <c r="K125" s="37">
        <f t="shared" si="108"/>
        <v>1</v>
      </c>
      <c r="L125" s="77"/>
      <c r="M125" s="61">
        <v>1.95</v>
      </c>
      <c r="N125" s="78">
        <f t="shared" si="109"/>
        <v>3</v>
      </c>
      <c r="O125" s="4">
        <v>0.89500000000000002</v>
      </c>
      <c r="P125" s="37">
        <f t="shared" si="110"/>
        <v>1</v>
      </c>
      <c r="Q125" s="11">
        <v>0.105</v>
      </c>
      <c r="R125" s="78">
        <f t="shared" si="111"/>
        <v>2</v>
      </c>
      <c r="S125" s="10">
        <v>0.19500000000000001</v>
      </c>
      <c r="T125" s="37">
        <f t="shared" si="112"/>
        <v>2</v>
      </c>
      <c r="U125" s="39">
        <v>0.64500000000000002</v>
      </c>
      <c r="V125" s="78">
        <f t="shared" si="113"/>
        <v>2</v>
      </c>
      <c r="W125" s="38" t="s">
        <v>64</v>
      </c>
      <c r="X125" s="37" t="s">
        <v>64</v>
      </c>
      <c r="Y125" s="10">
        <v>0.79500000000000004</v>
      </c>
      <c r="Z125" s="37">
        <f t="shared" si="114"/>
        <v>2</v>
      </c>
      <c r="AA125" s="39">
        <v>0.44500000000000001</v>
      </c>
      <c r="AB125" s="78">
        <f t="shared" si="115"/>
        <v>2</v>
      </c>
    </row>
    <row r="126" spans="2:41" ht="17.149999999999999" customHeight="1" x14ac:dyDescent="0.35">
      <c r="B126" s="3"/>
      <c r="C126" s="3"/>
      <c r="D126" s="3"/>
      <c r="E126" s="3"/>
      <c r="F126" s="3" t="s">
        <v>43</v>
      </c>
      <c r="G126" s="11">
        <v>0.995</v>
      </c>
      <c r="H126" s="33">
        <f t="shared" si="107"/>
        <v>2</v>
      </c>
      <c r="I126" s="40">
        <v>0.94499999999999995</v>
      </c>
      <c r="J126" s="190">
        <f>I126*0.33</f>
        <v>0.31185000000000002</v>
      </c>
      <c r="K126" s="37">
        <f t="shared" si="108"/>
        <v>2</v>
      </c>
      <c r="L126" s="79"/>
      <c r="M126" s="5" t="s">
        <v>64</v>
      </c>
      <c r="N126" s="33" t="str">
        <f t="shared" si="109"/>
        <v>-</v>
      </c>
      <c r="O126" s="80" t="s">
        <v>64</v>
      </c>
      <c r="P126" s="37" t="str">
        <f t="shared" si="110"/>
        <v>-</v>
      </c>
      <c r="Q126" s="11">
        <v>0.125</v>
      </c>
      <c r="R126" s="33">
        <f t="shared" si="111"/>
        <v>2</v>
      </c>
      <c r="S126" s="10">
        <v>0.22500000000000001</v>
      </c>
      <c r="T126" s="37">
        <f t="shared" si="112"/>
        <v>2</v>
      </c>
      <c r="U126" s="39">
        <v>0.69499999999999995</v>
      </c>
      <c r="V126" s="33">
        <f t="shared" si="113"/>
        <v>2</v>
      </c>
      <c r="W126" s="38" t="s">
        <v>64</v>
      </c>
      <c r="X126" s="37" t="s">
        <v>64</v>
      </c>
      <c r="Y126" s="10">
        <v>0.84499999999999997</v>
      </c>
      <c r="Z126" s="37">
        <f t="shared" si="114"/>
        <v>2</v>
      </c>
      <c r="AA126" s="39">
        <v>0.495</v>
      </c>
      <c r="AB126" s="33">
        <f t="shared" si="115"/>
        <v>2</v>
      </c>
    </row>
    <row r="127" spans="2:41" ht="17.149999999999999" customHeight="1" x14ac:dyDescent="0.35">
      <c r="B127" s="3"/>
      <c r="C127" s="3"/>
      <c r="D127" s="3"/>
      <c r="E127" s="3"/>
      <c r="F127" s="3"/>
      <c r="G127" s="11" t="s">
        <v>64</v>
      </c>
      <c r="H127" s="33" t="str">
        <f t="shared" si="107"/>
        <v>-</v>
      </c>
      <c r="I127" s="320" t="s">
        <v>64</v>
      </c>
      <c r="J127" s="190" t="s">
        <v>64</v>
      </c>
      <c r="K127" s="37" t="str">
        <f t="shared" si="108"/>
        <v>-</v>
      </c>
      <c r="L127" s="79"/>
      <c r="M127" s="5" t="s">
        <v>64</v>
      </c>
      <c r="N127" s="33" t="str">
        <f t="shared" si="109"/>
        <v>-</v>
      </c>
      <c r="O127" s="80" t="s">
        <v>64</v>
      </c>
      <c r="P127" s="37" t="str">
        <f t="shared" si="110"/>
        <v>-</v>
      </c>
      <c r="Q127" s="11" t="s">
        <v>64</v>
      </c>
      <c r="R127" s="33" t="str">
        <f t="shared" si="111"/>
        <v>-</v>
      </c>
      <c r="S127" s="10" t="s">
        <v>64</v>
      </c>
      <c r="T127" s="37" t="str">
        <f t="shared" si="112"/>
        <v>-</v>
      </c>
      <c r="U127" s="39" t="s">
        <v>64</v>
      </c>
      <c r="V127" s="33" t="str">
        <f t="shared" si="113"/>
        <v>-</v>
      </c>
      <c r="W127" s="38" t="s">
        <v>64</v>
      </c>
      <c r="X127" s="37" t="s">
        <v>64</v>
      </c>
      <c r="Y127" s="10">
        <v>0.89500000000000002</v>
      </c>
      <c r="Z127" s="37">
        <f t="shared" si="114"/>
        <v>1</v>
      </c>
      <c r="AA127" s="39" t="s">
        <v>64</v>
      </c>
      <c r="AB127" s="33" t="str">
        <f t="shared" si="115"/>
        <v>-</v>
      </c>
    </row>
    <row r="128" spans="2:41" ht="17.149999999999999" customHeight="1" x14ac:dyDescent="0.35">
      <c r="B128" s="3"/>
      <c r="C128" s="3"/>
      <c r="D128" s="3"/>
      <c r="E128" s="3"/>
      <c r="F128" s="3"/>
      <c r="G128" s="11" t="s">
        <v>64</v>
      </c>
      <c r="H128" s="33" t="str">
        <f t="shared" si="107"/>
        <v>-</v>
      </c>
      <c r="I128" s="320" t="s">
        <v>64</v>
      </c>
      <c r="J128" s="190" t="s">
        <v>64</v>
      </c>
      <c r="K128" s="37" t="str">
        <f t="shared" si="108"/>
        <v>-</v>
      </c>
      <c r="L128" s="79"/>
      <c r="M128" s="5" t="s">
        <v>64</v>
      </c>
      <c r="N128" s="33" t="str">
        <f t="shared" si="109"/>
        <v>-</v>
      </c>
      <c r="O128" s="80" t="s">
        <v>64</v>
      </c>
      <c r="P128" s="37" t="str">
        <f t="shared" si="110"/>
        <v>-</v>
      </c>
      <c r="Q128" s="11" t="s">
        <v>64</v>
      </c>
      <c r="R128" s="33" t="str">
        <f t="shared" si="111"/>
        <v>-</v>
      </c>
      <c r="S128" s="10" t="s">
        <v>64</v>
      </c>
      <c r="T128" s="37" t="str">
        <f t="shared" si="112"/>
        <v>-</v>
      </c>
      <c r="U128" s="39" t="s">
        <v>64</v>
      </c>
      <c r="V128" s="33" t="str">
        <f t="shared" si="113"/>
        <v>-</v>
      </c>
      <c r="W128" s="38" t="s">
        <v>64</v>
      </c>
      <c r="X128" s="37" t="s">
        <v>64</v>
      </c>
      <c r="Y128" s="10">
        <v>0.94499999999999995</v>
      </c>
      <c r="Z128" s="37">
        <f t="shared" si="114"/>
        <v>1</v>
      </c>
      <c r="AA128" s="39" t="s">
        <v>64</v>
      </c>
      <c r="AB128" s="33" t="str">
        <f t="shared" si="115"/>
        <v>-</v>
      </c>
    </row>
    <row r="129" spans="2:80" ht="17.149999999999999" customHeight="1" x14ac:dyDescent="0.35">
      <c r="B129" s="3"/>
      <c r="C129" s="3"/>
      <c r="D129" s="3"/>
      <c r="E129" s="3"/>
      <c r="F129" s="3" t="s">
        <v>43</v>
      </c>
      <c r="G129" s="11" t="s">
        <v>64</v>
      </c>
      <c r="H129" s="33" t="str">
        <f t="shared" si="107"/>
        <v>-</v>
      </c>
      <c r="I129" s="320" t="s">
        <v>64</v>
      </c>
      <c r="J129" s="190" t="s">
        <v>64</v>
      </c>
      <c r="K129" s="37" t="str">
        <f t="shared" si="108"/>
        <v>-</v>
      </c>
      <c r="L129" s="79"/>
      <c r="M129" s="5" t="s">
        <v>64</v>
      </c>
      <c r="N129" s="33" t="str">
        <f t="shared" si="109"/>
        <v>-</v>
      </c>
      <c r="O129" s="80" t="s">
        <v>64</v>
      </c>
      <c r="P129" s="37" t="str">
        <f t="shared" si="110"/>
        <v>-</v>
      </c>
      <c r="Q129" s="11" t="s">
        <v>64</v>
      </c>
      <c r="R129" s="33" t="str">
        <f t="shared" si="111"/>
        <v>-</v>
      </c>
      <c r="S129" s="10" t="s">
        <v>64</v>
      </c>
      <c r="T129" s="37" t="str">
        <f t="shared" si="112"/>
        <v>-</v>
      </c>
      <c r="U129" s="39" t="s">
        <v>64</v>
      </c>
      <c r="V129" s="33" t="str">
        <f t="shared" si="113"/>
        <v>-</v>
      </c>
      <c r="W129" s="38" t="s">
        <v>64</v>
      </c>
      <c r="X129" s="37" t="s">
        <v>64</v>
      </c>
      <c r="Y129" s="321" t="s">
        <v>64</v>
      </c>
      <c r="Z129" s="37" t="str">
        <f t="shared" si="114"/>
        <v>-</v>
      </c>
      <c r="AA129" s="39" t="s">
        <v>64</v>
      </c>
      <c r="AB129" s="33" t="str">
        <f t="shared" si="115"/>
        <v>-</v>
      </c>
    </row>
    <row r="130" spans="2:80" s="16" customFormat="1" ht="17.149999999999999" customHeight="1" x14ac:dyDescent="0.35">
      <c r="G130" s="418"/>
      <c r="H130" s="419">
        <f>SUM(H122:H129)</f>
        <v>12</v>
      </c>
      <c r="I130" s="418"/>
      <c r="K130" s="419">
        <f>SUM(K122:K129)</f>
        <v>12</v>
      </c>
      <c r="L130" s="418"/>
      <c r="M130" s="418"/>
      <c r="N130" s="419">
        <f>SUM(N122:N129)</f>
        <v>12</v>
      </c>
      <c r="O130" s="418"/>
      <c r="P130" s="419">
        <f>SUM(P122:P129)</f>
        <v>4</v>
      </c>
      <c r="Q130" s="418"/>
      <c r="R130" s="419">
        <f>SUM(R122:R129)</f>
        <v>12</v>
      </c>
      <c r="S130" s="418"/>
      <c r="T130" s="419">
        <f>SUM(T122:T129)</f>
        <v>12</v>
      </c>
      <c r="U130" s="418"/>
      <c r="V130" s="419">
        <f>SUM(V122:V129)</f>
        <v>12</v>
      </c>
      <c r="W130" s="418"/>
      <c r="X130" s="419">
        <f>SUM(X122:X129)</f>
        <v>10</v>
      </c>
      <c r="Y130" s="418"/>
      <c r="Z130" s="419">
        <f>SUM(Z122:Z129)</f>
        <v>12</v>
      </c>
      <c r="AA130" s="418"/>
      <c r="AB130" s="419">
        <f>SUM(AB122:AB129)</f>
        <v>12</v>
      </c>
      <c r="AC130" s="81">
        <f>SUM(G130:AB130)</f>
        <v>110</v>
      </c>
      <c r="AD130" s="82"/>
      <c r="AO130" s="32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</row>
    <row r="131" spans="2:80" ht="17.149999999999999" customHeight="1" x14ac:dyDescent="0.35"/>
    <row r="132" spans="2:80" ht="17.149999999999999" customHeight="1" x14ac:dyDescent="0.35">
      <c r="K132" s="83"/>
      <c r="N132" s="83"/>
      <c r="P132" s="83"/>
      <c r="R132" s="83"/>
      <c r="T132" s="83"/>
      <c r="V132" s="83"/>
      <c r="X132" s="83"/>
      <c r="Z132" s="83"/>
      <c r="AB132" s="83"/>
    </row>
    <row r="133" spans="2:80" ht="17.149999999999999" customHeight="1" x14ac:dyDescent="0.35"/>
    <row r="134" spans="2:80" ht="17.149999999999999" customHeight="1" x14ac:dyDescent="0.35"/>
    <row r="135" spans="2:80" ht="17.149999999999999" customHeight="1" x14ac:dyDescent="0.35"/>
    <row r="136" spans="2:80" ht="17.149999999999999" customHeight="1" x14ac:dyDescent="0.35"/>
    <row r="137" spans="2:80" ht="17.149999999999999" customHeight="1" x14ac:dyDescent="0.35"/>
    <row r="138" spans="2:80" ht="17.149999999999999" customHeight="1" thickBot="1" x14ac:dyDescent="0.4">
      <c r="F138" s="8" t="s">
        <v>1</v>
      </c>
      <c r="G138" s="32" t="s">
        <v>90</v>
      </c>
      <c r="H138" s="48" t="s">
        <v>91</v>
      </c>
      <c r="I138" s="31" t="s">
        <v>92</v>
      </c>
      <c r="J138" s="28" t="s">
        <v>93</v>
      </c>
      <c r="K138" s="29" t="s">
        <v>91</v>
      </c>
      <c r="L138" s="487" t="s">
        <v>94</v>
      </c>
      <c r="M138" s="488"/>
      <c r="N138" s="48" t="s">
        <v>91</v>
      </c>
      <c r="O138" s="31" t="s">
        <v>95</v>
      </c>
      <c r="P138" s="29" t="s">
        <v>91</v>
      </c>
      <c r="Q138" s="25" t="s">
        <v>6</v>
      </c>
      <c r="R138" s="48" t="s">
        <v>91</v>
      </c>
      <c r="S138" s="31" t="s">
        <v>7</v>
      </c>
      <c r="T138" s="29" t="s">
        <v>91</v>
      </c>
      <c r="U138" s="50" t="s">
        <v>96</v>
      </c>
      <c r="V138" s="51" t="s">
        <v>91</v>
      </c>
      <c r="W138" s="52" t="s">
        <v>27</v>
      </c>
      <c r="X138" s="53" t="s">
        <v>91</v>
      </c>
      <c r="Y138" s="31" t="s">
        <v>97</v>
      </c>
      <c r="Z138" s="29" t="s">
        <v>91</v>
      </c>
      <c r="AA138" s="50" t="s">
        <v>98</v>
      </c>
      <c r="AB138" s="51" t="s">
        <v>91</v>
      </c>
      <c r="AC138" s="55" t="s">
        <v>99</v>
      </c>
      <c r="AD138" s="55" t="s">
        <v>100</v>
      </c>
      <c r="AE138" s="55" t="s">
        <v>101</v>
      </c>
    </row>
    <row r="139" spans="2:80" ht="17.149999999999999" customHeight="1" x14ac:dyDescent="0.35">
      <c r="F139" s="3" t="s">
        <v>111</v>
      </c>
      <c r="G139" s="71"/>
      <c r="H139" s="58">
        <f t="shared" ref="H139:H170" si="116">IFERROR((IF(G139&lt;G$122,0,H$122)+IF(G139&lt;G$123,0,H$123)+IF(G139&lt;G$124,0,H$124)+IF(G139&lt;G$125,0,H$125)+IF(G139&lt;G$126,0,H$126)+IF(G139&lt;G$129,0,H$129)),0)</f>
        <v>0</v>
      </c>
      <c r="I139" s="38"/>
      <c r="J139" s="6"/>
      <c r="K139" s="59">
        <f t="shared" ref="K139:K170" si="117">IFERROR((IF(J139&lt;J$122,0,K$122)+IF(J139&lt;J$123,0,K$123)+IF(J139&lt;J$124,0,K$124)+IF(J139&lt;J$125,0,K$125)+IF(J139&lt;J$126,0,K$126)+IF(J139&lt;J$129,0,K$129)),0)</f>
        <v>0</v>
      </c>
      <c r="L139" s="60"/>
      <c r="M139" s="61"/>
      <c r="N139" s="58">
        <f t="shared" ref="N139:N170" si="118">IFERROR((IF(M139&lt;M$122,0,N$122)+IF(M139&lt;M$123,0,N$123)+IF(M139&lt;M$124,0,N$124)+IF(M139&lt;M$125,0,N$125)+IF(M139&lt;M$126,0,N$126)+IF(M139&lt;M$129,0,N$129)),0)</f>
        <v>0</v>
      </c>
      <c r="O139" s="38"/>
      <c r="P139" s="59">
        <f t="shared" ref="P139:P170" si="119">IFERROR((IF(O139&lt;O$122,0,P$122)+IF(O139&lt;O$123,0,P$123)+IF(O139&lt;O$124,0,P$124)+IF(O139&lt;O$125,0,P$125)+IF(O139&lt;O$126,0,P$126)+IF(O139&lt;O$129,0,P$129)),0)</f>
        <v>0</v>
      </c>
      <c r="Q139" s="71"/>
      <c r="R139" s="58">
        <f t="shared" ref="R139:R170" si="120">IFERROR((IF(Q139&lt;Q$122,0,R$122)+IF(Q139&lt;Q$123,0,R$123)+IF(Q139&lt;Q$124,0,R$124)+IF(Q139&lt;Q$125,0,R$125)+IF(Q139&lt;Q$126,0,R$126)+IF(Q139&lt;Q$129,0,R$129)),0)</f>
        <v>0</v>
      </c>
      <c r="S139" s="38"/>
      <c r="T139" s="59">
        <f t="shared" ref="T139:T170" si="121">IFERROR((IF(S139&lt;S$122,0,T$122)+IF(S139&lt;S$123,0,T$123)+IF(S139&lt;S$124,0,T$124)+IF(S139&lt;S$125,0,T$125)+IF(S139&lt;S$126,0,T$126)+IF(S139&lt;S$129,0,T$129)),0)</f>
        <v>0</v>
      </c>
      <c r="U139" s="71"/>
      <c r="V139" s="63">
        <f t="shared" ref="V139:V170" si="122">IFERROR((IF(U139&lt;U$122,0,V$122)+IF(U139&lt;U$123,0,V$123)+IF(U139&lt;U$124,0,V$124)+IF(U139&lt;U$125,0,V$125)+IF(U139&lt;U$126,0,V$126)+IF(U139&lt;U$129,0,V$129)),0)</f>
        <v>0</v>
      </c>
      <c r="W139" s="38"/>
      <c r="X139" s="65">
        <f t="shared" ref="X139:X170" si="123">IFERROR(IF(W139=W$122,X$122,0),0)</f>
        <v>0</v>
      </c>
      <c r="Y139" s="38"/>
      <c r="Z139" s="59">
        <f t="shared" ref="Z139:Z170" si="124">IFERROR((IF(Y139&lt;Y$122,0,Z$122)+IF(Y139&lt;Y$123,0,Z$123)+IF(Y139&lt;Y$124,0,Z$124)+IF(Y139&lt;Y$125,0,Z$125)+IF(Y139&lt;Y$126,0,Z$126)+IF(Y139&lt;Y$129,0,Z$129)),0)</f>
        <v>0</v>
      </c>
      <c r="AA139" s="71"/>
      <c r="AB139" s="63">
        <f t="shared" ref="AB139:AB170" si="125">IFERROR((IF(AA139&lt;AA$122,0,AB$122)+IF(AA139&lt;AA$123,0,AB$123)+IF(AA139&lt;AA$124,0,AB$124)+IF(AA139&lt;AA$125,0,AB$125)+IF(AA139&lt;AA$126,0,AB$126)+IF(AA139&lt;AA$129,0,AB$129)),0)</f>
        <v>0</v>
      </c>
      <c r="AC139" s="66">
        <f t="shared" ref="AC139:AC170" si="126">(H139+R139+T139+V139+X139+N139+Z139+AB139+P139+K139)</f>
        <v>0</v>
      </c>
      <c r="AD139" s="67">
        <f t="shared" ref="AD139:AD170" si="127">100-((COUNTIF(G139:Z139,"N/A"))*10)</f>
        <v>100</v>
      </c>
      <c r="AE139" s="68">
        <f t="shared" ref="AE139:AE193" si="128">AC139/AD139</f>
        <v>0</v>
      </c>
    </row>
    <row r="140" spans="2:80" ht="17.149999999999999" customHeight="1" x14ac:dyDescent="0.35">
      <c r="F140" s="3" t="s">
        <v>112</v>
      </c>
      <c r="G140" s="71"/>
      <c r="H140" s="58">
        <f t="shared" si="116"/>
        <v>0</v>
      </c>
      <c r="I140" s="38"/>
      <c r="J140" s="6"/>
      <c r="K140" s="59">
        <f t="shared" si="117"/>
        <v>0</v>
      </c>
      <c r="L140" s="60"/>
      <c r="M140" s="61"/>
      <c r="N140" s="58">
        <f t="shared" si="118"/>
        <v>0</v>
      </c>
      <c r="O140" s="38"/>
      <c r="P140" s="59">
        <f t="shared" si="119"/>
        <v>0</v>
      </c>
      <c r="Q140" s="71"/>
      <c r="R140" s="58">
        <f t="shared" si="120"/>
        <v>0</v>
      </c>
      <c r="S140" s="38"/>
      <c r="T140" s="59">
        <f t="shared" si="121"/>
        <v>0</v>
      </c>
      <c r="U140" s="71"/>
      <c r="V140" s="63">
        <f t="shared" si="122"/>
        <v>0</v>
      </c>
      <c r="W140" s="38"/>
      <c r="X140" s="65">
        <f t="shared" si="123"/>
        <v>0</v>
      </c>
      <c r="Y140" s="38"/>
      <c r="Z140" s="59">
        <f t="shared" si="124"/>
        <v>0</v>
      </c>
      <c r="AA140" s="71"/>
      <c r="AB140" s="63">
        <f t="shared" si="125"/>
        <v>0</v>
      </c>
      <c r="AC140" s="66">
        <f t="shared" si="126"/>
        <v>0</v>
      </c>
      <c r="AD140" s="70">
        <f t="shared" si="127"/>
        <v>100</v>
      </c>
      <c r="AE140" s="68">
        <f t="shared" si="128"/>
        <v>0</v>
      </c>
    </row>
    <row r="141" spans="2:80" ht="17.149999999999999" customHeight="1" x14ac:dyDescent="0.35">
      <c r="F141" s="3" t="s">
        <v>113</v>
      </c>
      <c r="G141" s="71"/>
      <c r="H141" s="58">
        <f t="shared" si="116"/>
        <v>0</v>
      </c>
      <c r="I141" s="38"/>
      <c r="J141" s="6"/>
      <c r="K141" s="59">
        <f t="shared" si="117"/>
        <v>0</v>
      </c>
      <c r="L141" s="60"/>
      <c r="M141" s="61"/>
      <c r="N141" s="58">
        <f t="shared" si="118"/>
        <v>0</v>
      </c>
      <c r="O141" s="38"/>
      <c r="P141" s="59">
        <f t="shared" si="119"/>
        <v>0</v>
      </c>
      <c r="Q141" s="71"/>
      <c r="R141" s="58">
        <f t="shared" si="120"/>
        <v>0</v>
      </c>
      <c r="S141" s="38"/>
      <c r="T141" s="59">
        <f t="shared" si="121"/>
        <v>0</v>
      </c>
      <c r="U141" s="71"/>
      <c r="V141" s="63">
        <f t="shared" si="122"/>
        <v>0</v>
      </c>
      <c r="W141" s="38"/>
      <c r="X141" s="65">
        <f t="shared" si="123"/>
        <v>0</v>
      </c>
      <c r="Y141" s="38"/>
      <c r="Z141" s="59">
        <f t="shared" si="124"/>
        <v>0</v>
      </c>
      <c r="AA141" s="71"/>
      <c r="AB141" s="63">
        <f t="shared" si="125"/>
        <v>0</v>
      </c>
      <c r="AC141" s="66">
        <f t="shared" si="126"/>
        <v>0</v>
      </c>
      <c r="AD141" s="70">
        <f t="shared" si="127"/>
        <v>100</v>
      </c>
      <c r="AE141" s="68">
        <f t="shared" si="128"/>
        <v>0</v>
      </c>
    </row>
    <row r="142" spans="2:80" ht="17.149999999999999" customHeight="1" x14ac:dyDescent="0.35">
      <c r="F142" s="3" t="s">
        <v>114</v>
      </c>
      <c r="G142" s="71"/>
      <c r="H142" s="58">
        <f t="shared" si="116"/>
        <v>0</v>
      </c>
      <c r="I142" s="38"/>
      <c r="J142" s="6"/>
      <c r="K142" s="59">
        <f t="shared" si="117"/>
        <v>0</v>
      </c>
      <c r="L142" s="60"/>
      <c r="M142" s="61"/>
      <c r="N142" s="58">
        <f t="shared" si="118"/>
        <v>0</v>
      </c>
      <c r="O142" s="38"/>
      <c r="P142" s="59">
        <f t="shared" si="119"/>
        <v>0</v>
      </c>
      <c r="Q142" s="71"/>
      <c r="R142" s="58">
        <f t="shared" si="120"/>
        <v>0</v>
      </c>
      <c r="S142" s="38"/>
      <c r="T142" s="59">
        <f t="shared" si="121"/>
        <v>0</v>
      </c>
      <c r="U142" s="71"/>
      <c r="V142" s="63">
        <f t="shared" si="122"/>
        <v>0</v>
      </c>
      <c r="W142" s="38"/>
      <c r="X142" s="65">
        <f t="shared" si="123"/>
        <v>0</v>
      </c>
      <c r="Y142" s="38"/>
      <c r="Z142" s="59">
        <f t="shared" si="124"/>
        <v>0</v>
      </c>
      <c r="AA142" s="71"/>
      <c r="AB142" s="63">
        <f t="shared" si="125"/>
        <v>0</v>
      </c>
      <c r="AC142" s="66">
        <f t="shared" si="126"/>
        <v>0</v>
      </c>
      <c r="AD142" s="70">
        <f t="shared" si="127"/>
        <v>100</v>
      </c>
      <c r="AE142" s="68">
        <f t="shared" si="128"/>
        <v>0</v>
      </c>
    </row>
    <row r="143" spans="2:80" ht="17.149999999999999" customHeight="1" x14ac:dyDescent="0.35">
      <c r="F143" s="3" t="s">
        <v>115</v>
      </c>
      <c r="G143" s="71"/>
      <c r="H143" s="58">
        <f t="shared" si="116"/>
        <v>0</v>
      </c>
      <c r="I143" s="38"/>
      <c r="J143" s="6"/>
      <c r="K143" s="59">
        <f t="shared" si="117"/>
        <v>0</v>
      </c>
      <c r="L143" s="60"/>
      <c r="M143" s="61"/>
      <c r="N143" s="58">
        <f t="shared" si="118"/>
        <v>0</v>
      </c>
      <c r="O143" s="38"/>
      <c r="P143" s="59">
        <f t="shared" si="119"/>
        <v>0</v>
      </c>
      <c r="Q143" s="71"/>
      <c r="R143" s="58">
        <f t="shared" si="120"/>
        <v>0</v>
      </c>
      <c r="S143" s="38"/>
      <c r="T143" s="59">
        <f t="shared" si="121"/>
        <v>0</v>
      </c>
      <c r="U143" s="71"/>
      <c r="V143" s="63">
        <f t="shared" si="122"/>
        <v>0</v>
      </c>
      <c r="W143" s="38"/>
      <c r="X143" s="65">
        <f t="shared" si="123"/>
        <v>0</v>
      </c>
      <c r="Y143" s="38"/>
      <c r="Z143" s="59">
        <f t="shared" si="124"/>
        <v>0</v>
      </c>
      <c r="AA143" s="71"/>
      <c r="AB143" s="63">
        <f t="shared" si="125"/>
        <v>0</v>
      </c>
      <c r="AC143" s="66">
        <f t="shared" si="126"/>
        <v>0</v>
      </c>
      <c r="AD143" s="70">
        <f t="shared" si="127"/>
        <v>100</v>
      </c>
      <c r="AE143" s="68">
        <f t="shared" si="128"/>
        <v>0</v>
      </c>
    </row>
    <row r="144" spans="2:80" ht="17.149999999999999" customHeight="1" x14ac:dyDescent="0.35">
      <c r="F144" s="3" t="s">
        <v>116</v>
      </c>
      <c r="G144" s="71"/>
      <c r="H144" s="58">
        <f t="shared" si="116"/>
        <v>0</v>
      </c>
      <c r="I144" s="38"/>
      <c r="J144" s="6"/>
      <c r="K144" s="59">
        <f t="shared" si="117"/>
        <v>0</v>
      </c>
      <c r="L144" s="60"/>
      <c r="M144" s="61"/>
      <c r="N144" s="58">
        <f t="shared" si="118"/>
        <v>0</v>
      </c>
      <c r="O144" s="38"/>
      <c r="P144" s="59">
        <f t="shared" si="119"/>
        <v>0</v>
      </c>
      <c r="Q144" s="71"/>
      <c r="R144" s="58">
        <f t="shared" si="120"/>
        <v>0</v>
      </c>
      <c r="S144" s="38"/>
      <c r="T144" s="59">
        <f t="shared" si="121"/>
        <v>0</v>
      </c>
      <c r="U144" s="71"/>
      <c r="V144" s="63">
        <f t="shared" si="122"/>
        <v>0</v>
      </c>
      <c r="W144" s="38"/>
      <c r="X144" s="65">
        <f t="shared" si="123"/>
        <v>0</v>
      </c>
      <c r="Y144" s="38"/>
      <c r="Z144" s="59">
        <f t="shared" si="124"/>
        <v>0</v>
      </c>
      <c r="AA144" s="71"/>
      <c r="AB144" s="63">
        <f t="shared" si="125"/>
        <v>0</v>
      </c>
      <c r="AC144" s="66">
        <f t="shared" si="126"/>
        <v>0</v>
      </c>
      <c r="AD144" s="70">
        <f t="shared" si="127"/>
        <v>100</v>
      </c>
      <c r="AE144" s="68">
        <f t="shared" si="128"/>
        <v>0</v>
      </c>
    </row>
    <row r="145" spans="6:31" ht="17.149999999999999" customHeight="1" x14ac:dyDescent="0.35">
      <c r="F145" s="3" t="s">
        <v>117</v>
      </c>
      <c r="G145" s="71"/>
      <c r="H145" s="58">
        <f t="shared" si="116"/>
        <v>0</v>
      </c>
      <c r="I145" s="38"/>
      <c r="J145" s="6"/>
      <c r="K145" s="59">
        <f t="shared" si="117"/>
        <v>0</v>
      </c>
      <c r="L145" s="60"/>
      <c r="M145" s="61"/>
      <c r="N145" s="58">
        <f t="shared" si="118"/>
        <v>0</v>
      </c>
      <c r="O145" s="38"/>
      <c r="P145" s="59">
        <f t="shared" si="119"/>
        <v>0</v>
      </c>
      <c r="Q145" s="71"/>
      <c r="R145" s="58">
        <f t="shared" si="120"/>
        <v>0</v>
      </c>
      <c r="S145" s="38"/>
      <c r="T145" s="59">
        <f t="shared" si="121"/>
        <v>0</v>
      </c>
      <c r="U145" s="71"/>
      <c r="V145" s="63">
        <f t="shared" si="122"/>
        <v>0</v>
      </c>
      <c r="W145" s="38"/>
      <c r="X145" s="65">
        <f t="shared" si="123"/>
        <v>0</v>
      </c>
      <c r="Y145" s="38"/>
      <c r="Z145" s="59">
        <f t="shared" si="124"/>
        <v>0</v>
      </c>
      <c r="AA145" s="71"/>
      <c r="AB145" s="63">
        <f t="shared" si="125"/>
        <v>0</v>
      </c>
      <c r="AC145" s="66">
        <f t="shared" si="126"/>
        <v>0</v>
      </c>
      <c r="AD145" s="70">
        <f t="shared" si="127"/>
        <v>100</v>
      </c>
      <c r="AE145" s="68">
        <f t="shared" si="128"/>
        <v>0</v>
      </c>
    </row>
    <row r="146" spans="6:31" ht="17.149999999999999" customHeight="1" x14ac:dyDescent="0.35">
      <c r="F146" s="3" t="s">
        <v>118</v>
      </c>
      <c r="G146" s="71"/>
      <c r="H146" s="58">
        <f t="shared" si="116"/>
        <v>0</v>
      </c>
      <c r="I146" s="38"/>
      <c r="J146" s="6"/>
      <c r="K146" s="59">
        <f t="shared" si="117"/>
        <v>0</v>
      </c>
      <c r="L146" s="60"/>
      <c r="M146" s="61"/>
      <c r="N146" s="58">
        <f t="shared" si="118"/>
        <v>0</v>
      </c>
      <c r="O146" s="38"/>
      <c r="P146" s="59">
        <f t="shared" si="119"/>
        <v>0</v>
      </c>
      <c r="Q146" s="71"/>
      <c r="R146" s="58">
        <f t="shared" si="120"/>
        <v>0</v>
      </c>
      <c r="S146" s="38"/>
      <c r="T146" s="59">
        <f t="shared" si="121"/>
        <v>0</v>
      </c>
      <c r="U146" s="71"/>
      <c r="V146" s="63">
        <f t="shared" si="122"/>
        <v>0</v>
      </c>
      <c r="W146" s="38"/>
      <c r="X146" s="65">
        <f t="shared" si="123"/>
        <v>0</v>
      </c>
      <c r="Y146" s="38"/>
      <c r="Z146" s="59">
        <f t="shared" si="124"/>
        <v>0</v>
      </c>
      <c r="AA146" s="71"/>
      <c r="AB146" s="63">
        <f t="shared" si="125"/>
        <v>0</v>
      </c>
      <c r="AC146" s="66">
        <f t="shared" si="126"/>
        <v>0</v>
      </c>
      <c r="AD146" s="70">
        <f t="shared" si="127"/>
        <v>100</v>
      </c>
      <c r="AE146" s="68">
        <f t="shared" si="128"/>
        <v>0</v>
      </c>
    </row>
    <row r="147" spans="6:31" ht="17.149999999999999" customHeight="1" x14ac:dyDescent="0.35">
      <c r="F147" s="3" t="s">
        <v>119</v>
      </c>
      <c r="G147" s="71"/>
      <c r="H147" s="58">
        <f t="shared" si="116"/>
        <v>0</v>
      </c>
      <c r="I147" s="38"/>
      <c r="J147" s="6"/>
      <c r="K147" s="59">
        <f t="shared" si="117"/>
        <v>0</v>
      </c>
      <c r="L147" s="60"/>
      <c r="M147" s="61"/>
      <c r="N147" s="58">
        <f t="shared" si="118"/>
        <v>0</v>
      </c>
      <c r="O147" s="38"/>
      <c r="P147" s="59">
        <f t="shared" si="119"/>
        <v>0</v>
      </c>
      <c r="Q147" s="71"/>
      <c r="R147" s="58">
        <f t="shared" si="120"/>
        <v>0</v>
      </c>
      <c r="S147" s="38"/>
      <c r="T147" s="59">
        <f t="shared" si="121"/>
        <v>0</v>
      </c>
      <c r="U147" s="71"/>
      <c r="V147" s="63">
        <f t="shared" si="122"/>
        <v>0</v>
      </c>
      <c r="W147" s="38"/>
      <c r="X147" s="65">
        <f t="shared" si="123"/>
        <v>0</v>
      </c>
      <c r="Y147" s="38"/>
      <c r="Z147" s="59">
        <f t="shared" si="124"/>
        <v>0</v>
      </c>
      <c r="AA147" s="71"/>
      <c r="AB147" s="63">
        <f t="shared" si="125"/>
        <v>0</v>
      </c>
      <c r="AC147" s="66">
        <f t="shared" si="126"/>
        <v>0</v>
      </c>
      <c r="AD147" s="70">
        <f t="shared" si="127"/>
        <v>100</v>
      </c>
      <c r="AE147" s="68">
        <f t="shared" si="128"/>
        <v>0</v>
      </c>
    </row>
    <row r="148" spans="6:31" ht="17.149999999999999" customHeight="1" x14ac:dyDescent="0.35">
      <c r="F148" s="3" t="s">
        <v>120</v>
      </c>
      <c r="G148" s="71"/>
      <c r="H148" s="58">
        <f t="shared" si="116"/>
        <v>0</v>
      </c>
      <c r="I148" s="38"/>
      <c r="J148" s="6"/>
      <c r="K148" s="59">
        <f t="shared" si="117"/>
        <v>0</v>
      </c>
      <c r="L148" s="60"/>
      <c r="M148" s="61"/>
      <c r="N148" s="58">
        <f t="shared" si="118"/>
        <v>0</v>
      </c>
      <c r="O148" s="38"/>
      <c r="P148" s="59">
        <f t="shared" si="119"/>
        <v>0</v>
      </c>
      <c r="Q148" s="71"/>
      <c r="R148" s="58">
        <f t="shared" si="120"/>
        <v>0</v>
      </c>
      <c r="S148" s="38"/>
      <c r="T148" s="59">
        <f t="shared" si="121"/>
        <v>0</v>
      </c>
      <c r="U148" s="71"/>
      <c r="V148" s="63">
        <f t="shared" si="122"/>
        <v>0</v>
      </c>
      <c r="W148" s="38"/>
      <c r="X148" s="65">
        <f t="shared" si="123"/>
        <v>0</v>
      </c>
      <c r="Y148" s="38"/>
      <c r="Z148" s="59">
        <f t="shared" si="124"/>
        <v>0</v>
      </c>
      <c r="AA148" s="71"/>
      <c r="AB148" s="63">
        <f t="shared" si="125"/>
        <v>0</v>
      </c>
      <c r="AC148" s="66">
        <f t="shared" si="126"/>
        <v>0</v>
      </c>
      <c r="AD148" s="70">
        <f t="shared" si="127"/>
        <v>100</v>
      </c>
      <c r="AE148" s="68">
        <f t="shared" si="128"/>
        <v>0</v>
      </c>
    </row>
    <row r="149" spans="6:31" ht="17.149999999999999" customHeight="1" x14ac:dyDescent="0.35">
      <c r="F149" s="3" t="s">
        <v>121</v>
      </c>
      <c r="G149" s="71"/>
      <c r="H149" s="58">
        <f t="shared" si="116"/>
        <v>0</v>
      </c>
      <c r="I149" s="38"/>
      <c r="J149" s="6"/>
      <c r="K149" s="59">
        <f t="shared" si="117"/>
        <v>0</v>
      </c>
      <c r="L149" s="60"/>
      <c r="M149" s="61"/>
      <c r="N149" s="58">
        <f t="shared" si="118"/>
        <v>0</v>
      </c>
      <c r="O149" s="38"/>
      <c r="P149" s="59">
        <f t="shared" si="119"/>
        <v>0</v>
      </c>
      <c r="Q149" s="71"/>
      <c r="R149" s="58">
        <f t="shared" si="120"/>
        <v>0</v>
      </c>
      <c r="S149" s="38"/>
      <c r="T149" s="59">
        <f t="shared" si="121"/>
        <v>0</v>
      </c>
      <c r="U149" s="71"/>
      <c r="V149" s="63">
        <f t="shared" si="122"/>
        <v>0</v>
      </c>
      <c r="W149" s="38"/>
      <c r="X149" s="65">
        <f t="shared" si="123"/>
        <v>0</v>
      </c>
      <c r="Y149" s="38"/>
      <c r="Z149" s="59">
        <f t="shared" si="124"/>
        <v>0</v>
      </c>
      <c r="AA149" s="71"/>
      <c r="AB149" s="63">
        <f t="shared" si="125"/>
        <v>0</v>
      </c>
      <c r="AC149" s="66">
        <f t="shared" si="126"/>
        <v>0</v>
      </c>
      <c r="AD149" s="70">
        <f t="shared" si="127"/>
        <v>100</v>
      </c>
      <c r="AE149" s="68">
        <f t="shared" si="128"/>
        <v>0</v>
      </c>
    </row>
    <row r="150" spans="6:31" ht="17.149999999999999" customHeight="1" x14ac:dyDescent="0.35">
      <c r="F150" s="3" t="s">
        <v>122</v>
      </c>
      <c r="G150" s="71"/>
      <c r="H150" s="58">
        <f t="shared" si="116"/>
        <v>0</v>
      </c>
      <c r="I150" s="38"/>
      <c r="J150" s="6"/>
      <c r="K150" s="59">
        <f t="shared" si="117"/>
        <v>0</v>
      </c>
      <c r="L150" s="60"/>
      <c r="M150" s="61"/>
      <c r="N150" s="58">
        <f t="shared" si="118"/>
        <v>0</v>
      </c>
      <c r="O150" s="38"/>
      <c r="P150" s="59">
        <f t="shared" si="119"/>
        <v>0</v>
      </c>
      <c r="Q150" s="71"/>
      <c r="R150" s="58">
        <f t="shared" si="120"/>
        <v>0</v>
      </c>
      <c r="S150" s="38"/>
      <c r="T150" s="59">
        <f t="shared" si="121"/>
        <v>0</v>
      </c>
      <c r="U150" s="71"/>
      <c r="V150" s="63">
        <f t="shared" si="122"/>
        <v>0</v>
      </c>
      <c r="W150" s="38"/>
      <c r="X150" s="65">
        <f t="shared" si="123"/>
        <v>0</v>
      </c>
      <c r="Y150" s="38"/>
      <c r="Z150" s="59">
        <f t="shared" si="124"/>
        <v>0</v>
      </c>
      <c r="AA150" s="71"/>
      <c r="AB150" s="63">
        <f t="shared" si="125"/>
        <v>0</v>
      </c>
      <c r="AC150" s="66">
        <f t="shared" si="126"/>
        <v>0</v>
      </c>
      <c r="AD150" s="70">
        <f t="shared" si="127"/>
        <v>100</v>
      </c>
      <c r="AE150" s="68">
        <f t="shared" si="128"/>
        <v>0</v>
      </c>
    </row>
    <row r="151" spans="6:31" ht="17.149999999999999" customHeight="1" x14ac:dyDescent="0.35">
      <c r="F151" s="3" t="s">
        <v>123</v>
      </c>
      <c r="G151" s="71"/>
      <c r="H151" s="58">
        <f t="shared" si="116"/>
        <v>0</v>
      </c>
      <c r="I151" s="38"/>
      <c r="J151" s="6"/>
      <c r="K151" s="59">
        <f t="shared" si="117"/>
        <v>0</v>
      </c>
      <c r="L151" s="60"/>
      <c r="M151" s="61"/>
      <c r="N151" s="58">
        <f t="shared" si="118"/>
        <v>0</v>
      </c>
      <c r="O151" s="38"/>
      <c r="P151" s="59">
        <f t="shared" si="119"/>
        <v>0</v>
      </c>
      <c r="Q151" s="71"/>
      <c r="R151" s="58">
        <f t="shared" si="120"/>
        <v>0</v>
      </c>
      <c r="S151" s="38"/>
      <c r="T151" s="59">
        <f t="shared" si="121"/>
        <v>0</v>
      </c>
      <c r="U151" s="71"/>
      <c r="V151" s="63">
        <f t="shared" si="122"/>
        <v>0</v>
      </c>
      <c r="W151" s="38"/>
      <c r="X151" s="65">
        <f t="shared" si="123"/>
        <v>0</v>
      </c>
      <c r="Y151" s="38"/>
      <c r="Z151" s="59">
        <f t="shared" si="124"/>
        <v>0</v>
      </c>
      <c r="AA151" s="71"/>
      <c r="AB151" s="63">
        <f t="shared" si="125"/>
        <v>0</v>
      </c>
      <c r="AC151" s="66">
        <f t="shared" si="126"/>
        <v>0</v>
      </c>
      <c r="AD151" s="70">
        <f t="shared" si="127"/>
        <v>100</v>
      </c>
      <c r="AE151" s="68">
        <f t="shared" si="128"/>
        <v>0</v>
      </c>
    </row>
    <row r="152" spans="6:31" ht="17.149999999999999" customHeight="1" x14ac:dyDescent="0.35">
      <c r="F152" s="3" t="s">
        <v>124</v>
      </c>
      <c r="G152" s="71"/>
      <c r="H152" s="58">
        <f t="shared" si="116"/>
        <v>0</v>
      </c>
      <c r="I152" s="38"/>
      <c r="J152" s="6"/>
      <c r="K152" s="59">
        <f t="shared" si="117"/>
        <v>0</v>
      </c>
      <c r="L152" s="60"/>
      <c r="M152" s="61"/>
      <c r="N152" s="58">
        <f t="shared" si="118"/>
        <v>0</v>
      </c>
      <c r="O152" s="38"/>
      <c r="P152" s="59">
        <f t="shared" si="119"/>
        <v>0</v>
      </c>
      <c r="Q152" s="71"/>
      <c r="R152" s="58">
        <f t="shared" si="120"/>
        <v>0</v>
      </c>
      <c r="S152" s="38"/>
      <c r="T152" s="59">
        <f t="shared" si="121"/>
        <v>0</v>
      </c>
      <c r="U152" s="71"/>
      <c r="V152" s="63">
        <f t="shared" si="122"/>
        <v>0</v>
      </c>
      <c r="W152" s="38"/>
      <c r="X152" s="65">
        <f t="shared" si="123"/>
        <v>0</v>
      </c>
      <c r="Y152" s="38"/>
      <c r="Z152" s="59">
        <f t="shared" si="124"/>
        <v>0</v>
      </c>
      <c r="AA152" s="71"/>
      <c r="AB152" s="63">
        <f t="shared" si="125"/>
        <v>0</v>
      </c>
      <c r="AC152" s="66">
        <f t="shared" si="126"/>
        <v>0</v>
      </c>
      <c r="AD152" s="70">
        <f t="shared" si="127"/>
        <v>100</v>
      </c>
      <c r="AE152" s="68">
        <f t="shared" si="128"/>
        <v>0</v>
      </c>
    </row>
    <row r="153" spans="6:31" ht="17.149999999999999" customHeight="1" x14ac:dyDescent="0.35">
      <c r="F153" s="3" t="s">
        <v>125</v>
      </c>
      <c r="G153" s="71"/>
      <c r="H153" s="58">
        <f t="shared" si="116"/>
        <v>0</v>
      </c>
      <c r="I153" s="38"/>
      <c r="J153" s="6"/>
      <c r="K153" s="59">
        <f t="shared" si="117"/>
        <v>0</v>
      </c>
      <c r="L153" s="60"/>
      <c r="M153" s="61"/>
      <c r="N153" s="58">
        <f t="shared" si="118"/>
        <v>0</v>
      </c>
      <c r="O153" s="38"/>
      <c r="P153" s="59">
        <f t="shared" si="119"/>
        <v>0</v>
      </c>
      <c r="Q153" s="71"/>
      <c r="R153" s="58">
        <f t="shared" si="120"/>
        <v>0</v>
      </c>
      <c r="S153" s="38"/>
      <c r="T153" s="59">
        <f t="shared" si="121"/>
        <v>0</v>
      </c>
      <c r="U153" s="71"/>
      <c r="V153" s="63">
        <f t="shared" si="122"/>
        <v>0</v>
      </c>
      <c r="W153" s="38"/>
      <c r="X153" s="65">
        <f t="shared" si="123"/>
        <v>0</v>
      </c>
      <c r="Y153" s="38"/>
      <c r="Z153" s="59">
        <f t="shared" si="124"/>
        <v>0</v>
      </c>
      <c r="AA153" s="71"/>
      <c r="AB153" s="63">
        <f t="shared" si="125"/>
        <v>0</v>
      </c>
      <c r="AC153" s="66">
        <f t="shared" si="126"/>
        <v>0</v>
      </c>
      <c r="AD153" s="70">
        <f t="shared" si="127"/>
        <v>100</v>
      </c>
      <c r="AE153" s="68">
        <f t="shared" si="128"/>
        <v>0</v>
      </c>
    </row>
    <row r="154" spans="6:31" ht="17.149999999999999" customHeight="1" x14ac:dyDescent="0.35">
      <c r="F154" s="3" t="s">
        <v>126</v>
      </c>
      <c r="G154" s="71"/>
      <c r="H154" s="58">
        <f t="shared" si="116"/>
        <v>0</v>
      </c>
      <c r="I154" s="38"/>
      <c r="J154" s="6"/>
      <c r="K154" s="59">
        <f t="shared" si="117"/>
        <v>0</v>
      </c>
      <c r="L154" s="60"/>
      <c r="M154" s="61"/>
      <c r="N154" s="58">
        <f t="shared" si="118"/>
        <v>0</v>
      </c>
      <c r="O154" s="38"/>
      <c r="P154" s="59">
        <f t="shared" si="119"/>
        <v>0</v>
      </c>
      <c r="Q154" s="71"/>
      <c r="R154" s="58">
        <f t="shared" si="120"/>
        <v>0</v>
      </c>
      <c r="S154" s="38"/>
      <c r="T154" s="59">
        <f t="shared" si="121"/>
        <v>0</v>
      </c>
      <c r="U154" s="71"/>
      <c r="V154" s="63">
        <f t="shared" si="122"/>
        <v>0</v>
      </c>
      <c r="W154" s="38"/>
      <c r="X154" s="65">
        <f t="shared" si="123"/>
        <v>0</v>
      </c>
      <c r="Y154" s="38"/>
      <c r="Z154" s="59">
        <f t="shared" si="124"/>
        <v>0</v>
      </c>
      <c r="AA154" s="71"/>
      <c r="AB154" s="63">
        <f t="shared" si="125"/>
        <v>0</v>
      </c>
      <c r="AC154" s="66">
        <f t="shared" si="126"/>
        <v>0</v>
      </c>
      <c r="AD154" s="70">
        <f t="shared" si="127"/>
        <v>100</v>
      </c>
      <c r="AE154" s="72">
        <f t="shared" si="128"/>
        <v>0</v>
      </c>
    </row>
    <row r="155" spans="6:31" ht="17.149999999999999" customHeight="1" x14ac:dyDescent="0.35">
      <c r="F155" s="3" t="s">
        <v>127</v>
      </c>
      <c r="G155" s="71"/>
      <c r="H155" s="58">
        <f t="shared" si="116"/>
        <v>0</v>
      </c>
      <c r="I155" s="38"/>
      <c r="J155" s="6"/>
      <c r="K155" s="59">
        <f t="shared" si="117"/>
        <v>0</v>
      </c>
      <c r="L155" s="60"/>
      <c r="M155" s="61"/>
      <c r="N155" s="58">
        <f t="shared" si="118"/>
        <v>0</v>
      </c>
      <c r="O155" s="38"/>
      <c r="P155" s="59">
        <f t="shared" si="119"/>
        <v>0</v>
      </c>
      <c r="Q155" s="71"/>
      <c r="R155" s="58">
        <f t="shared" si="120"/>
        <v>0</v>
      </c>
      <c r="S155" s="38"/>
      <c r="T155" s="59">
        <f t="shared" si="121"/>
        <v>0</v>
      </c>
      <c r="U155" s="71"/>
      <c r="V155" s="63">
        <f t="shared" si="122"/>
        <v>0</v>
      </c>
      <c r="W155" s="38"/>
      <c r="X155" s="65">
        <f t="shared" si="123"/>
        <v>0</v>
      </c>
      <c r="Y155" s="38"/>
      <c r="Z155" s="59">
        <f t="shared" si="124"/>
        <v>0</v>
      </c>
      <c r="AA155" s="71"/>
      <c r="AB155" s="63">
        <f t="shared" si="125"/>
        <v>0</v>
      </c>
      <c r="AC155" s="66">
        <f t="shared" si="126"/>
        <v>0</v>
      </c>
      <c r="AD155" s="70">
        <f t="shared" si="127"/>
        <v>100</v>
      </c>
      <c r="AE155" s="68">
        <f t="shared" si="128"/>
        <v>0</v>
      </c>
    </row>
    <row r="156" spans="6:31" ht="17.149999999999999" customHeight="1" x14ac:dyDescent="0.35">
      <c r="F156" s="3" t="s">
        <v>128</v>
      </c>
      <c r="G156" s="71"/>
      <c r="H156" s="58">
        <f t="shared" si="116"/>
        <v>0</v>
      </c>
      <c r="I156" s="38"/>
      <c r="J156" s="6"/>
      <c r="K156" s="59">
        <f t="shared" si="117"/>
        <v>0</v>
      </c>
      <c r="L156" s="60"/>
      <c r="M156" s="61"/>
      <c r="N156" s="58">
        <f t="shared" si="118"/>
        <v>0</v>
      </c>
      <c r="O156" s="38"/>
      <c r="P156" s="59">
        <f t="shared" si="119"/>
        <v>0</v>
      </c>
      <c r="Q156" s="71"/>
      <c r="R156" s="58">
        <f t="shared" si="120"/>
        <v>0</v>
      </c>
      <c r="S156" s="38"/>
      <c r="T156" s="59">
        <f t="shared" si="121"/>
        <v>0</v>
      </c>
      <c r="U156" s="71"/>
      <c r="V156" s="63">
        <f t="shared" si="122"/>
        <v>0</v>
      </c>
      <c r="W156" s="38"/>
      <c r="X156" s="65">
        <f t="shared" si="123"/>
        <v>0</v>
      </c>
      <c r="Y156" s="38"/>
      <c r="Z156" s="59">
        <f t="shared" si="124"/>
        <v>0</v>
      </c>
      <c r="AA156" s="71"/>
      <c r="AB156" s="63">
        <f t="shared" si="125"/>
        <v>0</v>
      </c>
      <c r="AC156" s="66">
        <f t="shared" si="126"/>
        <v>0</v>
      </c>
      <c r="AD156" s="70">
        <f t="shared" si="127"/>
        <v>100</v>
      </c>
      <c r="AE156" s="68">
        <f t="shared" si="128"/>
        <v>0</v>
      </c>
    </row>
    <row r="157" spans="6:31" ht="17.149999999999999" customHeight="1" x14ac:dyDescent="0.35">
      <c r="F157" s="3" t="s">
        <v>129</v>
      </c>
      <c r="G157" s="71"/>
      <c r="H157" s="58">
        <f t="shared" si="116"/>
        <v>0</v>
      </c>
      <c r="I157" s="38"/>
      <c r="J157" s="6"/>
      <c r="K157" s="59">
        <f t="shared" si="117"/>
        <v>0</v>
      </c>
      <c r="L157" s="60"/>
      <c r="M157" s="61"/>
      <c r="N157" s="58">
        <f t="shared" si="118"/>
        <v>0</v>
      </c>
      <c r="O157" s="38"/>
      <c r="P157" s="59">
        <f t="shared" si="119"/>
        <v>0</v>
      </c>
      <c r="Q157" s="71"/>
      <c r="R157" s="58">
        <f t="shared" si="120"/>
        <v>0</v>
      </c>
      <c r="S157" s="38"/>
      <c r="T157" s="59">
        <f t="shared" si="121"/>
        <v>0</v>
      </c>
      <c r="U157" s="71"/>
      <c r="V157" s="63">
        <f t="shared" si="122"/>
        <v>0</v>
      </c>
      <c r="W157" s="38"/>
      <c r="X157" s="65">
        <f t="shared" si="123"/>
        <v>0</v>
      </c>
      <c r="Y157" s="38"/>
      <c r="Z157" s="59">
        <f t="shared" si="124"/>
        <v>0</v>
      </c>
      <c r="AA157" s="71"/>
      <c r="AB157" s="63">
        <f t="shared" si="125"/>
        <v>0</v>
      </c>
      <c r="AC157" s="66">
        <f t="shared" si="126"/>
        <v>0</v>
      </c>
      <c r="AD157" s="70">
        <f t="shared" si="127"/>
        <v>100</v>
      </c>
      <c r="AE157" s="68">
        <f t="shared" si="128"/>
        <v>0</v>
      </c>
    </row>
    <row r="158" spans="6:31" ht="17.149999999999999" customHeight="1" x14ac:dyDescent="0.35">
      <c r="F158" s="3" t="s">
        <v>130</v>
      </c>
      <c r="G158" s="71"/>
      <c r="H158" s="58">
        <f t="shared" si="116"/>
        <v>0</v>
      </c>
      <c r="I158" s="38"/>
      <c r="J158" s="6"/>
      <c r="K158" s="59">
        <f t="shared" si="117"/>
        <v>0</v>
      </c>
      <c r="L158" s="60"/>
      <c r="M158" s="61"/>
      <c r="N158" s="58">
        <f t="shared" si="118"/>
        <v>0</v>
      </c>
      <c r="O158" s="38"/>
      <c r="P158" s="59">
        <f t="shared" si="119"/>
        <v>0</v>
      </c>
      <c r="Q158" s="71"/>
      <c r="R158" s="58">
        <f t="shared" si="120"/>
        <v>0</v>
      </c>
      <c r="S158" s="38"/>
      <c r="T158" s="59">
        <f t="shared" si="121"/>
        <v>0</v>
      </c>
      <c r="U158" s="71"/>
      <c r="V158" s="63">
        <f t="shared" si="122"/>
        <v>0</v>
      </c>
      <c r="W158" s="38"/>
      <c r="X158" s="65">
        <f t="shared" si="123"/>
        <v>0</v>
      </c>
      <c r="Y158" s="38"/>
      <c r="Z158" s="59">
        <f t="shared" si="124"/>
        <v>0</v>
      </c>
      <c r="AA158" s="71"/>
      <c r="AB158" s="63">
        <f t="shared" si="125"/>
        <v>0</v>
      </c>
      <c r="AC158" s="66">
        <f t="shared" si="126"/>
        <v>0</v>
      </c>
      <c r="AD158" s="70">
        <f t="shared" si="127"/>
        <v>100</v>
      </c>
      <c r="AE158" s="68">
        <f t="shared" si="128"/>
        <v>0</v>
      </c>
    </row>
    <row r="159" spans="6:31" ht="17.149999999999999" customHeight="1" x14ac:dyDescent="0.35">
      <c r="F159" s="3" t="s">
        <v>131</v>
      </c>
      <c r="G159" s="71"/>
      <c r="H159" s="58">
        <f t="shared" si="116"/>
        <v>0</v>
      </c>
      <c r="I159" s="38"/>
      <c r="J159" s="6"/>
      <c r="K159" s="59">
        <f t="shared" si="117"/>
        <v>0</v>
      </c>
      <c r="L159" s="60"/>
      <c r="M159" s="61"/>
      <c r="N159" s="58">
        <f t="shared" si="118"/>
        <v>0</v>
      </c>
      <c r="O159" s="38"/>
      <c r="P159" s="59">
        <f t="shared" si="119"/>
        <v>0</v>
      </c>
      <c r="Q159" s="71"/>
      <c r="R159" s="58">
        <f t="shared" si="120"/>
        <v>0</v>
      </c>
      <c r="S159" s="38"/>
      <c r="T159" s="59">
        <f t="shared" si="121"/>
        <v>0</v>
      </c>
      <c r="U159" s="71"/>
      <c r="V159" s="63">
        <f t="shared" si="122"/>
        <v>0</v>
      </c>
      <c r="W159" s="38"/>
      <c r="X159" s="65">
        <f t="shared" si="123"/>
        <v>0</v>
      </c>
      <c r="Y159" s="38"/>
      <c r="Z159" s="59">
        <f t="shared" si="124"/>
        <v>0</v>
      </c>
      <c r="AA159" s="71"/>
      <c r="AB159" s="63">
        <f t="shared" si="125"/>
        <v>0</v>
      </c>
      <c r="AC159" s="66">
        <f t="shared" si="126"/>
        <v>0</v>
      </c>
      <c r="AD159" s="70">
        <f t="shared" si="127"/>
        <v>100</v>
      </c>
      <c r="AE159" s="68">
        <f t="shared" si="128"/>
        <v>0</v>
      </c>
    </row>
    <row r="160" spans="6:31" ht="17.149999999999999" customHeight="1" x14ac:dyDescent="0.35">
      <c r="F160" s="3" t="s">
        <v>132</v>
      </c>
      <c r="G160" s="71"/>
      <c r="H160" s="58">
        <f t="shared" si="116"/>
        <v>0</v>
      </c>
      <c r="I160" s="38"/>
      <c r="J160" s="6"/>
      <c r="K160" s="59">
        <f t="shared" si="117"/>
        <v>0</v>
      </c>
      <c r="L160" s="60"/>
      <c r="M160" s="61"/>
      <c r="N160" s="58">
        <f t="shared" si="118"/>
        <v>0</v>
      </c>
      <c r="O160" s="38"/>
      <c r="P160" s="59">
        <f t="shared" si="119"/>
        <v>0</v>
      </c>
      <c r="Q160" s="71"/>
      <c r="R160" s="58">
        <f t="shared" si="120"/>
        <v>0</v>
      </c>
      <c r="S160" s="38"/>
      <c r="T160" s="59">
        <f t="shared" si="121"/>
        <v>0</v>
      </c>
      <c r="U160" s="71"/>
      <c r="V160" s="63">
        <f t="shared" si="122"/>
        <v>0</v>
      </c>
      <c r="W160" s="38"/>
      <c r="X160" s="65">
        <f t="shared" si="123"/>
        <v>0</v>
      </c>
      <c r="Y160" s="38"/>
      <c r="Z160" s="59">
        <f t="shared" si="124"/>
        <v>0</v>
      </c>
      <c r="AA160" s="71"/>
      <c r="AB160" s="63">
        <f t="shared" si="125"/>
        <v>0</v>
      </c>
      <c r="AC160" s="66">
        <f t="shared" si="126"/>
        <v>0</v>
      </c>
      <c r="AD160" s="70">
        <f t="shared" si="127"/>
        <v>100</v>
      </c>
      <c r="AE160" s="68">
        <f t="shared" si="128"/>
        <v>0</v>
      </c>
    </row>
    <row r="161" spans="6:31" ht="17.149999999999999" customHeight="1" x14ac:dyDescent="0.35">
      <c r="F161" s="3" t="s">
        <v>133</v>
      </c>
      <c r="G161" s="71"/>
      <c r="H161" s="58">
        <f t="shared" si="116"/>
        <v>0</v>
      </c>
      <c r="I161" s="38"/>
      <c r="J161" s="6"/>
      <c r="K161" s="59">
        <f t="shared" si="117"/>
        <v>0</v>
      </c>
      <c r="L161" s="60"/>
      <c r="M161" s="61"/>
      <c r="N161" s="58">
        <f t="shared" si="118"/>
        <v>0</v>
      </c>
      <c r="O161" s="38"/>
      <c r="P161" s="59">
        <f t="shared" si="119"/>
        <v>0</v>
      </c>
      <c r="Q161" s="71"/>
      <c r="R161" s="58">
        <f t="shared" si="120"/>
        <v>0</v>
      </c>
      <c r="S161" s="38"/>
      <c r="T161" s="59">
        <f t="shared" si="121"/>
        <v>0</v>
      </c>
      <c r="U161" s="71"/>
      <c r="V161" s="63">
        <f t="shared" si="122"/>
        <v>0</v>
      </c>
      <c r="W161" s="38"/>
      <c r="X161" s="65">
        <f t="shared" si="123"/>
        <v>0</v>
      </c>
      <c r="Y161" s="38"/>
      <c r="Z161" s="59">
        <f t="shared" si="124"/>
        <v>0</v>
      </c>
      <c r="AA161" s="71"/>
      <c r="AB161" s="63">
        <f t="shared" si="125"/>
        <v>0</v>
      </c>
      <c r="AC161" s="66">
        <f t="shared" si="126"/>
        <v>0</v>
      </c>
      <c r="AD161" s="70">
        <f t="shared" si="127"/>
        <v>100</v>
      </c>
      <c r="AE161" s="68">
        <f t="shared" si="128"/>
        <v>0</v>
      </c>
    </row>
    <row r="162" spans="6:31" ht="17.149999999999999" customHeight="1" x14ac:dyDescent="0.35">
      <c r="F162" s="3" t="s">
        <v>134</v>
      </c>
      <c r="G162" s="71"/>
      <c r="H162" s="58">
        <f t="shared" si="116"/>
        <v>0</v>
      </c>
      <c r="I162" s="38"/>
      <c r="J162" s="6"/>
      <c r="K162" s="59">
        <f t="shared" si="117"/>
        <v>0</v>
      </c>
      <c r="L162" s="60"/>
      <c r="M162" s="61"/>
      <c r="N162" s="58">
        <f t="shared" si="118"/>
        <v>0</v>
      </c>
      <c r="O162" s="38"/>
      <c r="P162" s="59">
        <f t="shared" si="119"/>
        <v>0</v>
      </c>
      <c r="Q162" s="71"/>
      <c r="R162" s="58">
        <f t="shared" si="120"/>
        <v>0</v>
      </c>
      <c r="S162" s="38"/>
      <c r="T162" s="59">
        <f t="shared" si="121"/>
        <v>0</v>
      </c>
      <c r="U162" s="71"/>
      <c r="V162" s="63">
        <f t="shared" si="122"/>
        <v>0</v>
      </c>
      <c r="W162" s="38"/>
      <c r="X162" s="65">
        <f t="shared" si="123"/>
        <v>0</v>
      </c>
      <c r="Y162" s="38"/>
      <c r="Z162" s="59">
        <f t="shared" si="124"/>
        <v>0</v>
      </c>
      <c r="AA162" s="71"/>
      <c r="AB162" s="63">
        <f t="shared" si="125"/>
        <v>0</v>
      </c>
      <c r="AC162" s="66">
        <f t="shared" si="126"/>
        <v>0</v>
      </c>
      <c r="AD162" s="70">
        <f t="shared" si="127"/>
        <v>100</v>
      </c>
      <c r="AE162" s="68">
        <f t="shared" si="128"/>
        <v>0</v>
      </c>
    </row>
    <row r="163" spans="6:31" ht="17.149999999999999" customHeight="1" x14ac:dyDescent="0.35">
      <c r="F163" s="3" t="s">
        <v>135</v>
      </c>
      <c r="G163" s="71"/>
      <c r="H163" s="58">
        <f t="shared" si="116"/>
        <v>0</v>
      </c>
      <c r="I163" s="38"/>
      <c r="J163" s="6"/>
      <c r="K163" s="59">
        <f t="shared" si="117"/>
        <v>0</v>
      </c>
      <c r="L163" s="60"/>
      <c r="M163" s="61"/>
      <c r="N163" s="58">
        <f t="shared" si="118"/>
        <v>0</v>
      </c>
      <c r="O163" s="38"/>
      <c r="P163" s="59">
        <f t="shared" si="119"/>
        <v>0</v>
      </c>
      <c r="Q163" s="71"/>
      <c r="R163" s="58">
        <f t="shared" si="120"/>
        <v>0</v>
      </c>
      <c r="S163" s="38"/>
      <c r="T163" s="59">
        <f t="shared" si="121"/>
        <v>0</v>
      </c>
      <c r="U163" s="71"/>
      <c r="V163" s="63">
        <f t="shared" si="122"/>
        <v>0</v>
      </c>
      <c r="W163" s="38"/>
      <c r="X163" s="65">
        <f t="shared" si="123"/>
        <v>0</v>
      </c>
      <c r="Y163" s="38"/>
      <c r="Z163" s="59">
        <f t="shared" si="124"/>
        <v>0</v>
      </c>
      <c r="AA163" s="71"/>
      <c r="AB163" s="63">
        <f t="shared" si="125"/>
        <v>0</v>
      </c>
      <c r="AC163" s="66">
        <f t="shared" si="126"/>
        <v>0</v>
      </c>
      <c r="AD163" s="70">
        <f t="shared" si="127"/>
        <v>100</v>
      </c>
      <c r="AE163" s="68">
        <f t="shared" si="128"/>
        <v>0</v>
      </c>
    </row>
    <row r="164" spans="6:31" ht="17.149999999999999" customHeight="1" x14ac:dyDescent="0.35">
      <c r="F164" s="3" t="s">
        <v>136</v>
      </c>
      <c r="G164" s="71"/>
      <c r="H164" s="58">
        <f t="shared" si="116"/>
        <v>0</v>
      </c>
      <c r="I164" s="38"/>
      <c r="J164" s="6"/>
      <c r="K164" s="59">
        <f t="shared" si="117"/>
        <v>0</v>
      </c>
      <c r="L164" s="60"/>
      <c r="M164" s="61"/>
      <c r="N164" s="58">
        <f t="shared" si="118"/>
        <v>0</v>
      </c>
      <c r="O164" s="38"/>
      <c r="P164" s="59">
        <f t="shared" si="119"/>
        <v>0</v>
      </c>
      <c r="Q164" s="71"/>
      <c r="R164" s="58">
        <f t="shared" si="120"/>
        <v>0</v>
      </c>
      <c r="S164" s="38"/>
      <c r="T164" s="59">
        <f t="shared" si="121"/>
        <v>0</v>
      </c>
      <c r="U164" s="71"/>
      <c r="V164" s="63">
        <f t="shared" si="122"/>
        <v>0</v>
      </c>
      <c r="W164" s="38"/>
      <c r="X164" s="65">
        <f t="shared" si="123"/>
        <v>0</v>
      </c>
      <c r="Y164" s="38"/>
      <c r="Z164" s="59">
        <f t="shared" si="124"/>
        <v>0</v>
      </c>
      <c r="AA164" s="71"/>
      <c r="AB164" s="63">
        <f t="shared" si="125"/>
        <v>0</v>
      </c>
      <c r="AC164" s="66">
        <f t="shared" si="126"/>
        <v>0</v>
      </c>
      <c r="AD164" s="70">
        <f t="shared" si="127"/>
        <v>100</v>
      </c>
      <c r="AE164" s="68">
        <f t="shared" si="128"/>
        <v>0</v>
      </c>
    </row>
    <row r="165" spans="6:31" ht="17.149999999999999" customHeight="1" x14ac:dyDescent="0.35">
      <c r="F165" s="3" t="s">
        <v>137</v>
      </c>
      <c r="G165" s="71"/>
      <c r="H165" s="58">
        <f t="shared" si="116"/>
        <v>0</v>
      </c>
      <c r="I165" s="38"/>
      <c r="J165" s="6"/>
      <c r="K165" s="59">
        <f t="shared" si="117"/>
        <v>0</v>
      </c>
      <c r="L165" s="60"/>
      <c r="M165" s="61"/>
      <c r="N165" s="58">
        <f t="shared" si="118"/>
        <v>0</v>
      </c>
      <c r="O165" s="38"/>
      <c r="P165" s="59">
        <f t="shared" si="119"/>
        <v>0</v>
      </c>
      <c r="Q165" s="71"/>
      <c r="R165" s="58">
        <f t="shared" si="120"/>
        <v>0</v>
      </c>
      <c r="S165" s="38"/>
      <c r="T165" s="59">
        <f t="shared" si="121"/>
        <v>0</v>
      </c>
      <c r="U165" s="71"/>
      <c r="V165" s="63">
        <f t="shared" si="122"/>
        <v>0</v>
      </c>
      <c r="W165" s="38"/>
      <c r="X165" s="65">
        <f t="shared" si="123"/>
        <v>0</v>
      </c>
      <c r="Y165" s="38"/>
      <c r="Z165" s="59">
        <f t="shared" si="124"/>
        <v>0</v>
      </c>
      <c r="AA165" s="71"/>
      <c r="AB165" s="63">
        <f t="shared" si="125"/>
        <v>0</v>
      </c>
      <c r="AC165" s="66">
        <f t="shared" si="126"/>
        <v>0</v>
      </c>
      <c r="AD165" s="70">
        <f t="shared" si="127"/>
        <v>100</v>
      </c>
      <c r="AE165" s="68">
        <f t="shared" si="128"/>
        <v>0</v>
      </c>
    </row>
    <row r="166" spans="6:31" ht="17.149999999999999" customHeight="1" x14ac:dyDescent="0.35">
      <c r="F166" s="3" t="s">
        <v>138</v>
      </c>
      <c r="G166" s="71"/>
      <c r="H166" s="58">
        <f t="shared" si="116"/>
        <v>0</v>
      </c>
      <c r="I166" s="38"/>
      <c r="J166" s="6"/>
      <c r="K166" s="59">
        <f t="shared" si="117"/>
        <v>0</v>
      </c>
      <c r="L166" s="60"/>
      <c r="M166" s="61"/>
      <c r="N166" s="58">
        <f t="shared" si="118"/>
        <v>0</v>
      </c>
      <c r="O166" s="38"/>
      <c r="P166" s="59">
        <f t="shared" si="119"/>
        <v>0</v>
      </c>
      <c r="Q166" s="71"/>
      <c r="R166" s="58">
        <f t="shared" si="120"/>
        <v>0</v>
      </c>
      <c r="S166" s="38"/>
      <c r="T166" s="59">
        <f t="shared" si="121"/>
        <v>0</v>
      </c>
      <c r="U166" s="71"/>
      <c r="V166" s="63">
        <f t="shared" si="122"/>
        <v>0</v>
      </c>
      <c r="W166" s="38"/>
      <c r="X166" s="65">
        <f t="shared" si="123"/>
        <v>0</v>
      </c>
      <c r="Y166" s="38"/>
      <c r="Z166" s="59">
        <f t="shared" si="124"/>
        <v>0</v>
      </c>
      <c r="AA166" s="71"/>
      <c r="AB166" s="63">
        <f t="shared" si="125"/>
        <v>0</v>
      </c>
      <c r="AC166" s="66">
        <f t="shared" si="126"/>
        <v>0</v>
      </c>
      <c r="AD166" s="70">
        <f t="shared" si="127"/>
        <v>100</v>
      </c>
      <c r="AE166" s="68">
        <f t="shared" si="128"/>
        <v>0</v>
      </c>
    </row>
    <row r="167" spans="6:31" ht="17.149999999999999" customHeight="1" x14ac:dyDescent="0.35">
      <c r="F167" s="3" t="s">
        <v>139</v>
      </c>
      <c r="G167" s="71"/>
      <c r="H167" s="58">
        <f t="shared" si="116"/>
        <v>0</v>
      </c>
      <c r="I167" s="38"/>
      <c r="J167" s="6"/>
      <c r="K167" s="59">
        <f t="shared" si="117"/>
        <v>0</v>
      </c>
      <c r="L167" s="60"/>
      <c r="M167" s="61"/>
      <c r="N167" s="58">
        <f t="shared" si="118"/>
        <v>0</v>
      </c>
      <c r="O167" s="38"/>
      <c r="P167" s="59">
        <f t="shared" si="119"/>
        <v>0</v>
      </c>
      <c r="Q167" s="71"/>
      <c r="R167" s="58">
        <f t="shared" si="120"/>
        <v>0</v>
      </c>
      <c r="S167" s="38"/>
      <c r="T167" s="59">
        <f t="shared" si="121"/>
        <v>0</v>
      </c>
      <c r="U167" s="71"/>
      <c r="V167" s="63">
        <f t="shared" si="122"/>
        <v>0</v>
      </c>
      <c r="W167" s="38"/>
      <c r="X167" s="65">
        <f t="shared" si="123"/>
        <v>0</v>
      </c>
      <c r="Y167" s="38"/>
      <c r="Z167" s="59">
        <f t="shared" si="124"/>
        <v>0</v>
      </c>
      <c r="AA167" s="71"/>
      <c r="AB167" s="63">
        <f t="shared" si="125"/>
        <v>0</v>
      </c>
      <c r="AC167" s="66">
        <f t="shared" si="126"/>
        <v>0</v>
      </c>
      <c r="AD167" s="70">
        <f t="shared" si="127"/>
        <v>100</v>
      </c>
      <c r="AE167" s="68">
        <f t="shared" si="128"/>
        <v>0</v>
      </c>
    </row>
    <row r="168" spans="6:31" ht="17.149999999999999" customHeight="1" x14ac:dyDescent="0.35">
      <c r="F168" s="3" t="s">
        <v>140</v>
      </c>
      <c r="G168" s="71"/>
      <c r="H168" s="58">
        <f t="shared" si="116"/>
        <v>0</v>
      </c>
      <c r="I168" s="38"/>
      <c r="J168" s="6"/>
      <c r="K168" s="59">
        <f t="shared" si="117"/>
        <v>0</v>
      </c>
      <c r="L168" s="60"/>
      <c r="M168" s="61"/>
      <c r="N168" s="58">
        <f t="shared" si="118"/>
        <v>0</v>
      </c>
      <c r="O168" s="38"/>
      <c r="P168" s="59">
        <f t="shared" si="119"/>
        <v>0</v>
      </c>
      <c r="Q168" s="71"/>
      <c r="R168" s="58">
        <f t="shared" si="120"/>
        <v>0</v>
      </c>
      <c r="S168" s="38"/>
      <c r="T168" s="59">
        <f t="shared" si="121"/>
        <v>0</v>
      </c>
      <c r="U168" s="71"/>
      <c r="V168" s="63">
        <f t="shared" si="122"/>
        <v>0</v>
      </c>
      <c r="W168" s="38"/>
      <c r="X168" s="65">
        <f t="shared" si="123"/>
        <v>0</v>
      </c>
      <c r="Y168" s="38"/>
      <c r="Z168" s="59">
        <f t="shared" si="124"/>
        <v>0</v>
      </c>
      <c r="AA168" s="71"/>
      <c r="AB168" s="63">
        <f t="shared" si="125"/>
        <v>0</v>
      </c>
      <c r="AC168" s="66">
        <f t="shared" si="126"/>
        <v>0</v>
      </c>
      <c r="AD168" s="70">
        <f t="shared" si="127"/>
        <v>100</v>
      </c>
      <c r="AE168" s="68">
        <f t="shared" si="128"/>
        <v>0</v>
      </c>
    </row>
    <row r="169" spans="6:31" ht="17.149999999999999" customHeight="1" x14ac:dyDescent="0.35">
      <c r="F169" s="3" t="s">
        <v>141</v>
      </c>
      <c r="G169" s="71"/>
      <c r="H169" s="58">
        <f t="shared" si="116"/>
        <v>0</v>
      </c>
      <c r="I169" s="38"/>
      <c r="J169" s="6"/>
      <c r="K169" s="59">
        <f t="shared" si="117"/>
        <v>0</v>
      </c>
      <c r="L169" s="60"/>
      <c r="M169" s="61"/>
      <c r="N169" s="58">
        <f t="shared" si="118"/>
        <v>0</v>
      </c>
      <c r="O169" s="38"/>
      <c r="P169" s="59">
        <f t="shared" si="119"/>
        <v>0</v>
      </c>
      <c r="Q169" s="71"/>
      <c r="R169" s="58">
        <f t="shared" si="120"/>
        <v>0</v>
      </c>
      <c r="S169" s="38"/>
      <c r="T169" s="59">
        <f t="shared" si="121"/>
        <v>0</v>
      </c>
      <c r="U169" s="71"/>
      <c r="V169" s="63">
        <f t="shared" si="122"/>
        <v>0</v>
      </c>
      <c r="W169" s="38"/>
      <c r="X169" s="65">
        <f t="shared" si="123"/>
        <v>0</v>
      </c>
      <c r="Y169" s="38"/>
      <c r="Z169" s="59">
        <f t="shared" si="124"/>
        <v>0</v>
      </c>
      <c r="AA169" s="71"/>
      <c r="AB169" s="63">
        <f t="shared" si="125"/>
        <v>0</v>
      </c>
      <c r="AC169" s="66">
        <f t="shared" si="126"/>
        <v>0</v>
      </c>
      <c r="AD169" s="70">
        <f t="shared" si="127"/>
        <v>100</v>
      </c>
      <c r="AE169" s="68">
        <f t="shared" si="128"/>
        <v>0</v>
      </c>
    </row>
    <row r="170" spans="6:31" ht="17.149999999999999" customHeight="1" x14ac:dyDescent="0.35">
      <c r="F170" s="3" t="s">
        <v>142</v>
      </c>
      <c r="G170" s="71"/>
      <c r="H170" s="58">
        <f t="shared" si="116"/>
        <v>0</v>
      </c>
      <c r="I170" s="38"/>
      <c r="J170" s="6"/>
      <c r="K170" s="59">
        <f t="shared" si="117"/>
        <v>0</v>
      </c>
      <c r="L170" s="60"/>
      <c r="M170" s="61"/>
      <c r="N170" s="58">
        <f t="shared" si="118"/>
        <v>0</v>
      </c>
      <c r="O170" s="38"/>
      <c r="P170" s="59">
        <f t="shared" si="119"/>
        <v>0</v>
      </c>
      <c r="Q170" s="71"/>
      <c r="R170" s="58">
        <f t="shared" si="120"/>
        <v>0</v>
      </c>
      <c r="S170" s="38"/>
      <c r="T170" s="59">
        <f t="shared" si="121"/>
        <v>0</v>
      </c>
      <c r="U170" s="71"/>
      <c r="V170" s="63">
        <f t="shared" si="122"/>
        <v>0</v>
      </c>
      <c r="W170" s="38"/>
      <c r="X170" s="65">
        <f t="shared" si="123"/>
        <v>0</v>
      </c>
      <c r="Y170" s="38"/>
      <c r="Z170" s="59">
        <f t="shared" si="124"/>
        <v>0</v>
      </c>
      <c r="AA170" s="71"/>
      <c r="AB170" s="63">
        <f t="shared" si="125"/>
        <v>0</v>
      </c>
      <c r="AC170" s="66">
        <f t="shared" si="126"/>
        <v>0</v>
      </c>
      <c r="AD170" s="70">
        <f t="shared" si="127"/>
        <v>100</v>
      </c>
      <c r="AE170" s="68">
        <f t="shared" si="128"/>
        <v>0</v>
      </c>
    </row>
    <row r="171" spans="6:31" ht="17.149999999999999" customHeight="1" x14ac:dyDescent="0.35">
      <c r="F171" s="3" t="s">
        <v>143</v>
      </c>
      <c r="G171" s="71"/>
      <c r="H171" s="58">
        <f t="shared" ref="H171:H199" si="129">IFERROR((IF(G171&lt;G$122,0,H$122)+IF(G171&lt;G$123,0,H$123)+IF(G171&lt;G$124,0,H$124)+IF(G171&lt;G$125,0,H$125)+IF(G171&lt;G$126,0,H$126)+IF(G171&lt;G$129,0,H$129)),0)</f>
        <v>0</v>
      </c>
      <c r="I171" s="38"/>
      <c r="J171" s="6"/>
      <c r="K171" s="59">
        <f t="shared" ref="K171:K199" si="130">IFERROR((IF(J171&lt;J$122,0,K$122)+IF(J171&lt;J$123,0,K$123)+IF(J171&lt;J$124,0,K$124)+IF(J171&lt;J$125,0,K$125)+IF(J171&lt;J$126,0,K$126)+IF(J171&lt;J$129,0,K$129)),0)</f>
        <v>0</v>
      </c>
      <c r="L171" s="60"/>
      <c r="M171" s="61"/>
      <c r="N171" s="58">
        <f t="shared" ref="N171:N199" si="131">IFERROR((IF(M171&lt;M$122,0,N$122)+IF(M171&lt;M$123,0,N$123)+IF(M171&lt;M$124,0,N$124)+IF(M171&lt;M$125,0,N$125)+IF(M171&lt;M$126,0,N$126)+IF(M171&lt;M$129,0,N$129)),0)</f>
        <v>0</v>
      </c>
      <c r="O171" s="38"/>
      <c r="P171" s="59">
        <f t="shared" ref="P171:P199" si="132">IFERROR((IF(O171&lt;O$122,0,P$122)+IF(O171&lt;O$123,0,P$123)+IF(O171&lt;O$124,0,P$124)+IF(O171&lt;O$125,0,P$125)+IF(O171&lt;O$126,0,P$126)+IF(O171&lt;O$129,0,P$129)),0)</f>
        <v>0</v>
      </c>
      <c r="Q171" s="71"/>
      <c r="R171" s="58">
        <f t="shared" ref="R171:R199" si="133">IFERROR((IF(Q171&lt;Q$122,0,R$122)+IF(Q171&lt;Q$123,0,R$123)+IF(Q171&lt;Q$124,0,R$124)+IF(Q171&lt;Q$125,0,R$125)+IF(Q171&lt;Q$126,0,R$126)+IF(Q171&lt;Q$129,0,R$129)),0)</f>
        <v>0</v>
      </c>
      <c r="S171" s="38"/>
      <c r="T171" s="59">
        <f t="shared" ref="T171:T199" si="134">IFERROR((IF(S171&lt;S$122,0,T$122)+IF(S171&lt;S$123,0,T$123)+IF(S171&lt;S$124,0,T$124)+IF(S171&lt;S$125,0,T$125)+IF(S171&lt;S$126,0,T$126)+IF(S171&lt;S$129,0,T$129)),0)</f>
        <v>0</v>
      </c>
      <c r="U171" s="71"/>
      <c r="V171" s="63">
        <f t="shared" ref="V171:V199" si="135">IFERROR((IF(U171&lt;U$122,0,V$122)+IF(U171&lt;U$123,0,V$123)+IF(U171&lt;U$124,0,V$124)+IF(U171&lt;U$125,0,V$125)+IF(U171&lt;U$126,0,V$126)+IF(U171&lt;U$129,0,V$129)),0)</f>
        <v>0</v>
      </c>
      <c r="W171" s="38"/>
      <c r="X171" s="65">
        <f t="shared" ref="X171:X199" si="136">IFERROR(IF(W171=W$122,X$122,0),0)</f>
        <v>0</v>
      </c>
      <c r="Y171" s="38"/>
      <c r="Z171" s="59">
        <f t="shared" ref="Z171:Z199" si="137">IFERROR((IF(Y171&lt;Y$122,0,Z$122)+IF(Y171&lt;Y$123,0,Z$123)+IF(Y171&lt;Y$124,0,Z$124)+IF(Y171&lt;Y$125,0,Z$125)+IF(Y171&lt;Y$126,0,Z$126)+IF(Y171&lt;Y$129,0,Z$129)),0)</f>
        <v>0</v>
      </c>
      <c r="AA171" s="71"/>
      <c r="AB171" s="63">
        <f t="shared" ref="AB171:AB199" si="138">IFERROR((IF(AA171&lt;AA$122,0,AB$122)+IF(AA171&lt;AA$123,0,AB$123)+IF(AA171&lt;AA$124,0,AB$124)+IF(AA171&lt;AA$125,0,AB$125)+IF(AA171&lt;AA$126,0,AB$126)+IF(AA171&lt;AA$129,0,AB$129)),0)</f>
        <v>0</v>
      </c>
      <c r="AC171" s="66">
        <f t="shared" ref="AC171:AC199" si="139">(H171+R171+T171+V171+X171+N171+Z171+AB171+P171+K171)</f>
        <v>0</v>
      </c>
      <c r="AD171" s="70">
        <f t="shared" ref="AD171:AD199" si="140">100-((COUNTIF(G171:Z171,"N/A"))*10)</f>
        <v>100</v>
      </c>
      <c r="AE171" s="68">
        <f t="shared" si="128"/>
        <v>0</v>
      </c>
    </row>
    <row r="172" spans="6:31" ht="17.149999999999999" customHeight="1" x14ac:dyDescent="0.35">
      <c r="F172" s="3" t="s">
        <v>144</v>
      </c>
      <c r="G172" s="71"/>
      <c r="H172" s="58">
        <f t="shared" si="129"/>
        <v>0</v>
      </c>
      <c r="I172" s="38"/>
      <c r="J172" s="6"/>
      <c r="K172" s="59">
        <f t="shared" si="130"/>
        <v>0</v>
      </c>
      <c r="L172" s="60"/>
      <c r="M172" s="61"/>
      <c r="N172" s="58">
        <f t="shared" si="131"/>
        <v>0</v>
      </c>
      <c r="O172" s="38"/>
      <c r="P172" s="59">
        <f t="shared" si="132"/>
        <v>0</v>
      </c>
      <c r="Q172" s="71"/>
      <c r="R172" s="58">
        <f t="shared" si="133"/>
        <v>0</v>
      </c>
      <c r="S172" s="38"/>
      <c r="T172" s="59">
        <f t="shared" si="134"/>
        <v>0</v>
      </c>
      <c r="U172" s="71"/>
      <c r="V172" s="63">
        <f t="shared" si="135"/>
        <v>0</v>
      </c>
      <c r="W172" s="38"/>
      <c r="X172" s="65">
        <f t="shared" si="136"/>
        <v>0</v>
      </c>
      <c r="Y172" s="38"/>
      <c r="Z172" s="59">
        <f t="shared" si="137"/>
        <v>0</v>
      </c>
      <c r="AA172" s="71"/>
      <c r="AB172" s="63">
        <f t="shared" si="138"/>
        <v>0</v>
      </c>
      <c r="AC172" s="66">
        <f t="shared" si="139"/>
        <v>0</v>
      </c>
      <c r="AD172" s="70">
        <f t="shared" si="140"/>
        <v>100</v>
      </c>
      <c r="AE172" s="68">
        <f t="shared" si="128"/>
        <v>0</v>
      </c>
    </row>
    <row r="173" spans="6:31" ht="17.149999999999999" customHeight="1" x14ac:dyDescent="0.35">
      <c r="F173" s="3" t="s">
        <v>145</v>
      </c>
      <c r="G173" s="71"/>
      <c r="H173" s="58">
        <f t="shared" si="129"/>
        <v>0</v>
      </c>
      <c r="I173" s="38"/>
      <c r="J173" s="6"/>
      <c r="K173" s="59">
        <f t="shared" si="130"/>
        <v>0</v>
      </c>
      <c r="L173" s="60"/>
      <c r="M173" s="61"/>
      <c r="N173" s="58">
        <f t="shared" si="131"/>
        <v>0</v>
      </c>
      <c r="O173" s="38"/>
      <c r="P173" s="59">
        <f t="shared" si="132"/>
        <v>0</v>
      </c>
      <c r="Q173" s="71"/>
      <c r="R173" s="58">
        <f t="shared" si="133"/>
        <v>0</v>
      </c>
      <c r="S173" s="38"/>
      <c r="T173" s="59">
        <f t="shared" si="134"/>
        <v>0</v>
      </c>
      <c r="U173" s="71"/>
      <c r="V173" s="63">
        <f t="shared" si="135"/>
        <v>0</v>
      </c>
      <c r="W173" s="38"/>
      <c r="X173" s="65">
        <f t="shared" si="136"/>
        <v>0</v>
      </c>
      <c r="Y173" s="38"/>
      <c r="Z173" s="59">
        <f t="shared" si="137"/>
        <v>0</v>
      </c>
      <c r="AA173" s="71"/>
      <c r="AB173" s="63">
        <f t="shared" si="138"/>
        <v>0</v>
      </c>
      <c r="AC173" s="66">
        <f t="shared" si="139"/>
        <v>0</v>
      </c>
      <c r="AD173" s="70">
        <f t="shared" si="140"/>
        <v>100</v>
      </c>
      <c r="AE173" s="68">
        <f t="shared" si="128"/>
        <v>0</v>
      </c>
    </row>
    <row r="174" spans="6:31" ht="17.149999999999999" customHeight="1" x14ac:dyDescent="0.35">
      <c r="F174" s="3" t="s">
        <v>146</v>
      </c>
      <c r="G174" s="71"/>
      <c r="H174" s="58">
        <f t="shared" si="129"/>
        <v>0</v>
      </c>
      <c r="I174" s="38"/>
      <c r="J174" s="6"/>
      <c r="K174" s="59">
        <f t="shared" si="130"/>
        <v>0</v>
      </c>
      <c r="L174" s="60"/>
      <c r="M174" s="61"/>
      <c r="N174" s="58">
        <f t="shared" si="131"/>
        <v>0</v>
      </c>
      <c r="O174" s="38"/>
      <c r="P174" s="59">
        <f t="shared" si="132"/>
        <v>0</v>
      </c>
      <c r="Q174" s="71"/>
      <c r="R174" s="58">
        <f t="shared" si="133"/>
        <v>0</v>
      </c>
      <c r="S174" s="38"/>
      <c r="T174" s="59">
        <f t="shared" si="134"/>
        <v>0</v>
      </c>
      <c r="U174" s="71"/>
      <c r="V174" s="63">
        <f t="shared" si="135"/>
        <v>0</v>
      </c>
      <c r="W174" s="38"/>
      <c r="X174" s="65">
        <f t="shared" si="136"/>
        <v>0</v>
      </c>
      <c r="Y174" s="38"/>
      <c r="Z174" s="59">
        <f t="shared" si="137"/>
        <v>0</v>
      </c>
      <c r="AA174" s="71"/>
      <c r="AB174" s="63">
        <f t="shared" si="138"/>
        <v>0</v>
      </c>
      <c r="AC174" s="66">
        <f t="shared" si="139"/>
        <v>0</v>
      </c>
      <c r="AD174" s="70">
        <f t="shared" si="140"/>
        <v>100</v>
      </c>
      <c r="AE174" s="68">
        <f t="shared" si="128"/>
        <v>0</v>
      </c>
    </row>
    <row r="175" spans="6:31" ht="17.149999999999999" customHeight="1" x14ac:dyDescent="0.35">
      <c r="F175" s="3" t="s">
        <v>147</v>
      </c>
      <c r="G175" s="71"/>
      <c r="H175" s="58">
        <f t="shared" si="129"/>
        <v>0</v>
      </c>
      <c r="I175" s="38"/>
      <c r="J175" s="6"/>
      <c r="K175" s="59">
        <f t="shared" si="130"/>
        <v>0</v>
      </c>
      <c r="L175" s="60"/>
      <c r="M175" s="61"/>
      <c r="N175" s="58">
        <f t="shared" si="131"/>
        <v>0</v>
      </c>
      <c r="O175" s="38"/>
      <c r="P175" s="59">
        <f t="shared" si="132"/>
        <v>0</v>
      </c>
      <c r="Q175" s="71"/>
      <c r="R175" s="58">
        <f t="shared" si="133"/>
        <v>0</v>
      </c>
      <c r="S175" s="38"/>
      <c r="T175" s="59">
        <f t="shared" si="134"/>
        <v>0</v>
      </c>
      <c r="U175" s="71"/>
      <c r="V175" s="63">
        <f t="shared" si="135"/>
        <v>0</v>
      </c>
      <c r="W175" s="38"/>
      <c r="X175" s="65">
        <f t="shared" si="136"/>
        <v>0</v>
      </c>
      <c r="Y175" s="38"/>
      <c r="Z175" s="59">
        <f t="shared" si="137"/>
        <v>0</v>
      </c>
      <c r="AA175" s="71"/>
      <c r="AB175" s="63">
        <f t="shared" si="138"/>
        <v>0</v>
      </c>
      <c r="AC175" s="66">
        <f t="shared" si="139"/>
        <v>0</v>
      </c>
      <c r="AD175" s="70">
        <f t="shared" si="140"/>
        <v>100</v>
      </c>
      <c r="AE175" s="68">
        <f t="shared" si="128"/>
        <v>0</v>
      </c>
    </row>
    <row r="176" spans="6:31" ht="17.149999999999999" customHeight="1" x14ac:dyDescent="0.35">
      <c r="F176" s="3" t="s">
        <v>148</v>
      </c>
      <c r="G176" s="71"/>
      <c r="H176" s="58">
        <f t="shared" si="129"/>
        <v>0</v>
      </c>
      <c r="I176" s="38"/>
      <c r="J176" s="6"/>
      <c r="K176" s="59">
        <f t="shared" si="130"/>
        <v>0</v>
      </c>
      <c r="L176" s="60"/>
      <c r="M176" s="61"/>
      <c r="N176" s="58">
        <f t="shared" si="131"/>
        <v>0</v>
      </c>
      <c r="O176" s="38"/>
      <c r="P176" s="59">
        <f t="shared" si="132"/>
        <v>0</v>
      </c>
      <c r="Q176" s="71"/>
      <c r="R176" s="58">
        <f t="shared" si="133"/>
        <v>0</v>
      </c>
      <c r="S176" s="38"/>
      <c r="T176" s="59">
        <f t="shared" si="134"/>
        <v>0</v>
      </c>
      <c r="U176" s="71"/>
      <c r="V176" s="63">
        <f t="shared" si="135"/>
        <v>0</v>
      </c>
      <c r="W176" s="38"/>
      <c r="X176" s="65">
        <f t="shared" si="136"/>
        <v>0</v>
      </c>
      <c r="Y176" s="38"/>
      <c r="Z176" s="59">
        <f t="shared" si="137"/>
        <v>0</v>
      </c>
      <c r="AA176" s="71"/>
      <c r="AB176" s="63">
        <f t="shared" si="138"/>
        <v>0</v>
      </c>
      <c r="AC176" s="66">
        <f t="shared" si="139"/>
        <v>0</v>
      </c>
      <c r="AD176" s="70">
        <f t="shared" si="140"/>
        <v>100</v>
      </c>
      <c r="AE176" s="68">
        <f t="shared" si="128"/>
        <v>0</v>
      </c>
    </row>
    <row r="177" spans="6:31" ht="17.149999999999999" customHeight="1" x14ac:dyDescent="0.35">
      <c r="F177" s="3" t="s">
        <v>149</v>
      </c>
      <c r="G177" s="71"/>
      <c r="H177" s="58">
        <f t="shared" si="129"/>
        <v>0</v>
      </c>
      <c r="I177" s="38"/>
      <c r="J177" s="6"/>
      <c r="K177" s="59">
        <f t="shared" si="130"/>
        <v>0</v>
      </c>
      <c r="L177" s="60"/>
      <c r="M177" s="61"/>
      <c r="N177" s="58">
        <f t="shared" si="131"/>
        <v>0</v>
      </c>
      <c r="O177" s="38"/>
      <c r="P177" s="59">
        <f t="shared" si="132"/>
        <v>0</v>
      </c>
      <c r="Q177" s="71"/>
      <c r="R177" s="58">
        <f t="shared" si="133"/>
        <v>0</v>
      </c>
      <c r="S177" s="38"/>
      <c r="T177" s="59">
        <f t="shared" si="134"/>
        <v>0</v>
      </c>
      <c r="U177" s="71"/>
      <c r="V177" s="63">
        <f t="shared" si="135"/>
        <v>0</v>
      </c>
      <c r="W177" s="38"/>
      <c r="X177" s="65">
        <f t="shared" si="136"/>
        <v>0</v>
      </c>
      <c r="Y177" s="38"/>
      <c r="Z177" s="59">
        <f t="shared" si="137"/>
        <v>0</v>
      </c>
      <c r="AA177" s="71"/>
      <c r="AB177" s="63">
        <f t="shared" si="138"/>
        <v>0</v>
      </c>
      <c r="AC177" s="66">
        <f t="shared" si="139"/>
        <v>0</v>
      </c>
      <c r="AD177" s="70">
        <f t="shared" si="140"/>
        <v>100</v>
      </c>
      <c r="AE177" s="68">
        <f t="shared" si="128"/>
        <v>0</v>
      </c>
    </row>
    <row r="178" spans="6:31" ht="17.149999999999999" customHeight="1" x14ac:dyDescent="0.35">
      <c r="F178" s="3" t="s">
        <v>150</v>
      </c>
      <c r="G178" s="71"/>
      <c r="H178" s="58">
        <f t="shared" si="129"/>
        <v>0</v>
      </c>
      <c r="I178" s="38"/>
      <c r="J178" s="6"/>
      <c r="K178" s="59">
        <f t="shared" si="130"/>
        <v>0</v>
      </c>
      <c r="L178" s="60"/>
      <c r="M178" s="61"/>
      <c r="N178" s="58">
        <f t="shared" si="131"/>
        <v>0</v>
      </c>
      <c r="O178" s="38"/>
      <c r="P178" s="59">
        <f t="shared" si="132"/>
        <v>0</v>
      </c>
      <c r="Q178" s="71"/>
      <c r="R178" s="58">
        <f t="shared" si="133"/>
        <v>0</v>
      </c>
      <c r="S178" s="38"/>
      <c r="T178" s="59">
        <f t="shared" si="134"/>
        <v>0</v>
      </c>
      <c r="U178" s="71"/>
      <c r="V178" s="63">
        <f t="shared" si="135"/>
        <v>0</v>
      </c>
      <c r="W178" s="38"/>
      <c r="X178" s="65">
        <f t="shared" si="136"/>
        <v>0</v>
      </c>
      <c r="Y178" s="38"/>
      <c r="Z178" s="59">
        <f t="shared" si="137"/>
        <v>0</v>
      </c>
      <c r="AA178" s="71"/>
      <c r="AB178" s="63">
        <f t="shared" si="138"/>
        <v>0</v>
      </c>
      <c r="AC178" s="66">
        <f t="shared" si="139"/>
        <v>0</v>
      </c>
      <c r="AD178" s="70">
        <f t="shared" si="140"/>
        <v>100</v>
      </c>
      <c r="AE178" s="68">
        <f t="shared" si="128"/>
        <v>0</v>
      </c>
    </row>
    <row r="179" spans="6:31" ht="17.149999999999999" customHeight="1" x14ac:dyDescent="0.35">
      <c r="F179" s="3" t="s">
        <v>151</v>
      </c>
      <c r="G179" s="71"/>
      <c r="H179" s="58">
        <f t="shared" si="129"/>
        <v>0</v>
      </c>
      <c r="I179" s="38"/>
      <c r="J179" s="6"/>
      <c r="K179" s="59">
        <f t="shared" si="130"/>
        <v>0</v>
      </c>
      <c r="L179" s="60"/>
      <c r="M179" s="61"/>
      <c r="N179" s="58">
        <f t="shared" si="131"/>
        <v>0</v>
      </c>
      <c r="O179" s="38"/>
      <c r="P179" s="59">
        <f t="shared" si="132"/>
        <v>0</v>
      </c>
      <c r="Q179" s="71"/>
      <c r="R179" s="58">
        <f t="shared" si="133"/>
        <v>0</v>
      </c>
      <c r="S179" s="38"/>
      <c r="T179" s="59">
        <f t="shared" si="134"/>
        <v>0</v>
      </c>
      <c r="U179" s="71"/>
      <c r="V179" s="63">
        <f t="shared" si="135"/>
        <v>0</v>
      </c>
      <c r="W179" s="38"/>
      <c r="X179" s="65">
        <f t="shared" si="136"/>
        <v>0</v>
      </c>
      <c r="Y179" s="38"/>
      <c r="Z179" s="59">
        <f t="shared" si="137"/>
        <v>0</v>
      </c>
      <c r="AA179" s="71"/>
      <c r="AB179" s="63">
        <f t="shared" si="138"/>
        <v>0</v>
      </c>
      <c r="AC179" s="66">
        <f t="shared" si="139"/>
        <v>0</v>
      </c>
      <c r="AD179" s="70">
        <f t="shared" si="140"/>
        <v>100</v>
      </c>
      <c r="AE179" s="68">
        <f t="shared" si="128"/>
        <v>0</v>
      </c>
    </row>
    <row r="180" spans="6:31" ht="17.149999999999999" customHeight="1" x14ac:dyDescent="0.35">
      <c r="F180" s="3" t="s">
        <v>152</v>
      </c>
      <c r="G180" s="71"/>
      <c r="H180" s="58">
        <f t="shared" si="129"/>
        <v>0</v>
      </c>
      <c r="I180" s="38"/>
      <c r="J180" s="6"/>
      <c r="K180" s="59">
        <f t="shared" si="130"/>
        <v>0</v>
      </c>
      <c r="L180" s="60"/>
      <c r="M180" s="61"/>
      <c r="N180" s="58">
        <f t="shared" si="131"/>
        <v>0</v>
      </c>
      <c r="O180" s="38"/>
      <c r="P180" s="59">
        <f t="shared" si="132"/>
        <v>0</v>
      </c>
      <c r="Q180" s="71"/>
      <c r="R180" s="58">
        <f t="shared" si="133"/>
        <v>0</v>
      </c>
      <c r="S180" s="38"/>
      <c r="T180" s="59">
        <f t="shared" si="134"/>
        <v>0</v>
      </c>
      <c r="U180" s="71"/>
      <c r="V180" s="63">
        <f t="shared" si="135"/>
        <v>0</v>
      </c>
      <c r="W180" s="38"/>
      <c r="X180" s="65">
        <f t="shared" si="136"/>
        <v>0</v>
      </c>
      <c r="Y180" s="38"/>
      <c r="Z180" s="59">
        <f t="shared" si="137"/>
        <v>0</v>
      </c>
      <c r="AA180" s="71"/>
      <c r="AB180" s="63">
        <f t="shared" si="138"/>
        <v>0</v>
      </c>
      <c r="AC180" s="66">
        <f t="shared" si="139"/>
        <v>0</v>
      </c>
      <c r="AD180" s="70">
        <f t="shared" si="140"/>
        <v>100</v>
      </c>
      <c r="AE180" s="68">
        <f t="shared" si="128"/>
        <v>0</v>
      </c>
    </row>
    <row r="181" spans="6:31" ht="17.149999999999999" customHeight="1" x14ac:dyDescent="0.35">
      <c r="F181" s="3" t="s">
        <v>153</v>
      </c>
      <c r="G181" s="71"/>
      <c r="H181" s="58">
        <f t="shared" si="129"/>
        <v>0</v>
      </c>
      <c r="I181" s="38"/>
      <c r="J181" s="6"/>
      <c r="K181" s="59">
        <f t="shared" si="130"/>
        <v>0</v>
      </c>
      <c r="L181" s="60"/>
      <c r="M181" s="61"/>
      <c r="N181" s="58">
        <f t="shared" si="131"/>
        <v>0</v>
      </c>
      <c r="O181" s="38"/>
      <c r="P181" s="59">
        <f t="shared" si="132"/>
        <v>0</v>
      </c>
      <c r="Q181" s="71"/>
      <c r="R181" s="58">
        <f t="shared" si="133"/>
        <v>0</v>
      </c>
      <c r="S181" s="38"/>
      <c r="T181" s="59">
        <f t="shared" si="134"/>
        <v>0</v>
      </c>
      <c r="U181" s="71"/>
      <c r="V181" s="63">
        <f t="shared" si="135"/>
        <v>0</v>
      </c>
      <c r="W181" s="38"/>
      <c r="X181" s="65">
        <f t="shared" si="136"/>
        <v>0</v>
      </c>
      <c r="Y181" s="38"/>
      <c r="Z181" s="59">
        <f t="shared" si="137"/>
        <v>0</v>
      </c>
      <c r="AA181" s="71"/>
      <c r="AB181" s="63">
        <f t="shared" si="138"/>
        <v>0</v>
      </c>
      <c r="AC181" s="66">
        <f t="shared" si="139"/>
        <v>0</v>
      </c>
      <c r="AD181" s="70">
        <f t="shared" si="140"/>
        <v>100</v>
      </c>
      <c r="AE181" s="68">
        <f t="shared" si="128"/>
        <v>0</v>
      </c>
    </row>
    <row r="182" spans="6:31" ht="17.149999999999999" customHeight="1" x14ac:dyDescent="0.35">
      <c r="F182" s="3" t="s">
        <v>154</v>
      </c>
      <c r="G182" s="71"/>
      <c r="H182" s="58">
        <f t="shared" si="129"/>
        <v>0</v>
      </c>
      <c r="I182" s="38"/>
      <c r="J182" s="6"/>
      <c r="K182" s="59">
        <f t="shared" si="130"/>
        <v>0</v>
      </c>
      <c r="L182" s="60"/>
      <c r="M182" s="61"/>
      <c r="N182" s="58">
        <f t="shared" si="131"/>
        <v>0</v>
      </c>
      <c r="O182" s="38"/>
      <c r="P182" s="59">
        <f t="shared" si="132"/>
        <v>0</v>
      </c>
      <c r="Q182" s="71"/>
      <c r="R182" s="58">
        <f t="shared" si="133"/>
        <v>0</v>
      </c>
      <c r="S182" s="38"/>
      <c r="T182" s="59">
        <f t="shared" si="134"/>
        <v>0</v>
      </c>
      <c r="U182" s="71"/>
      <c r="V182" s="63">
        <f t="shared" si="135"/>
        <v>0</v>
      </c>
      <c r="W182" s="38"/>
      <c r="X182" s="65">
        <f t="shared" si="136"/>
        <v>0</v>
      </c>
      <c r="Y182" s="38"/>
      <c r="Z182" s="59">
        <f t="shared" si="137"/>
        <v>0</v>
      </c>
      <c r="AA182" s="71"/>
      <c r="AB182" s="63">
        <f t="shared" si="138"/>
        <v>0</v>
      </c>
      <c r="AC182" s="66">
        <f t="shared" si="139"/>
        <v>0</v>
      </c>
      <c r="AD182" s="70">
        <f t="shared" si="140"/>
        <v>100</v>
      </c>
      <c r="AE182" s="68">
        <f t="shared" si="128"/>
        <v>0</v>
      </c>
    </row>
    <row r="183" spans="6:31" ht="17.149999999999999" customHeight="1" x14ac:dyDescent="0.35">
      <c r="F183" s="3" t="s">
        <v>155</v>
      </c>
      <c r="G183" s="71"/>
      <c r="H183" s="58">
        <f t="shared" si="129"/>
        <v>0</v>
      </c>
      <c r="I183" s="38"/>
      <c r="J183" s="6"/>
      <c r="K183" s="59">
        <f t="shared" si="130"/>
        <v>0</v>
      </c>
      <c r="L183" s="60"/>
      <c r="M183" s="61"/>
      <c r="N183" s="58">
        <f t="shared" si="131"/>
        <v>0</v>
      </c>
      <c r="O183" s="38"/>
      <c r="P183" s="59">
        <f t="shared" si="132"/>
        <v>0</v>
      </c>
      <c r="Q183" s="71"/>
      <c r="R183" s="58">
        <f t="shared" si="133"/>
        <v>0</v>
      </c>
      <c r="S183" s="38"/>
      <c r="T183" s="59">
        <f t="shared" si="134"/>
        <v>0</v>
      </c>
      <c r="U183" s="71"/>
      <c r="V183" s="63">
        <f t="shared" si="135"/>
        <v>0</v>
      </c>
      <c r="W183" s="38"/>
      <c r="X183" s="65">
        <f t="shared" si="136"/>
        <v>0</v>
      </c>
      <c r="Y183" s="38"/>
      <c r="Z183" s="59">
        <f t="shared" si="137"/>
        <v>0</v>
      </c>
      <c r="AA183" s="71"/>
      <c r="AB183" s="63">
        <f t="shared" si="138"/>
        <v>0</v>
      </c>
      <c r="AC183" s="66">
        <f t="shared" si="139"/>
        <v>0</v>
      </c>
      <c r="AD183" s="70">
        <f t="shared" si="140"/>
        <v>100</v>
      </c>
      <c r="AE183" s="68">
        <f t="shared" si="128"/>
        <v>0</v>
      </c>
    </row>
    <row r="184" spans="6:31" ht="17.149999999999999" customHeight="1" x14ac:dyDescent="0.35">
      <c r="F184" s="3" t="s">
        <v>156</v>
      </c>
      <c r="G184" s="71"/>
      <c r="H184" s="58">
        <f t="shared" si="129"/>
        <v>0</v>
      </c>
      <c r="I184" s="38"/>
      <c r="J184" s="6"/>
      <c r="K184" s="59">
        <f t="shared" si="130"/>
        <v>0</v>
      </c>
      <c r="L184" s="60"/>
      <c r="M184" s="61"/>
      <c r="N184" s="58">
        <f t="shared" si="131"/>
        <v>0</v>
      </c>
      <c r="O184" s="38"/>
      <c r="P184" s="59">
        <f t="shared" si="132"/>
        <v>0</v>
      </c>
      <c r="Q184" s="71"/>
      <c r="R184" s="58">
        <f t="shared" si="133"/>
        <v>0</v>
      </c>
      <c r="S184" s="38"/>
      <c r="T184" s="59">
        <f t="shared" si="134"/>
        <v>0</v>
      </c>
      <c r="U184" s="71"/>
      <c r="V184" s="63">
        <f t="shared" si="135"/>
        <v>0</v>
      </c>
      <c r="W184" s="38"/>
      <c r="X184" s="65">
        <f t="shared" si="136"/>
        <v>0</v>
      </c>
      <c r="Y184" s="38"/>
      <c r="Z184" s="59">
        <f t="shared" si="137"/>
        <v>0</v>
      </c>
      <c r="AA184" s="71"/>
      <c r="AB184" s="63">
        <f t="shared" si="138"/>
        <v>0</v>
      </c>
      <c r="AC184" s="66">
        <f t="shared" si="139"/>
        <v>0</v>
      </c>
      <c r="AD184" s="70">
        <f t="shared" si="140"/>
        <v>100</v>
      </c>
      <c r="AE184" s="68">
        <f t="shared" si="128"/>
        <v>0</v>
      </c>
    </row>
    <row r="185" spans="6:31" ht="17.149999999999999" customHeight="1" x14ac:dyDescent="0.35">
      <c r="F185" s="3" t="s">
        <v>157</v>
      </c>
      <c r="G185" s="71"/>
      <c r="H185" s="58">
        <f t="shared" si="129"/>
        <v>0</v>
      </c>
      <c r="I185" s="38"/>
      <c r="J185" s="6"/>
      <c r="K185" s="59">
        <f t="shared" si="130"/>
        <v>0</v>
      </c>
      <c r="L185" s="60"/>
      <c r="M185" s="61"/>
      <c r="N185" s="58">
        <f t="shared" si="131"/>
        <v>0</v>
      </c>
      <c r="O185" s="38"/>
      <c r="P185" s="59">
        <f t="shared" si="132"/>
        <v>0</v>
      </c>
      <c r="Q185" s="71"/>
      <c r="R185" s="58">
        <f t="shared" si="133"/>
        <v>0</v>
      </c>
      <c r="S185" s="38"/>
      <c r="T185" s="59">
        <f t="shared" si="134"/>
        <v>0</v>
      </c>
      <c r="U185" s="71"/>
      <c r="V185" s="63">
        <f t="shared" si="135"/>
        <v>0</v>
      </c>
      <c r="W185" s="38"/>
      <c r="X185" s="65">
        <f t="shared" si="136"/>
        <v>0</v>
      </c>
      <c r="Y185" s="38"/>
      <c r="Z185" s="59">
        <f t="shared" si="137"/>
        <v>0</v>
      </c>
      <c r="AA185" s="71"/>
      <c r="AB185" s="63">
        <f t="shared" si="138"/>
        <v>0</v>
      </c>
      <c r="AC185" s="66">
        <f t="shared" si="139"/>
        <v>0</v>
      </c>
      <c r="AD185" s="70">
        <f t="shared" si="140"/>
        <v>100</v>
      </c>
      <c r="AE185" s="68">
        <f t="shared" si="128"/>
        <v>0</v>
      </c>
    </row>
    <row r="186" spans="6:31" ht="17.149999999999999" customHeight="1" x14ac:dyDescent="0.35">
      <c r="F186" s="3" t="s">
        <v>158</v>
      </c>
      <c r="G186" s="71"/>
      <c r="H186" s="58">
        <f t="shared" si="129"/>
        <v>0</v>
      </c>
      <c r="I186" s="38"/>
      <c r="J186" s="6"/>
      <c r="K186" s="59">
        <f t="shared" si="130"/>
        <v>0</v>
      </c>
      <c r="L186" s="60"/>
      <c r="M186" s="61"/>
      <c r="N186" s="58">
        <f t="shared" si="131"/>
        <v>0</v>
      </c>
      <c r="O186" s="38"/>
      <c r="P186" s="59">
        <f t="shared" si="132"/>
        <v>0</v>
      </c>
      <c r="Q186" s="71"/>
      <c r="R186" s="58">
        <f t="shared" si="133"/>
        <v>0</v>
      </c>
      <c r="S186" s="38"/>
      <c r="T186" s="59">
        <f t="shared" si="134"/>
        <v>0</v>
      </c>
      <c r="U186" s="71"/>
      <c r="V186" s="63">
        <f t="shared" si="135"/>
        <v>0</v>
      </c>
      <c r="W186" s="38"/>
      <c r="X186" s="65">
        <f t="shared" si="136"/>
        <v>0</v>
      </c>
      <c r="Y186" s="38"/>
      <c r="Z186" s="59">
        <f t="shared" si="137"/>
        <v>0</v>
      </c>
      <c r="AA186" s="71"/>
      <c r="AB186" s="63">
        <f t="shared" si="138"/>
        <v>0</v>
      </c>
      <c r="AC186" s="66">
        <f t="shared" si="139"/>
        <v>0</v>
      </c>
      <c r="AD186" s="70">
        <f t="shared" si="140"/>
        <v>100</v>
      </c>
      <c r="AE186" s="68">
        <f t="shared" si="128"/>
        <v>0</v>
      </c>
    </row>
    <row r="187" spans="6:31" ht="17.149999999999999" customHeight="1" x14ac:dyDescent="0.35">
      <c r="F187" s="3" t="s">
        <v>159</v>
      </c>
      <c r="G187" s="71"/>
      <c r="H187" s="58">
        <f t="shared" si="129"/>
        <v>0</v>
      </c>
      <c r="I187" s="38"/>
      <c r="J187" s="6"/>
      <c r="K187" s="59">
        <f t="shared" si="130"/>
        <v>0</v>
      </c>
      <c r="L187" s="60"/>
      <c r="M187" s="61"/>
      <c r="N187" s="58">
        <f t="shared" si="131"/>
        <v>0</v>
      </c>
      <c r="O187" s="38"/>
      <c r="P187" s="59">
        <f t="shared" si="132"/>
        <v>0</v>
      </c>
      <c r="Q187" s="71"/>
      <c r="R187" s="58">
        <f t="shared" si="133"/>
        <v>0</v>
      </c>
      <c r="S187" s="38"/>
      <c r="T187" s="59">
        <f t="shared" si="134"/>
        <v>0</v>
      </c>
      <c r="U187" s="71"/>
      <c r="V187" s="63">
        <f t="shared" si="135"/>
        <v>0</v>
      </c>
      <c r="W187" s="38"/>
      <c r="X187" s="65">
        <f t="shared" si="136"/>
        <v>0</v>
      </c>
      <c r="Y187" s="38"/>
      <c r="Z187" s="59">
        <f t="shared" si="137"/>
        <v>0</v>
      </c>
      <c r="AA187" s="71"/>
      <c r="AB187" s="63">
        <f t="shared" si="138"/>
        <v>0</v>
      </c>
      <c r="AC187" s="66">
        <f t="shared" si="139"/>
        <v>0</v>
      </c>
      <c r="AD187" s="70">
        <f t="shared" si="140"/>
        <v>100</v>
      </c>
      <c r="AE187" s="68">
        <f t="shared" si="128"/>
        <v>0</v>
      </c>
    </row>
    <row r="188" spans="6:31" ht="17.149999999999999" customHeight="1" x14ac:dyDescent="0.35">
      <c r="F188" s="3" t="s">
        <v>160</v>
      </c>
      <c r="G188" s="71"/>
      <c r="H188" s="58">
        <f t="shared" si="129"/>
        <v>0</v>
      </c>
      <c r="I188" s="38"/>
      <c r="J188" s="6"/>
      <c r="K188" s="59">
        <f t="shared" si="130"/>
        <v>0</v>
      </c>
      <c r="L188" s="60"/>
      <c r="M188" s="61"/>
      <c r="N188" s="58">
        <f t="shared" si="131"/>
        <v>0</v>
      </c>
      <c r="O188" s="38"/>
      <c r="P188" s="59">
        <f t="shared" si="132"/>
        <v>0</v>
      </c>
      <c r="Q188" s="71"/>
      <c r="R188" s="58">
        <f t="shared" si="133"/>
        <v>0</v>
      </c>
      <c r="S188" s="38"/>
      <c r="T188" s="59">
        <f t="shared" si="134"/>
        <v>0</v>
      </c>
      <c r="U188" s="71"/>
      <c r="V188" s="63">
        <f t="shared" si="135"/>
        <v>0</v>
      </c>
      <c r="W188" s="38"/>
      <c r="X188" s="65">
        <f t="shared" si="136"/>
        <v>0</v>
      </c>
      <c r="Y188" s="38"/>
      <c r="Z188" s="59">
        <f t="shared" si="137"/>
        <v>0</v>
      </c>
      <c r="AA188" s="71"/>
      <c r="AB188" s="63">
        <f t="shared" si="138"/>
        <v>0</v>
      </c>
      <c r="AC188" s="66">
        <f t="shared" si="139"/>
        <v>0</v>
      </c>
      <c r="AD188" s="70">
        <f t="shared" si="140"/>
        <v>100</v>
      </c>
      <c r="AE188" s="68">
        <f t="shared" si="128"/>
        <v>0</v>
      </c>
    </row>
    <row r="189" spans="6:31" ht="17.149999999999999" customHeight="1" x14ac:dyDescent="0.35">
      <c r="F189" s="3" t="s">
        <v>161</v>
      </c>
      <c r="G189" s="71"/>
      <c r="H189" s="58">
        <f t="shared" si="129"/>
        <v>0</v>
      </c>
      <c r="I189" s="38"/>
      <c r="J189" s="6"/>
      <c r="K189" s="59">
        <f t="shared" si="130"/>
        <v>0</v>
      </c>
      <c r="L189" s="60"/>
      <c r="M189" s="61"/>
      <c r="N189" s="58">
        <f t="shared" si="131"/>
        <v>0</v>
      </c>
      <c r="O189" s="38"/>
      <c r="P189" s="59">
        <f t="shared" si="132"/>
        <v>0</v>
      </c>
      <c r="Q189" s="71"/>
      <c r="R189" s="58">
        <f t="shared" si="133"/>
        <v>0</v>
      </c>
      <c r="S189" s="38"/>
      <c r="T189" s="59">
        <f t="shared" si="134"/>
        <v>0</v>
      </c>
      <c r="U189" s="71"/>
      <c r="V189" s="63">
        <f t="shared" si="135"/>
        <v>0</v>
      </c>
      <c r="W189" s="38"/>
      <c r="X189" s="65">
        <f t="shared" si="136"/>
        <v>0</v>
      </c>
      <c r="Y189" s="38"/>
      <c r="Z189" s="59">
        <f t="shared" si="137"/>
        <v>0</v>
      </c>
      <c r="AA189" s="71"/>
      <c r="AB189" s="63">
        <f t="shared" si="138"/>
        <v>0</v>
      </c>
      <c r="AC189" s="66">
        <f t="shared" si="139"/>
        <v>0</v>
      </c>
      <c r="AD189" s="70">
        <f t="shared" si="140"/>
        <v>100</v>
      </c>
      <c r="AE189" s="68">
        <f t="shared" si="128"/>
        <v>0</v>
      </c>
    </row>
    <row r="190" spans="6:31" ht="17.149999999999999" customHeight="1" x14ac:dyDescent="0.35">
      <c r="F190" s="3" t="s">
        <v>162</v>
      </c>
      <c r="G190" s="71"/>
      <c r="H190" s="58">
        <f t="shared" si="129"/>
        <v>0</v>
      </c>
      <c r="I190" s="38"/>
      <c r="J190" s="6"/>
      <c r="K190" s="59">
        <f t="shared" si="130"/>
        <v>0</v>
      </c>
      <c r="L190" s="60"/>
      <c r="M190" s="61"/>
      <c r="N190" s="58">
        <f t="shared" si="131"/>
        <v>0</v>
      </c>
      <c r="O190" s="38"/>
      <c r="P190" s="59">
        <f t="shared" si="132"/>
        <v>0</v>
      </c>
      <c r="Q190" s="71"/>
      <c r="R190" s="58">
        <f t="shared" si="133"/>
        <v>0</v>
      </c>
      <c r="S190" s="38"/>
      <c r="T190" s="59">
        <f t="shared" si="134"/>
        <v>0</v>
      </c>
      <c r="U190" s="71"/>
      <c r="V190" s="63">
        <f t="shared" si="135"/>
        <v>0</v>
      </c>
      <c r="W190" s="38"/>
      <c r="X190" s="65">
        <f t="shared" si="136"/>
        <v>0</v>
      </c>
      <c r="Y190" s="38"/>
      <c r="Z190" s="59">
        <f t="shared" si="137"/>
        <v>0</v>
      </c>
      <c r="AA190" s="71"/>
      <c r="AB190" s="63">
        <f t="shared" si="138"/>
        <v>0</v>
      </c>
      <c r="AC190" s="66">
        <f t="shared" si="139"/>
        <v>0</v>
      </c>
      <c r="AD190" s="70">
        <f t="shared" si="140"/>
        <v>100</v>
      </c>
      <c r="AE190" s="68">
        <f t="shared" si="128"/>
        <v>0</v>
      </c>
    </row>
    <row r="191" spans="6:31" ht="17.149999999999999" customHeight="1" x14ac:dyDescent="0.35">
      <c r="F191" s="3" t="s">
        <v>163</v>
      </c>
      <c r="G191" s="71"/>
      <c r="H191" s="58">
        <f t="shared" si="129"/>
        <v>0</v>
      </c>
      <c r="I191" s="38"/>
      <c r="J191" s="6"/>
      <c r="K191" s="59">
        <f t="shared" si="130"/>
        <v>0</v>
      </c>
      <c r="L191" s="60"/>
      <c r="M191" s="61"/>
      <c r="N191" s="58">
        <f t="shared" si="131"/>
        <v>0</v>
      </c>
      <c r="O191" s="38"/>
      <c r="P191" s="59">
        <f t="shared" si="132"/>
        <v>0</v>
      </c>
      <c r="Q191" s="71"/>
      <c r="R191" s="58">
        <f t="shared" si="133"/>
        <v>0</v>
      </c>
      <c r="S191" s="38"/>
      <c r="T191" s="59">
        <f t="shared" si="134"/>
        <v>0</v>
      </c>
      <c r="U191" s="71"/>
      <c r="V191" s="63">
        <f t="shared" si="135"/>
        <v>0</v>
      </c>
      <c r="W191" s="38"/>
      <c r="X191" s="65">
        <f t="shared" si="136"/>
        <v>0</v>
      </c>
      <c r="Y191" s="38"/>
      <c r="Z191" s="59">
        <f t="shared" si="137"/>
        <v>0</v>
      </c>
      <c r="AA191" s="71"/>
      <c r="AB191" s="63">
        <f t="shared" si="138"/>
        <v>0</v>
      </c>
      <c r="AC191" s="66">
        <f t="shared" si="139"/>
        <v>0</v>
      </c>
      <c r="AD191" s="70">
        <f t="shared" si="140"/>
        <v>100</v>
      </c>
      <c r="AE191" s="68">
        <f t="shared" si="128"/>
        <v>0</v>
      </c>
    </row>
    <row r="192" spans="6:31" ht="17.149999999999999" customHeight="1" x14ac:dyDescent="0.35">
      <c r="F192" s="3" t="s">
        <v>164</v>
      </c>
      <c r="G192" s="71"/>
      <c r="H192" s="58">
        <f t="shared" si="129"/>
        <v>0</v>
      </c>
      <c r="I192" s="38"/>
      <c r="J192" s="6"/>
      <c r="K192" s="59">
        <f t="shared" si="130"/>
        <v>0</v>
      </c>
      <c r="L192" s="60"/>
      <c r="M192" s="61"/>
      <c r="N192" s="58">
        <f t="shared" si="131"/>
        <v>0</v>
      </c>
      <c r="O192" s="38"/>
      <c r="P192" s="59">
        <f t="shared" si="132"/>
        <v>0</v>
      </c>
      <c r="Q192" s="71"/>
      <c r="R192" s="58">
        <f t="shared" si="133"/>
        <v>0</v>
      </c>
      <c r="S192" s="38"/>
      <c r="T192" s="59">
        <f t="shared" si="134"/>
        <v>0</v>
      </c>
      <c r="U192" s="71"/>
      <c r="V192" s="63">
        <f t="shared" si="135"/>
        <v>0</v>
      </c>
      <c r="W192" s="38"/>
      <c r="X192" s="65">
        <f t="shared" si="136"/>
        <v>0</v>
      </c>
      <c r="Y192" s="38"/>
      <c r="Z192" s="59">
        <f t="shared" si="137"/>
        <v>0</v>
      </c>
      <c r="AA192" s="71"/>
      <c r="AB192" s="63">
        <f t="shared" si="138"/>
        <v>0</v>
      </c>
      <c r="AC192" s="66">
        <f t="shared" si="139"/>
        <v>0</v>
      </c>
      <c r="AD192" s="70">
        <f t="shared" si="140"/>
        <v>100</v>
      </c>
      <c r="AE192" s="68">
        <f t="shared" si="128"/>
        <v>0</v>
      </c>
    </row>
    <row r="193" spans="6:31" ht="17.149999999999999" customHeight="1" x14ac:dyDescent="0.35">
      <c r="F193" s="3" t="s">
        <v>165</v>
      </c>
      <c r="G193" s="71"/>
      <c r="H193" s="58">
        <f t="shared" si="129"/>
        <v>0</v>
      </c>
      <c r="I193" s="38"/>
      <c r="J193" s="6"/>
      <c r="K193" s="59">
        <f t="shared" si="130"/>
        <v>0</v>
      </c>
      <c r="L193" s="60"/>
      <c r="M193" s="61"/>
      <c r="N193" s="58">
        <f t="shared" si="131"/>
        <v>0</v>
      </c>
      <c r="O193" s="38"/>
      <c r="P193" s="59">
        <f t="shared" si="132"/>
        <v>0</v>
      </c>
      <c r="Q193" s="71"/>
      <c r="R193" s="58">
        <f t="shared" si="133"/>
        <v>0</v>
      </c>
      <c r="S193" s="38"/>
      <c r="T193" s="59">
        <f t="shared" si="134"/>
        <v>0</v>
      </c>
      <c r="U193" s="71"/>
      <c r="V193" s="63">
        <f t="shared" si="135"/>
        <v>0</v>
      </c>
      <c r="W193" s="38"/>
      <c r="X193" s="65">
        <f t="shared" si="136"/>
        <v>0</v>
      </c>
      <c r="Y193" s="38"/>
      <c r="Z193" s="59">
        <f t="shared" si="137"/>
        <v>0</v>
      </c>
      <c r="AA193" s="71"/>
      <c r="AB193" s="63">
        <f t="shared" si="138"/>
        <v>0</v>
      </c>
      <c r="AC193" s="66">
        <f t="shared" si="139"/>
        <v>0</v>
      </c>
      <c r="AD193" s="70">
        <f t="shared" si="140"/>
        <v>100</v>
      </c>
      <c r="AE193" s="68">
        <f t="shared" si="128"/>
        <v>0</v>
      </c>
    </row>
    <row r="194" spans="6:31" ht="17.149999999999999" customHeight="1" x14ac:dyDescent="0.35">
      <c r="F194" s="172" t="s">
        <v>166</v>
      </c>
      <c r="G194" s="173"/>
      <c r="H194" s="174">
        <f t="shared" si="129"/>
        <v>0</v>
      </c>
      <c r="I194" s="175"/>
      <c r="J194" s="176"/>
      <c r="K194" s="177">
        <f t="shared" si="130"/>
        <v>0</v>
      </c>
      <c r="L194" s="178"/>
      <c r="M194" s="179"/>
      <c r="N194" s="174">
        <f t="shared" si="131"/>
        <v>0</v>
      </c>
      <c r="O194" s="175"/>
      <c r="P194" s="177">
        <f t="shared" si="132"/>
        <v>0</v>
      </c>
      <c r="Q194" s="173"/>
      <c r="R194" s="174">
        <f t="shared" si="133"/>
        <v>0</v>
      </c>
      <c r="S194" s="175"/>
      <c r="T194" s="177">
        <f t="shared" si="134"/>
        <v>0</v>
      </c>
      <c r="U194" s="173"/>
      <c r="V194" s="183">
        <f t="shared" si="135"/>
        <v>0</v>
      </c>
      <c r="W194" s="175"/>
      <c r="X194" s="185">
        <f t="shared" si="136"/>
        <v>0</v>
      </c>
      <c r="Y194" s="175"/>
      <c r="Z194" s="177">
        <f t="shared" si="137"/>
        <v>0</v>
      </c>
      <c r="AA194" s="173"/>
      <c r="AB194" s="183">
        <f t="shared" si="138"/>
        <v>0</v>
      </c>
      <c r="AC194" s="186">
        <f t="shared" si="139"/>
        <v>0</v>
      </c>
      <c r="AD194" s="187">
        <f t="shared" si="140"/>
        <v>100</v>
      </c>
      <c r="AE194" s="188">
        <f>AVERAGE(AE139:AE193)</f>
        <v>0</v>
      </c>
    </row>
    <row r="195" spans="6:31" ht="17.149999999999999" customHeight="1" x14ac:dyDescent="0.35">
      <c r="F195" s="171" t="s">
        <v>16</v>
      </c>
      <c r="G195" s="39"/>
      <c r="H195" s="58">
        <f t="shared" si="129"/>
        <v>0</v>
      </c>
      <c r="I195" s="38"/>
      <c r="J195" s="6"/>
      <c r="K195" s="59">
        <f t="shared" si="130"/>
        <v>0</v>
      </c>
      <c r="L195" s="60"/>
      <c r="M195" s="61"/>
      <c r="N195" s="58">
        <f t="shared" si="131"/>
        <v>0</v>
      </c>
      <c r="O195" s="38"/>
      <c r="P195" s="59">
        <f t="shared" si="132"/>
        <v>0</v>
      </c>
      <c r="Q195" s="39"/>
      <c r="R195" s="58">
        <f t="shared" si="133"/>
        <v>0</v>
      </c>
      <c r="S195" s="38"/>
      <c r="T195" s="59">
        <f t="shared" si="134"/>
        <v>0</v>
      </c>
      <c r="U195" s="39"/>
      <c r="V195" s="63">
        <f t="shared" si="135"/>
        <v>0</v>
      </c>
      <c r="W195" s="38"/>
      <c r="X195" s="65">
        <f t="shared" si="136"/>
        <v>0</v>
      </c>
      <c r="Y195" s="38"/>
      <c r="Z195" s="59">
        <f t="shared" si="137"/>
        <v>0</v>
      </c>
      <c r="AA195" s="39"/>
      <c r="AB195" s="63">
        <f t="shared" si="138"/>
        <v>0</v>
      </c>
      <c r="AC195" s="88">
        <f t="shared" si="139"/>
        <v>0</v>
      </c>
      <c r="AD195" s="89">
        <f t="shared" si="140"/>
        <v>100</v>
      </c>
      <c r="AE195" s="90" t="e">
        <f>AVERAGEIFS($AE$20:$AE$90,$A$20:$A$90,$F195)</f>
        <v>#DIV/0!</v>
      </c>
    </row>
    <row r="196" spans="6:31" ht="17.149999999999999" customHeight="1" x14ac:dyDescent="0.35">
      <c r="F196" s="171" t="s">
        <v>106</v>
      </c>
      <c r="G196" s="39"/>
      <c r="H196" s="58">
        <f t="shared" si="129"/>
        <v>0</v>
      </c>
      <c r="I196" s="38"/>
      <c r="J196" s="6"/>
      <c r="K196" s="59">
        <f t="shared" si="130"/>
        <v>0</v>
      </c>
      <c r="L196" s="60"/>
      <c r="M196" s="61"/>
      <c r="N196" s="58">
        <f t="shared" si="131"/>
        <v>0</v>
      </c>
      <c r="O196" s="38"/>
      <c r="P196" s="59">
        <f t="shared" si="132"/>
        <v>0</v>
      </c>
      <c r="Q196" s="39"/>
      <c r="R196" s="58">
        <f t="shared" si="133"/>
        <v>0</v>
      </c>
      <c r="S196" s="38"/>
      <c r="T196" s="59">
        <f t="shared" si="134"/>
        <v>0</v>
      </c>
      <c r="U196" s="39"/>
      <c r="V196" s="63">
        <f t="shared" si="135"/>
        <v>0</v>
      </c>
      <c r="W196" s="38"/>
      <c r="X196" s="65">
        <f t="shared" si="136"/>
        <v>0</v>
      </c>
      <c r="Y196" s="38"/>
      <c r="Z196" s="59">
        <f t="shared" si="137"/>
        <v>0</v>
      </c>
      <c r="AA196" s="39"/>
      <c r="AB196" s="63">
        <f t="shared" si="138"/>
        <v>0</v>
      </c>
      <c r="AC196" s="88">
        <f t="shared" si="139"/>
        <v>0</v>
      </c>
      <c r="AD196" s="89">
        <f t="shared" si="140"/>
        <v>100</v>
      </c>
      <c r="AE196" s="90" t="e">
        <f>AVERAGEIFS($AE$20:$AE$90,$A$20:$A$90,$F196)</f>
        <v>#DIV/0!</v>
      </c>
    </row>
    <row r="197" spans="6:31" ht="17.149999999999999" customHeight="1" x14ac:dyDescent="0.35">
      <c r="F197" s="171" t="s">
        <v>107</v>
      </c>
      <c r="G197" s="39"/>
      <c r="H197" s="58">
        <f t="shared" si="129"/>
        <v>0</v>
      </c>
      <c r="I197" s="38"/>
      <c r="J197" s="6"/>
      <c r="K197" s="59">
        <f t="shared" si="130"/>
        <v>0</v>
      </c>
      <c r="L197" s="60"/>
      <c r="M197" s="61"/>
      <c r="N197" s="58">
        <f t="shared" si="131"/>
        <v>0</v>
      </c>
      <c r="O197" s="38"/>
      <c r="P197" s="59">
        <f t="shared" si="132"/>
        <v>0</v>
      </c>
      <c r="Q197" s="39"/>
      <c r="R197" s="58">
        <f t="shared" si="133"/>
        <v>0</v>
      </c>
      <c r="S197" s="38"/>
      <c r="T197" s="59">
        <f t="shared" si="134"/>
        <v>0</v>
      </c>
      <c r="U197" s="39"/>
      <c r="V197" s="63">
        <f t="shared" si="135"/>
        <v>0</v>
      </c>
      <c r="W197" s="38"/>
      <c r="X197" s="65">
        <f t="shared" si="136"/>
        <v>0</v>
      </c>
      <c r="Y197" s="38"/>
      <c r="Z197" s="59">
        <f t="shared" si="137"/>
        <v>0</v>
      </c>
      <c r="AA197" s="39"/>
      <c r="AB197" s="63">
        <f t="shared" si="138"/>
        <v>0</v>
      </c>
      <c r="AC197" s="88">
        <f t="shared" si="139"/>
        <v>0</v>
      </c>
      <c r="AD197" s="89">
        <f t="shared" si="140"/>
        <v>100</v>
      </c>
      <c r="AE197" s="90" t="e">
        <f>AVERAGEIFS($AE$20:$AE$90,$A$20:$A$90,$F197)</f>
        <v>#DIV/0!</v>
      </c>
    </row>
    <row r="198" spans="6:31" ht="17.149999999999999" customHeight="1" x14ac:dyDescent="0.35">
      <c r="F198" s="171" t="s">
        <v>108</v>
      </c>
      <c r="G198" s="39"/>
      <c r="H198" s="58">
        <f t="shared" si="129"/>
        <v>0</v>
      </c>
      <c r="I198" s="38"/>
      <c r="J198" s="6"/>
      <c r="K198" s="59">
        <f t="shared" si="130"/>
        <v>0</v>
      </c>
      <c r="L198" s="60"/>
      <c r="M198" s="61"/>
      <c r="N198" s="58">
        <f t="shared" si="131"/>
        <v>0</v>
      </c>
      <c r="O198" s="38"/>
      <c r="P198" s="59">
        <f t="shared" si="132"/>
        <v>0</v>
      </c>
      <c r="Q198" s="39"/>
      <c r="R198" s="58">
        <f t="shared" si="133"/>
        <v>0</v>
      </c>
      <c r="S198" s="38"/>
      <c r="T198" s="59">
        <f t="shared" si="134"/>
        <v>0</v>
      </c>
      <c r="U198" s="39"/>
      <c r="V198" s="63">
        <f t="shared" si="135"/>
        <v>0</v>
      </c>
      <c r="W198" s="38"/>
      <c r="X198" s="65">
        <f t="shared" si="136"/>
        <v>0</v>
      </c>
      <c r="Y198" s="38"/>
      <c r="Z198" s="59">
        <f t="shared" si="137"/>
        <v>0</v>
      </c>
      <c r="AA198" s="39"/>
      <c r="AB198" s="63">
        <f t="shared" si="138"/>
        <v>0</v>
      </c>
      <c r="AC198" s="88">
        <f t="shared" si="139"/>
        <v>0</v>
      </c>
      <c r="AD198" s="89">
        <f t="shared" si="140"/>
        <v>100</v>
      </c>
      <c r="AE198" s="90" t="e">
        <f>AVERAGEIFS($AE$20:$AE$90,$A$20:$A$90,$F198)</f>
        <v>#DIV/0!</v>
      </c>
    </row>
    <row r="199" spans="6:31" ht="17.149999999999999" customHeight="1" x14ac:dyDescent="0.35">
      <c r="F199" s="171" t="s">
        <v>109</v>
      </c>
      <c r="G199" s="39"/>
      <c r="H199" s="58">
        <f t="shared" si="129"/>
        <v>0</v>
      </c>
      <c r="I199" s="38"/>
      <c r="J199" s="6"/>
      <c r="K199" s="59">
        <f t="shared" si="130"/>
        <v>0</v>
      </c>
      <c r="L199" s="60"/>
      <c r="M199" s="61"/>
      <c r="N199" s="58">
        <f t="shared" si="131"/>
        <v>0</v>
      </c>
      <c r="O199" s="38"/>
      <c r="P199" s="59">
        <f t="shared" si="132"/>
        <v>0</v>
      </c>
      <c r="Q199" s="39"/>
      <c r="R199" s="58">
        <f t="shared" si="133"/>
        <v>0</v>
      </c>
      <c r="S199" s="38"/>
      <c r="T199" s="59">
        <f t="shared" si="134"/>
        <v>0</v>
      </c>
      <c r="U199" s="39"/>
      <c r="V199" s="63">
        <f t="shared" si="135"/>
        <v>0</v>
      </c>
      <c r="W199" s="38"/>
      <c r="X199" s="65">
        <f t="shared" si="136"/>
        <v>0</v>
      </c>
      <c r="Y199" s="38"/>
      <c r="Z199" s="59">
        <f t="shared" si="137"/>
        <v>0</v>
      </c>
      <c r="AA199" s="39"/>
      <c r="AB199" s="63">
        <f t="shared" si="138"/>
        <v>0</v>
      </c>
      <c r="AC199" s="88">
        <f t="shared" si="139"/>
        <v>0</v>
      </c>
      <c r="AD199" s="89">
        <f t="shared" si="140"/>
        <v>100</v>
      </c>
      <c r="AE199" s="90" t="e">
        <f>AVERAGEIFS($AE$20:$AE$90,$A$20:$A$90,$F199)</f>
        <v>#DIV/0!</v>
      </c>
    </row>
    <row r="200" spans="6:31" ht="17.149999999999999" customHeight="1" x14ac:dyDescent="0.35"/>
    <row r="201" spans="6:31" ht="17.149999999999999" customHeight="1" x14ac:dyDescent="0.35"/>
    <row r="202" spans="6:31" ht="17.149999999999999" customHeight="1" x14ac:dyDescent="0.35"/>
    <row r="203" spans="6:31" ht="17.149999999999999" customHeight="1" x14ac:dyDescent="0.35"/>
    <row r="204" spans="6:31" ht="17.149999999999999" customHeight="1" x14ac:dyDescent="0.35"/>
    <row r="205" spans="6:31" ht="17.149999999999999" customHeight="1" x14ac:dyDescent="0.35"/>
    <row r="206" spans="6:31" ht="17.149999999999999" customHeight="1" x14ac:dyDescent="0.35"/>
    <row r="207" spans="6:31" ht="17.149999999999999" customHeight="1" x14ac:dyDescent="0.35"/>
    <row r="208" spans="6:31" ht="17.149999999999999" customHeight="1" x14ac:dyDescent="0.35"/>
    <row r="209" ht="17.149999999999999" customHeight="1" x14ac:dyDescent="0.35"/>
  </sheetData>
  <mergeCells count="20">
    <mergeCell ref="L138:M138"/>
    <mergeCell ref="G5:H5"/>
    <mergeCell ref="Q5:R5"/>
    <mergeCell ref="Y4:Z4"/>
    <mergeCell ref="G4:H4"/>
    <mergeCell ref="Q4:R4"/>
    <mergeCell ref="O4:P4"/>
    <mergeCell ref="L4:N4"/>
    <mergeCell ref="L19:M19"/>
    <mergeCell ref="L5:N5"/>
    <mergeCell ref="O5:P5"/>
    <mergeCell ref="AA4:AB4"/>
    <mergeCell ref="S5:T5"/>
    <mergeCell ref="U5:V5"/>
    <mergeCell ref="W5:X5"/>
    <mergeCell ref="Y5:Z5"/>
    <mergeCell ref="AA5:AB5"/>
    <mergeCell ref="W4:X4"/>
    <mergeCell ref="S4:T4"/>
    <mergeCell ref="U4:V4"/>
  </mergeCells>
  <pageMargins left="0.7" right="0.7" top="0.75" bottom="0.75" header="0.3" footer="0.3"/>
  <pageSetup scale="27" orientation="portrait" r:id="rId1"/>
  <ignoredErrors>
    <ignoredError sqref="O21:AD28 O97:AD97 O93:AB96 O20:AD20 AF20 O92:AD92 O101:AF135 O30:AD45 O86:AF90 P99:AD99 P91:AF91 P98:AD98 AF21:AF28 AF30:AF55 AC57:AD85 AF57:AF85 O57:AB85 O56:AB56 O47:AD55 O46:AC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0364-E03A-374F-8358-15414BAA995B}">
  <sheetPr codeName="Sheet5">
    <tabColor rgb="FF00B0F0"/>
  </sheetPr>
  <dimension ref="A1:AK119"/>
  <sheetViews>
    <sheetView showGridLines="0" topLeftCell="D1" zoomScale="90" zoomScaleNormal="90" workbookViewId="0">
      <selection activeCell="AF22" sqref="AF22"/>
    </sheetView>
  </sheetViews>
  <sheetFormatPr defaultColWidth="11.5" defaultRowHeight="15.5" x14ac:dyDescent="0.35"/>
  <cols>
    <col min="1" max="1" width="11.5" style="91" hidden="1" customWidth="1"/>
    <col min="2" max="2" width="20.83203125" hidden="1" customWidth="1"/>
    <col min="3" max="3" width="12.83203125" style="163" hidden="1" customWidth="1"/>
    <col min="4" max="4" width="3.33203125" style="91" customWidth="1"/>
    <col min="5" max="5" width="31.33203125" customWidth="1"/>
    <col min="6" max="7" width="15.83203125" style="104" customWidth="1"/>
    <col min="8" max="8" width="13.33203125" style="104" customWidth="1"/>
    <col min="9" max="9" width="13.33203125" style="85" customWidth="1"/>
    <col min="10" max="20" width="13.33203125" style="1" customWidth="1"/>
    <col min="21" max="22" width="13.08203125" style="1" customWidth="1"/>
    <col min="23" max="23" width="13.08203125" style="104" hidden="1" customWidth="1"/>
    <col min="24" max="25" width="10.83203125" hidden="1" customWidth="1"/>
    <col min="27" max="27" width="30.83203125" customWidth="1"/>
    <col min="28" max="30" width="16" style="164" customWidth="1"/>
    <col min="31" max="31" width="16" style="227" customWidth="1"/>
    <col min="32" max="37" width="16" customWidth="1"/>
  </cols>
  <sheetData>
    <row r="1" spans="1:37" ht="23.5" thickBot="1" x14ac:dyDescent="0.55000000000000004">
      <c r="E1" s="14" t="s">
        <v>0</v>
      </c>
      <c r="U1" s="159" t="s">
        <v>167</v>
      </c>
      <c r="V1" s="159" t="s">
        <v>168</v>
      </c>
    </row>
    <row r="2" spans="1:37" x14ac:dyDescent="0.35">
      <c r="E2" s="1" t="s">
        <v>169</v>
      </c>
      <c r="U2" s="400">
        <f>MAX(KEY!$A$5:$A$74)</f>
        <v>62</v>
      </c>
      <c r="V2" s="57">
        <f>COUNTA(KEY!$T$7:$T$15)</f>
        <v>9</v>
      </c>
    </row>
    <row r="3" spans="1:37" ht="16" thickBot="1" x14ac:dyDescent="0.4"/>
    <row r="4" spans="1:37" ht="24" customHeight="1" thickBot="1" x14ac:dyDescent="0.4">
      <c r="E4" s="161" t="s">
        <v>170</v>
      </c>
      <c r="F4" s="167">
        <v>45992</v>
      </c>
      <c r="AB4" s="226"/>
    </row>
    <row r="5" spans="1:37" x14ac:dyDescent="0.35">
      <c r="E5" s="113"/>
      <c r="F5" s="114"/>
    </row>
    <row r="6" spans="1:37" ht="40" thickBot="1" x14ac:dyDescent="0.4">
      <c r="A6" s="159" t="s">
        <v>171</v>
      </c>
      <c r="B6" s="158" t="s">
        <v>172</v>
      </c>
      <c r="C6" s="162"/>
      <c r="D6" s="159"/>
      <c r="E6" s="409" t="s">
        <v>1</v>
      </c>
      <c r="F6" s="105" t="s">
        <v>173</v>
      </c>
      <c r="G6" s="105" t="s">
        <v>174</v>
      </c>
      <c r="H6" s="105" t="s">
        <v>175</v>
      </c>
      <c r="I6" s="105" t="s">
        <v>176</v>
      </c>
      <c r="J6" s="105" t="s">
        <v>177</v>
      </c>
      <c r="K6" s="105" t="s">
        <v>178</v>
      </c>
      <c r="L6" s="105" t="s">
        <v>179</v>
      </c>
      <c r="M6" s="105" t="s">
        <v>180</v>
      </c>
      <c r="N6" s="105" t="s">
        <v>181</v>
      </c>
      <c r="O6" s="105" t="s">
        <v>182</v>
      </c>
      <c r="P6" s="105" t="s">
        <v>183</v>
      </c>
      <c r="Q6" s="105" t="s">
        <v>184</v>
      </c>
      <c r="R6" s="105" t="s">
        <v>185</v>
      </c>
      <c r="S6" s="105" t="s">
        <v>186</v>
      </c>
      <c r="T6" s="105" t="s">
        <v>187</v>
      </c>
      <c r="U6" s="105" t="s">
        <v>188</v>
      </c>
      <c r="V6" s="105" t="s">
        <v>189</v>
      </c>
      <c r="W6" s="105" t="s">
        <v>190</v>
      </c>
      <c r="X6" s="105" t="s">
        <v>58</v>
      </c>
      <c r="Y6" s="105" t="s">
        <v>51</v>
      </c>
      <c r="AA6" s="410" t="s">
        <v>191</v>
      </c>
      <c r="AB6" s="411" t="s">
        <v>90</v>
      </c>
      <c r="AC6" s="411" t="s">
        <v>92</v>
      </c>
      <c r="AD6" s="411" t="s">
        <v>94</v>
      </c>
      <c r="AE6" s="411" t="s">
        <v>95</v>
      </c>
      <c r="AF6" s="411" t="s">
        <v>6</v>
      </c>
      <c r="AG6" s="411" t="s">
        <v>7</v>
      </c>
      <c r="AH6" s="411" t="s">
        <v>96</v>
      </c>
      <c r="AI6" s="411" t="s">
        <v>97</v>
      </c>
      <c r="AJ6" s="411" t="s">
        <v>98</v>
      </c>
      <c r="AK6" s="408"/>
    </row>
    <row r="7" spans="1:37" x14ac:dyDescent="0.35">
      <c r="A7" s="57">
        <v>1</v>
      </c>
      <c r="B7" s="3" t="str">
        <f>IF($A7&gt;KEY!$B$2,"",IFERROR(VLOOKUP($A7,KEY!$A$5:$D$74,4,FALSE),""))</f>
        <v>Arizona</v>
      </c>
      <c r="C7" s="160">
        <f t="shared" ref="C7:C53" si="0">$F$4</f>
        <v>45992</v>
      </c>
      <c r="E7" s="3" t="str">
        <f>IF($A7&gt;KEY!$B$2,"",IFERROR(VLOOKUP($A7,KEY!$A$5:$B$74,2,FALSE),""))</f>
        <v>Acura North Scottsdale</v>
      </c>
      <c r="F7" s="205">
        <f>IF($C7="","",SUMIFS(INP_PRODUCERS!$E$5:$E$2383,INP_PRODUCERS!$D$5:$D$2383,$E7,INP_PRODUCERS!$B$5:$B$2383,$C7))</f>
        <v>7</v>
      </c>
      <c r="G7" s="206">
        <f>IF($C7="","",SUMIFS(INP_PRODUCERS!$E$5:$E$2383,INP_PRODUCERS!$D$5:$D$2383,$E7,INP_PRODUCERS!$C$5:$C$2383,VLOOKUP($C7,KEY!$AE$19:$AH$60,3,FALSE)))</f>
        <v>24</v>
      </c>
      <c r="H7" s="207">
        <f>IF($C7="","",SUMIFS(INP_TRNGATT!$D$5:$D$1051,INP_TRNGATT!$C$5:$C$1051,$E7,INP_TRNGATT!$B$5:$B$1051,VLOOKUP($C7,KEY!$AE$19:$AH$60,3,FALSE)))</f>
        <v>17</v>
      </c>
      <c r="I7" s="208">
        <f>IF($C7="","",SUMIFS(INP_DATA!E$5:E$3027,INP_DATA!$B$5:$B$3027,$C7,INP_DATA!$D$5:$D$3027,$E7))</f>
        <v>18</v>
      </c>
      <c r="J7" s="106">
        <f>IF($C7="","",IF(COUNTIFS(INP_MYSSHP!$B$5:$B$985,VLOOKUP($C7,KEY!$AE$19:$AH$60,3,FALSE),INP_MYSSHP!$C$5:$C$985,$E7)=0,"N/A",SUMIFS(INP_MYSSHP!$D$5:$D$2349,INP_MYSSHP!$C$5:$C$2349,$E7,INP_MYSSHP!$B$5:$B$2349,VLOOKUP($C7,KEY!$AE$19:$AH$60,3,FALSE))))</f>
        <v>0.75</v>
      </c>
      <c r="K7" s="168">
        <f>IF($C7="","",SUMIFS(INP_DATA!F$5:F$3027,INP_DATA!$B$5:$B$3027,$C7,INP_DATA!$D$5:$D$3027,$E7))</f>
        <v>76</v>
      </c>
      <c r="L7" s="168">
        <f>IF($C7="","",SUMIFS(INP_DATA!G$5:G$3027,INP_DATA!$B$5:$B$3027,$C7,INP_DATA!$D$5:$D$3027,$E7))</f>
        <v>83</v>
      </c>
      <c r="M7" s="107">
        <f>IF($C7="","",SUMIFS(INP_DATA!H$5:H$3027,INP_DATA!$B$5:$B$3027,$C7,INP_DATA!$D$5:$D$3027,$E7))</f>
        <v>146</v>
      </c>
      <c r="N7" s="107">
        <f>IF($C7="","",SUMIFS(INP_DATA!I$5:I$3027,INP_DATA!$B$5:$B$3027,$C7,INP_DATA!$D$5:$D$3027,$E7))</f>
        <v>23</v>
      </c>
      <c r="O7" s="107">
        <f>IF($C7="","",SUMIFS(INP_DATA!J$5:J$3027,INP_DATA!$B$5:$B$3027,$C7,INP_DATA!$D$5:$D$3027,$E7))</f>
        <v>77</v>
      </c>
      <c r="P7" s="107">
        <f>IF($C7="","",SUMIFS(INP_DATA!K$5:K$3027,INP_DATA!$B$5:$B$3027,$C7,INP_DATA!$D$5:$D$3027,$E7))</f>
        <v>15</v>
      </c>
      <c r="Q7" s="107">
        <f>IF($C7="","",SUMIFS(INP_DATA!L$5:L$3027,INP_DATA!$B$5:$B$3027,$C7,INP_DATA!$D$5:$D$3027,$E7))</f>
        <v>123</v>
      </c>
      <c r="R7" s="107">
        <f>IF($C7="","",SUMIFS(INP_DATA!M$5:M$3027,INP_DATA!$B$5:$B$3027,$C7,INP_DATA!$D$5:$D$3027,$E7))</f>
        <v>62</v>
      </c>
      <c r="S7" s="107">
        <f>IF($C7="","",SUMIFS(INP_DATA!N$5:N$3027,INP_DATA!$B$5:$B$3027,$C7,INP_DATA!$D$5:$D$3027,$E7))</f>
        <v>76</v>
      </c>
      <c r="T7" s="101">
        <f>IF($C7="","",SUMIFS(INP_DATA!O$5:O$3027,INP_DATA!$B$5:$B$3027,$C7,INP_DATA!$D$5:$D$3027,$E7))</f>
        <v>154</v>
      </c>
      <c r="U7" s="108">
        <f>IF($C7="","",SUMIFS(INP_DATA!P$5:P$3027,INP_DATA!$B$5:$B$3027,$C7,INP_DATA!$D$5:$D$3027,$E7))</f>
        <v>11</v>
      </c>
      <c r="V7" s="108">
        <f>IF($C7="","",SUMIFS(INP_DATA!Q$5:Q$3027,INP_DATA!$B$5:$B$3027,$C7,INP_DATA!$D$5:$D$3027,$E7))</f>
        <v>7</v>
      </c>
      <c r="W7" s="109"/>
      <c r="X7" s="203">
        <f>COUNTIFS(INP_DATA!$R$5:$R$3027,X$6,INP_DATA!$D$5:$D$3027,$E7,INP_DATA!$B$5:$B$3027,$C7)</f>
        <v>0</v>
      </c>
      <c r="Y7" s="204">
        <f>COUNTIFS(INP_DATA!$R$5:$R$3027,Y$6,INP_DATA!$D$5:$D$3027,$E7,INP_DATA!$B$5:$B$3027,$C7)</f>
        <v>0</v>
      </c>
      <c r="AA7" s="407" t="str">
        <f>IF($E7="","",$E7)</f>
        <v>Acura North Scottsdale</v>
      </c>
      <c r="AB7" s="406">
        <f t="shared" ref="AB7:AB38" si="1">IF($E7="","",IFERROR(K7/L7,"N/A"))</f>
        <v>0.91566265060240959</v>
      </c>
      <c r="AC7" s="406">
        <f t="shared" ref="AC7:AC38" si="2">IF($E7="","",IFERROR(H7/(G7/3),"N/A"))</f>
        <v>2.125</v>
      </c>
      <c r="AD7" s="412">
        <f>IF($E7="","",IFERROR(I7/F7,"N/A"))</f>
        <v>2.5714285714285716</v>
      </c>
      <c r="AE7" s="413">
        <f>IF($E7="","",IFERROR(J7,"N/A"))</f>
        <v>0.75</v>
      </c>
      <c r="AF7" s="406">
        <f>IF($E7="","",IFERROR(N7/M7,"N/A"))</f>
        <v>0.15753424657534246</v>
      </c>
      <c r="AG7" s="406">
        <f>IF($E7="","",IFERROR(P7/O7,"N/A"))</f>
        <v>0.19480519480519481</v>
      </c>
      <c r="AH7" s="406">
        <f>IF($E7="","",IFERROR(V7/U7,"N/A"))</f>
        <v>0.63636363636363635</v>
      </c>
      <c r="AI7" s="406">
        <f>IF($E7="","",IFERROR(Q7/T7,"N/A"))</f>
        <v>0.79870129870129869</v>
      </c>
      <c r="AJ7" s="406">
        <f>IF($E7="","",IFERROR(R7/S7,"N/A"))</f>
        <v>0.81578947368421051</v>
      </c>
    </row>
    <row r="8" spans="1:37" x14ac:dyDescent="0.35">
      <c r="A8" s="57">
        <v>2</v>
      </c>
      <c r="B8" s="3" t="str">
        <f>IF($A8&gt;KEY!$B$2,"",IFERROR(VLOOKUP($A8,KEY!$A$5:$D$74,4,FALSE),""))</f>
        <v>Southern California</v>
      </c>
      <c r="C8" s="160">
        <f t="shared" si="0"/>
        <v>45992</v>
      </c>
      <c r="E8" s="3" t="str">
        <f>IF($A8&gt;KEY!$B$2,"",IFERROR(VLOOKUP($A8,KEY!$A$5:$B$74,2,FALSE),""))</f>
        <v>Acura of Escondido</v>
      </c>
      <c r="F8" s="205">
        <f>IF($C8="","",SUMIFS(INP_PRODUCERS!$E$5:$E$2383,INP_PRODUCERS!$D$5:$D$2383,$E8,INP_PRODUCERS!$B$5:$B$2383,$C8))</f>
        <v>5</v>
      </c>
      <c r="G8" s="206">
        <f>IF($C8="","",SUMIFS(INP_PRODUCERS!$E$5:$E$2383,INP_PRODUCERS!$D$5:$D$2383,$E8,INP_PRODUCERS!$C$5:$C$2383,VLOOKUP($C8,KEY!$AE$19:$AH$60,3,FALSE)))</f>
        <v>12</v>
      </c>
      <c r="H8" s="207">
        <f>IF($C8="","",SUMIFS(INP_TRNGATT!$D$5:$D$1051,INP_TRNGATT!$C$5:$C$1051,$E8,INP_TRNGATT!$B$5:$B$1051,VLOOKUP($C8,KEY!$AE$19:$AH$60,3,FALSE)))</f>
        <v>7</v>
      </c>
      <c r="I8" s="208">
        <f>IF($C8="","",SUMIFS(INP_DATA!E$5:E$3027,INP_DATA!$B$5:$B$3027,$C8,INP_DATA!$D$5:$D$3027,$E8))</f>
        <v>5</v>
      </c>
      <c r="J8" s="99">
        <f>IF($C8="","",IF(COUNTIFS(INP_MYSSHP!$B$5:$B$985,VLOOKUP($C8,KEY!$AE$19:$AH$60,3,FALSE),INP_MYSSHP!$C$5:$C$985,$E8)=0,"N/A",SUMIFS(INP_MYSSHP!$D$5:$D$2349,INP_MYSSHP!$C$5:$C$2349,$E8,INP_MYSSHP!$B$5:$B$2349,VLOOKUP($C8,KEY!$AE$19:$AH$60,3,FALSE))))</f>
        <v>0.875</v>
      </c>
      <c r="K8" s="169">
        <f>IF($C8="","",SUMIFS(INP_DATA!F$5:F$3027,INP_DATA!$B$5:$B$3027,$C8,INP_DATA!$D$5:$D$3027,$E8))</f>
        <v>49</v>
      </c>
      <c r="L8" s="169">
        <f>IF($C8="","",SUMIFS(INP_DATA!G$5:G$3027,INP_DATA!$B$5:$B$3027,$C8,INP_DATA!$D$5:$D$3027,$E8))</f>
        <v>55</v>
      </c>
      <c r="M8" s="100">
        <f>IF($C8="","",SUMIFS(INP_DATA!H$5:H$3027,INP_DATA!$B$5:$B$3027,$C8,INP_DATA!$D$5:$D$3027,$E8))</f>
        <v>101</v>
      </c>
      <c r="N8" s="100">
        <f>IF($C8="","",SUMIFS(INP_DATA!I$5:I$3027,INP_DATA!$B$5:$B$3027,$C8,INP_DATA!$D$5:$D$3027,$E8))</f>
        <v>14</v>
      </c>
      <c r="O8" s="100">
        <f>IF($C8="","",SUMIFS(INP_DATA!J$5:J$3027,INP_DATA!$B$5:$B$3027,$C8,INP_DATA!$D$5:$D$3027,$E8))</f>
        <v>40</v>
      </c>
      <c r="P8" s="100">
        <f>IF($C8="","",SUMIFS(INP_DATA!K$5:K$3027,INP_DATA!$B$5:$B$3027,$C8,INP_DATA!$D$5:$D$3027,$E8))</f>
        <v>11</v>
      </c>
      <c r="Q8" s="100">
        <f>IF($C8="","",SUMIFS(INP_DATA!L$5:L$3027,INP_DATA!$B$5:$B$3027,$C8,INP_DATA!$D$5:$D$3027,$E8))</f>
        <v>85</v>
      </c>
      <c r="R8" s="100">
        <f>IF($C8="","",SUMIFS(INP_DATA!M$5:M$3027,INP_DATA!$B$5:$B$3027,$C8,INP_DATA!$D$5:$D$3027,$E8))</f>
        <v>41</v>
      </c>
      <c r="S8" s="100">
        <f>IF($C8="","",SUMIFS(INP_DATA!N$5:N$3027,INP_DATA!$B$5:$B$3027,$C8,INP_DATA!$D$5:$D$3027,$E8))</f>
        <v>49</v>
      </c>
      <c r="T8" s="101">
        <f>IF($C8="","",SUMIFS(INP_DATA!O$5:O$3027,INP_DATA!$B$5:$B$3027,$C8,INP_DATA!$D$5:$D$3027,$E8))</f>
        <v>110</v>
      </c>
      <c r="U8" s="102">
        <f>IF($C8="","",SUMIFS(INP_DATA!P$5:P$3027,INP_DATA!$B$5:$B$3027,$C8,INP_DATA!$D$5:$D$3027,$E8))</f>
        <v>9</v>
      </c>
      <c r="V8" s="102">
        <f>IF($C8="","",SUMIFS(INP_DATA!Q$5:Q$3027,INP_DATA!$B$5:$B$3027,$C8,INP_DATA!$D$5:$D$3027,$E8))</f>
        <v>4</v>
      </c>
      <c r="W8" s="109"/>
      <c r="X8" s="203">
        <f>COUNTIFS(INP_DATA!$R$5:$R$3027,X$6,INP_DATA!$D$5:$D$3027,$E8,INP_DATA!$B$5:$B$3027,$C8)</f>
        <v>0</v>
      </c>
      <c r="Y8" s="204">
        <f>COUNTIFS(INP_DATA!$R$5:$R$3027,Y$6,INP_DATA!$D$5:$D$3027,$E8,INP_DATA!$B$5:$B$3027,$C8)</f>
        <v>0</v>
      </c>
      <c r="AA8" s="407" t="str">
        <f t="shared" ref="AA8:AA71" si="3">IF($E8="","",$E8)</f>
        <v>Acura of Escondido</v>
      </c>
      <c r="AB8" s="406">
        <f t="shared" si="1"/>
        <v>0.89090909090909087</v>
      </c>
      <c r="AC8" s="406">
        <f t="shared" si="2"/>
        <v>1.75</v>
      </c>
      <c r="AD8" s="412">
        <f t="shared" ref="AD8:AD71" si="4">IF($E8="","",IFERROR(I8/F8,"N/A"))</f>
        <v>1</v>
      </c>
      <c r="AE8" s="413">
        <f t="shared" ref="AE8:AE71" si="5">IF($E8="","",IFERROR(J8,"N/A"))</f>
        <v>0.875</v>
      </c>
      <c r="AF8" s="406">
        <f t="shared" ref="AF8:AF71" si="6">IF($E8="","",IFERROR(N8/M8,"N/A"))</f>
        <v>0.13861386138613863</v>
      </c>
      <c r="AG8" s="406">
        <f t="shared" ref="AG8:AG71" si="7">IF($E8="","",IFERROR(P8/O8,"N/A"))</f>
        <v>0.27500000000000002</v>
      </c>
      <c r="AH8" s="406">
        <f t="shared" ref="AH8:AH71" si="8">IF($E8="","",IFERROR(V8/U8,"N/A"))</f>
        <v>0.44444444444444442</v>
      </c>
      <c r="AI8" s="406">
        <f t="shared" ref="AI8:AI71" si="9">IF($E8="","",IFERROR(Q8/T8,"N/A"))</f>
        <v>0.77272727272727271</v>
      </c>
      <c r="AJ8" s="406">
        <f t="shared" ref="AJ8:AJ71" si="10">IF($E8="","",IFERROR(R8/S8,"N/A"))</f>
        <v>0.83673469387755106</v>
      </c>
    </row>
    <row r="9" spans="1:37" x14ac:dyDescent="0.35">
      <c r="A9" s="57">
        <v>3</v>
      </c>
      <c r="B9" s="3" t="str">
        <f>IF($A9&gt;KEY!$B$2,"",IFERROR(VLOOKUP($A9,KEY!$A$5:$D$74,4,FALSE),""))</f>
        <v>Arizona</v>
      </c>
      <c r="C9" s="160">
        <f t="shared" si="0"/>
        <v>45992</v>
      </c>
      <c r="E9" s="3" t="str">
        <f>IF($A9&gt;KEY!$B$2,"",IFERROR(VLOOKUP($A9,KEY!$A$5:$B$74,2,FALSE),""))</f>
        <v>Audi Chandler</v>
      </c>
      <c r="F9" s="205">
        <f>IF($C9="","",SUMIFS(INP_PRODUCERS!$E$5:$E$2383,INP_PRODUCERS!$D$5:$D$2383,$E9,INP_PRODUCERS!$B$5:$B$2383,$C9))</f>
        <v>6</v>
      </c>
      <c r="G9" s="206">
        <f>IF($C9="","",SUMIFS(INP_PRODUCERS!$E$5:$E$2383,INP_PRODUCERS!$D$5:$D$2383,$E9,INP_PRODUCERS!$C$5:$C$2383,VLOOKUP($C9,KEY!$AE$19:$AH$60,3,FALSE)))</f>
        <v>18</v>
      </c>
      <c r="H9" s="207">
        <f>IF($C9="","",SUMIFS(INP_TRNGATT!$D$5:$D$1051,INP_TRNGATT!$C$5:$C$1051,$E9,INP_TRNGATT!$B$5:$B$1051,VLOOKUP($C9,KEY!$AE$19:$AH$60,3,FALSE)))</f>
        <v>17</v>
      </c>
      <c r="I9" s="208">
        <f>IF($C9="","",SUMIFS(INP_DATA!E$5:E$3027,INP_DATA!$B$5:$B$3027,$C9,INP_DATA!$D$5:$D$3027,$E9))</f>
        <v>8</v>
      </c>
      <c r="J9" s="99">
        <f>IF($C9="","",IF(COUNTIFS(INP_MYSSHP!$B$5:$B$985,VLOOKUP($C9,KEY!$AE$19:$AH$60,3,FALSE),INP_MYSSHP!$C$5:$C$985,$E9)=0,"N/A",SUMIFS(INP_MYSSHP!$D$5:$D$2349,INP_MYSSHP!$C$5:$C$2349,$E9,INP_MYSSHP!$B$5:$B$2349,VLOOKUP($C9,KEY!$AE$19:$AH$60,3,FALSE))))</f>
        <v>0.625</v>
      </c>
      <c r="K9" s="169">
        <f>IF($C9="","",SUMIFS(INP_DATA!F$5:F$3027,INP_DATA!$B$5:$B$3027,$C9,INP_DATA!$D$5:$D$3027,$E9))</f>
        <v>78</v>
      </c>
      <c r="L9" s="169">
        <f>IF($C9="","",SUMIFS(INP_DATA!G$5:G$3027,INP_DATA!$B$5:$B$3027,$C9,INP_DATA!$D$5:$D$3027,$E9))</f>
        <v>84</v>
      </c>
      <c r="M9" s="100">
        <f>IF($C9="","",SUMIFS(INP_DATA!H$5:H$3027,INP_DATA!$B$5:$B$3027,$C9,INP_DATA!$D$5:$D$3027,$E9))</f>
        <v>139</v>
      </c>
      <c r="N9" s="100">
        <f>IF($C9="","",SUMIFS(INP_DATA!I$5:I$3027,INP_DATA!$B$5:$B$3027,$C9,INP_DATA!$D$5:$D$3027,$E9))</f>
        <v>21</v>
      </c>
      <c r="O9" s="100">
        <f>IF($C9="","",SUMIFS(INP_DATA!J$5:J$3027,INP_DATA!$B$5:$B$3027,$C9,INP_DATA!$D$5:$D$3027,$E9))</f>
        <v>44</v>
      </c>
      <c r="P9" s="100">
        <f>IF($C9="","",SUMIFS(INP_DATA!K$5:K$3027,INP_DATA!$B$5:$B$3027,$C9,INP_DATA!$D$5:$D$3027,$E9))</f>
        <v>13</v>
      </c>
      <c r="Q9" s="100">
        <f>IF($C9="","",SUMIFS(INP_DATA!L$5:L$3027,INP_DATA!$B$5:$B$3027,$C9,INP_DATA!$D$5:$D$3027,$E9))</f>
        <v>155</v>
      </c>
      <c r="R9" s="100">
        <f>IF($C9="","",SUMIFS(INP_DATA!M$5:M$3027,INP_DATA!$B$5:$B$3027,$C9,INP_DATA!$D$5:$D$3027,$E9))</f>
        <v>79</v>
      </c>
      <c r="S9" s="100">
        <f>IF($C9="","",SUMIFS(INP_DATA!N$5:N$3027,INP_DATA!$B$5:$B$3027,$C9,INP_DATA!$D$5:$D$3027,$E9))</f>
        <v>80</v>
      </c>
      <c r="T9" s="101">
        <f>IF($C9="","",SUMIFS(INP_DATA!O$5:O$3027,INP_DATA!$B$5:$B$3027,$C9,INP_DATA!$D$5:$D$3027,$E9))</f>
        <v>132</v>
      </c>
      <c r="U9" s="102">
        <f>IF($C9="","",SUMIFS(INP_DATA!P$5:P$3027,INP_DATA!$B$5:$B$3027,$C9,INP_DATA!$D$5:$D$3027,$E9))</f>
        <v>7</v>
      </c>
      <c r="V9" s="102">
        <f>IF($C9="","",SUMIFS(INP_DATA!Q$5:Q$3027,INP_DATA!$B$5:$B$3027,$C9,INP_DATA!$D$5:$D$3027,$E9))</f>
        <v>4</v>
      </c>
      <c r="W9" s="109"/>
      <c r="X9" s="203">
        <f>COUNTIFS(INP_DATA!$R$5:$R$3027,X$6,INP_DATA!$D$5:$D$3027,$E9,INP_DATA!$B$5:$B$3027,$C9)</f>
        <v>0</v>
      </c>
      <c r="Y9" s="204">
        <f>COUNTIFS(INP_DATA!$R$5:$R$3027,Y$6,INP_DATA!$D$5:$D$3027,$E9,INP_DATA!$B$5:$B$3027,$C9)</f>
        <v>0</v>
      </c>
      <c r="AA9" s="407" t="str">
        <f t="shared" si="3"/>
        <v>Audi Chandler</v>
      </c>
      <c r="AB9" s="406">
        <f t="shared" si="1"/>
        <v>0.9285714285714286</v>
      </c>
      <c r="AC9" s="406">
        <f t="shared" si="2"/>
        <v>2.8333333333333335</v>
      </c>
      <c r="AD9" s="412">
        <f t="shared" si="4"/>
        <v>1.3333333333333333</v>
      </c>
      <c r="AE9" s="413">
        <f t="shared" si="5"/>
        <v>0.625</v>
      </c>
      <c r="AF9" s="406">
        <f t="shared" si="6"/>
        <v>0.15107913669064749</v>
      </c>
      <c r="AG9" s="406">
        <f t="shared" si="7"/>
        <v>0.29545454545454547</v>
      </c>
      <c r="AH9" s="406">
        <f t="shared" si="8"/>
        <v>0.5714285714285714</v>
      </c>
      <c r="AI9" s="406">
        <f t="shared" si="9"/>
        <v>1.1742424242424243</v>
      </c>
      <c r="AJ9" s="406">
        <f t="shared" si="10"/>
        <v>0.98750000000000004</v>
      </c>
    </row>
    <row r="10" spans="1:37" x14ac:dyDescent="0.35">
      <c r="A10" s="57">
        <v>4</v>
      </c>
      <c r="B10" s="3" t="str">
        <f>IF($A10&gt;KEY!$B$2,"",IFERROR(VLOOKUP($A10,KEY!$A$5:$D$74,4,FALSE),""))</f>
        <v>Southern California</v>
      </c>
      <c r="C10" s="160">
        <f t="shared" si="0"/>
        <v>45992</v>
      </c>
      <c r="E10" s="3" t="str">
        <f>IF($A10&gt;KEY!$B$2,"",IFERROR(VLOOKUP($A10,KEY!$A$5:$B$74,2,FALSE),""))</f>
        <v>Audi Escondido</v>
      </c>
      <c r="F10" s="205">
        <f>IF($C10="","",SUMIFS(INP_PRODUCERS!$E$5:$E$2383,INP_PRODUCERS!$D$5:$D$2383,$E10,INP_PRODUCERS!$B$5:$B$2383,$C10))</f>
        <v>5</v>
      </c>
      <c r="G10" s="206">
        <f>IF($C10="","",SUMIFS(INP_PRODUCERS!$E$5:$E$2383,INP_PRODUCERS!$D$5:$D$2383,$E10,INP_PRODUCERS!$C$5:$C$2383,VLOOKUP($C10,KEY!$AE$19:$AH$60,3,FALSE)))</f>
        <v>13</v>
      </c>
      <c r="H10" s="207">
        <f>IF($C10="","",SUMIFS(INP_TRNGATT!$D$5:$D$1051,INP_TRNGATT!$C$5:$C$1051,$E10,INP_TRNGATT!$B$5:$B$1051,VLOOKUP($C10,KEY!$AE$19:$AH$60,3,FALSE)))</f>
        <v>13</v>
      </c>
      <c r="I10" s="208">
        <f>IF($C10="","",SUMIFS(INP_DATA!E$5:E$3027,INP_DATA!$B$5:$B$3027,$C10,INP_DATA!$D$5:$D$3027,$E10))</f>
        <v>20</v>
      </c>
      <c r="J10" s="99">
        <f>IF($C10="","",IF(COUNTIFS(INP_MYSSHP!$B$5:$B$985,VLOOKUP($C10,KEY!$AE$19:$AH$60,3,FALSE),INP_MYSSHP!$C$5:$C$985,$E10)=0,"N/A",SUMIFS(INP_MYSSHP!$D$5:$D$2349,INP_MYSSHP!$C$5:$C$2349,$E10,INP_MYSSHP!$B$5:$B$2349,VLOOKUP($C10,KEY!$AE$19:$AH$60,3,FALSE))))</f>
        <v>0.875</v>
      </c>
      <c r="K10" s="169">
        <f>IF($C10="","",SUMIFS(INP_DATA!F$5:F$3027,INP_DATA!$B$5:$B$3027,$C10,INP_DATA!$D$5:$D$3027,$E10))</f>
        <v>67</v>
      </c>
      <c r="L10" s="169">
        <f>IF($C10="","",SUMIFS(INP_DATA!G$5:G$3027,INP_DATA!$B$5:$B$3027,$C10,INP_DATA!$D$5:$D$3027,$E10))</f>
        <v>58</v>
      </c>
      <c r="M10" s="100">
        <f>IF($C10="","",SUMIFS(INP_DATA!H$5:H$3027,INP_DATA!$B$5:$B$3027,$C10,INP_DATA!$D$5:$D$3027,$E10))</f>
        <v>71</v>
      </c>
      <c r="N10" s="100">
        <f>IF($C10="","",SUMIFS(INP_DATA!I$5:I$3027,INP_DATA!$B$5:$B$3027,$C10,INP_DATA!$D$5:$D$3027,$E10))</f>
        <v>16</v>
      </c>
      <c r="O10" s="100">
        <f>IF($C10="","",SUMIFS(INP_DATA!J$5:J$3027,INP_DATA!$B$5:$B$3027,$C10,INP_DATA!$D$5:$D$3027,$E10))</f>
        <v>29</v>
      </c>
      <c r="P10" s="100">
        <f>IF($C10="","",SUMIFS(INP_DATA!K$5:K$3027,INP_DATA!$B$5:$B$3027,$C10,INP_DATA!$D$5:$D$3027,$E10))</f>
        <v>16</v>
      </c>
      <c r="Q10" s="100">
        <f>IF($C10="","",SUMIFS(INP_DATA!L$5:L$3027,INP_DATA!$B$5:$B$3027,$C10,INP_DATA!$D$5:$D$3027,$E10))</f>
        <v>72</v>
      </c>
      <c r="R10" s="100">
        <f>IF($C10="","",SUMIFS(INP_DATA!M$5:M$3027,INP_DATA!$B$5:$B$3027,$C10,INP_DATA!$D$5:$D$3027,$E10))</f>
        <v>40</v>
      </c>
      <c r="S10" s="100">
        <f>IF($C10="","",SUMIFS(INP_DATA!N$5:N$3027,INP_DATA!$B$5:$B$3027,$C10,INP_DATA!$D$5:$D$3027,$E10))</f>
        <v>67</v>
      </c>
      <c r="T10" s="101">
        <f>IF($C10="","",SUMIFS(INP_DATA!O$5:O$3027,INP_DATA!$B$5:$B$3027,$C10,INP_DATA!$D$5:$D$3027,$E10))</f>
        <v>110</v>
      </c>
      <c r="U10" s="102">
        <f>IF($C10="","",SUMIFS(INP_DATA!P$5:P$3027,INP_DATA!$B$5:$B$3027,$C10,INP_DATA!$D$5:$D$3027,$E10))</f>
        <v>10</v>
      </c>
      <c r="V10" s="102">
        <f>IF($C10="","",SUMIFS(INP_DATA!Q$5:Q$3027,INP_DATA!$B$5:$B$3027,$C10,INP_DATA!$D$5:$D$3027,$E10))</f>
        <v>8</v>
      </c>
      <c r="W10" s="109"/>
      <c r="X10" s="203">
        <f>COUNTIFS(INP_DATA!$R$5:$R$3027,X$6,INP_DATA!$D$5:$D$3027,$E10,INP_DATA!$B$5:$B$3027,$C10)</f>
        <v>0</v>
      </c>
      <c r="Y10" s="204">
        <f>COUNTIFS(INP_DATA!$R$5:$R$3027,Y$6,INP_DATA!$D$5:$D$3027,$E10,INP_DATA!$B$5:$B$3027,$C10)</f>
        <v>0</v>
      </c>
      <c r="AA10" s="407" t="str">
        <f t="shared" si="3"/>
        <v>Audi Escondido</v>
      </c>
      <c r="AB10" s="406">
        <f t="shared" si="1"/>
        <v>1.1551724137931034</v>
      </c>
      <c r="AC10" s="406">
        <f t="shared" si="2"/>
        <v>3</v>
      </c>
      <c r="AD10" s="412">
        <f t="shared" si="4"/>
        <v>4</v>
      </c>
      <c r="AE10" s="413">
        <f t="shared" si="5"/>
        <v>0.875</v>
      </c>
      <c r="AF10" s="406">
        <f t="shared" si="6"/>
        <v>0.22535211267605634</v>
      </c>
      <c r="AG10" s="406">
        <f t="shared" si="7"/>
        <v>0.55172413793103448</v>
      </c>
      <c r="AH10" s="406">
        <f t="shared" si="8"/>
        <v>0.8</v>
      </c>
      <c r="AI10" s="406">
        <f t="shared" si="9"/>
        <v>0.65454545454545454</v>
      </c>
      <c r="AJ10" s="406">
        <f t="shared" si="10"/>
        <v>0.59701492537313428</v>
      </c>
    </row>
    <row r="11" spans="1:37" x14ac:dyDescent="0.35">
      <c r="A11" s="57">
        <v>5</v>
      </c>
      <c r="B11" s="3" t="str">
        <f>IF($A11&gt;KEY!$B$2,"",IFERROR(VLOOKUP($A11,KEY!$A$5:$D$74,4,FALSE),""))</f>
        <v>Orange County</v>
      </c>
      <c r="C11" s="160">
        <f t="shared" si="0"/>
        <v>45992</v>
      </c>
      <c r="E11" s="3" t="str">
        <f>IF($A11&gt;KEY!$B$2,"",IFERROR(VLOOKUP($A11,KEY!$A$5:$B$74,2,FALSE),""))</f>
        <v>Audi North OC</v>
      </c>
      <c r="F11" s="205">
        <f>IF($C11="","",SUMIFS(INP_PRODUCERS!$E$5:$E$2383,INP_PRODUCERS!$D$5:$D$2383,$E11,INP_PRODUCERS!$B$5:$B$2383,$C11))</f>
        <v>5</v>
      </c>
      <c r="G11" s="206">
        <f>IF($C11="","",SUMIFS(INP_PRODUCERS!$E$5:$E$2383,INP_PRODUCERS!$D$5:$D$2383,$E11,INP_PRODUCERS!$C$5:$C$2383,VLOOKUP($C11,KEY!$AE$19:$AH$60,3,FALSE)))</f>
        <v>13</v>
      </c>
      <c r="H11" s="207">
        <f>IF($C11="","",SUMIFS(INP_TRNGATT!$D$5:$D$1051,INP_TRNGATT!$C$5:$C$1051,$E11,INP_TRNGATT!$B$5:$B$1051,VLOOKUP($C11,KEY!$AE$19:$AH$60,3,FALSE)))</f>
        <v>13</v>
      </c>
      <c r="I11" s="208">
        <f>IF($C11="","",SUMIFS(INP_DATA!E$5:E$3027,INP_DATA!$B$5:$B$3027,$C11,INP_DATA!$D$5:$D$3027,$E11))</f>
        <v>9</v>
      </c>
      <c r="J11" s="99">
        <f>IF($C11="","",IF(COUNTIFS(INP_MYSSHP!$B$5:$B$985,VLOOKUP($C11,KEY!$AE$19:$AH$60,3,FALSE),INP_MYSSHP!$C$5:$C$985,$E11)=0,"N/A",SUMIFS(INP_MYSSHP!$D$5:$D$2349,INP_MYSSHP!$C$5:$C$2349,$E11,INP_MYSSHP!$B$5:$B$2349,VLOOKUP($C11,KEY!$AE$19:$AH$60,3,FALSE))))</f>
        <v>1</v>
      </c>
      <c r="K11" s="169">
        <f>IF($C11="","",SUMIFS(INP_DATA!F$5:F$3027,INP_DATA!$B$5:$B$3027,$C11,INP_DATA!$D$5:$D$3027,$E11))</f>
        <v>63</v>
      </c>
      <c r="L11" s="169">
        <f>IF($C11="","",SUMIFS(INP_DATA!G$5:G$3027,INP_DATA!$B$5:$B$3027,$C11,INP_DATA!$D$5:$D$3027,$E11))</f>
        <v>49</v>
      </c>
      <c r="M11" s="100">
        <f>IF($C11="","",SUMIFS(INP_DATA!H$5:H$3027,INP_DATA!$B$5:$B$3027,$C11,INP_DATA!$D$5:$D$3027,$E11))</f>
        <v>99</v>
      </c>
      <c r="N11" s="100">
        <f>IF($C11="","",SUMIFS(INP_DATA!I$5:I$3027,INP_DATA!$B$5:$B$3027,$C11,INP_DATA!$D$5:$D$3027,$E11))</f>
        <v>23</v>
      </c>
      <c r="O11" s="100">
        <f>IF($C11="","",SUMIFS(INP_DATA!J$5:J$3027,INP_DATA!$B$5:$B$3027,$C11,INP_DATA!$D$5:$D$3027,$E11))</f>
        <v>32</v>
      </c>
      <c r="P11" s="100">
        <f>IF($C11="","",SUMIFS(INP_DATA!K$5:K$3027,INP_DATA!$B$5:$B$3027,$C11,INP_DATA!$D$5:$D$3027,$E11))</f>
        <v>11</v>
      </c>
      <c r="Q11" s="100">
        <f>IF($C11="","",SUMIFS(INP_DATA!L$5:L$3027,INP_DATA!$B$5:$B$3027,$C11,INP_DATA!$D$5:$D$3027,$E11))</f>
        <v>86</v>
      </c>
      <c r="R11" s="100">
        <f>IF($C11="","",SUMIFS(INP_DATA!M$5:M$3027,INP_DATA!$B$5:$B$3027,$C11,INP_DATA!$D$5:$D$3027,$E11))</f>
        <v>54</v>
      </c>
      <c r="S11" s="100">
        <f>IF($C11="","",SUMIFS(INP_DATA!N$5:N$3027,INP_DATA!$B$5:$B$3027,$C11,INP_DATA!$D$5:$D$3027,$E11))</f>
        <v>63</v>
      </c>
      <c r="T11" s="101">
        <f>IF($C11="","",SUMIFS(INP_DATA!O$5:O$3027,INP_DATA!$B$5:$B$3027,$C11,INP_DATA!$D$5:$D$3027,$E11))</f>
        <v>110</v>
      </c>
      <c r="U11" s="102">
        <f>IF($C11="","",SUMIFS(INP_DATA!P$5:P$3027,INP_DATA!$B$5:$B$3027,$C11,INP_DATA!$D$5:$D$3027,$E11))</f>
        <v>16</v>
      </c>
      <c r="V11" s="102">
        <f>IF($C11="","",SUMIFS(INP_DATA!Q$5:Q$3027,INP_DATA!$B$5:$B$3027,$C11,INP_DATA!$D$5:$D$3027,$E11))</f>
        <v>8</v>
      </c>
      <c r="W11" s="109"/>
      <c r="X11" s="203">
        <f>COUNTIFS(INP_DATA!$R$5:$R$3027,X$6,INP_DATA!$D$5:$D$3027,$E11,INP_DATA!$B$5:$B$3027,$C11)</f>
        <v>0</v>
      </c>
      <c r="Y11" s="204">
        <f>COUNTIFS(INP_DATA!$R$5:$R$3027,Y$6,INP_DATA!$D$5:$D$3027,$E11,INP_DATA!$B$5:$B$3027,$C11)</f>
        <v>0</v>
      </c>
      <c r="AA11" s="407" t="str">
        <f t="shared" si="3"/>
        <v>Audi North OC</v>
      </c>
      <c r="AB11" s="406">
        <f t="shared" si="1"/>
        <v>1.2857142857142858</v>
      </c>
      <c r="AC11" s="406">
        <f t="shared" si="2"/>
        <v>3</v>
      </c>
      <c r="AD11" s="412">
        <f t="shared" si="4"/>
        <v>1.8</v>
      </c>
      <c r="AE11" s="413">
        <f t="shared" si="5"/>
        <v>1</v>
      </c>
      <c r="AF11" s="406">
        <f t="shared" si="6"/>
        <v>0.23232323232323232</v>
      </c>
      <c r="AG11" s="406">
        <f t="shared" si="7"/>
        <v>0.34375</v>
      </c>
      <c r="AH11" s="406">
        <f t="shared" si="8"/>
        <v>0.5</v>
      </c>
      <c r="AI11" s="406">
        <f t="shared" si="9"/>
        <v>0.78181818181818186</v>
      </c>
      <c r="AJ11" s="406">
        <f t="shared" si="10"/>
        <v>0.8571428571428571</v>
      </c>
    </row>
    <row r="12" spans="1:37" x14ac:dyDescent="0.35">
      <c r="A12" s="57">
        <v>6</v>
      </c>
      <c r="B12" s="3" t="str">
        <f>IF($A12&gt;KEY!$B$2,"",IFERROR(VLOOKUP($A12,KEY!$A$5:$D$74,4,FALSE),""))</f>
        <v>Arizona</v>
      </c>
      <c r="C12" s="160">
        <f t="shared" si="0"/>
        <v>45992</v>
      </c>
      <c r="E12" s="3" t="str">
        <f>IF($A12&gt;KEY!$B$2,"",IFERROR(VLOOKUP($A12,KEY!$A$5:$B$74,2,FALSE),""))</f>
        <v>Audi North Scottsdale</v>
      </c>
      <c r="F12" s="205">
        <f>IF($C12="","",SUMIFS(INP_PRODUCERS!$E$5:$E$2383,INP_PRODUCERS!$D$5:$D$2383,$E12,INP_PRODUCERS!$B$5:$B$2383,$C12))</f>
        <v>10</v>
      </c>
      <c r="G12" s="206">
        <f>IF($C12="","",SUMIFS(INP_PRODUCERS!$E$5:$E$2383,INP_PRODUCERS!$D$5:$D$2383,$E12,INP_PRODUCERS!$C$5:$C$2383,VLOOKUP($C12,KEY!$AE$19:$AH$60,3,FALSE)))</f>
        <v>32</v>
      </c>
      <c r="H12" s="207">
        <f>IF($C12="","",SUMIFS(INP_TRNGATT!$D$5:$D$1051,INP_TRNGATT!$C$5:$C$1051,$E12,INP_TRNGATT!$B$5:$B$1051,VLOOKUP($C12,KEY!$AE$19:$AH$60,3,FALSE)))</f>
        <v>10</v>
      </c>
      <c r="I12" s="208">
        <f>IF($C12="","",SUMIFS(INP_DATA!E$5:E$3027,INP_DATA!$B$5:$B$3027,$C12,INP_DATA!$D$5:$D$3027,$E12))</f>
        <v>25</v>
      </c>
      <c r="J12" s="99">
        <f>IF($C12="","",IF(COUNTIFS(INP_MYSSHP!$B$5:$B$985,VLOOKUP($C12,KEY!$AE$19:$AH$60,3,FALSE),INP_MYSSHP!$C$5:$C$985,$E12)=0,"N/A",SUMIFS(INP_MYSSHP!$D$5:$D$2349,INP_MYSSHP!$C$5:$C$2349,$E12,INP_MYSSHP!$B$5:$B$2349,VLOOKUP($C12,KEY!$AE$19:$AH$60,3,FALSE))))</f>
        <v>1</v>
      </c>
      <c r="K12" s="169">
        <f>IF($C12="","",SUMIFS(INP_DATA!F$5:F$3027,INP_DATA!$B$5:$B$3027,$C12,INP_DATA!$D$5:$D$3027,$E12))</f>
        <v>143</v>
      </c>
      <c r="L12" s="169">
        <f>IF($C12="","",SUMIFS(INP_DATA!G$5:G$3027,INP_DATA!$B$5:$B$3027,$C12,INP_DATA!$D$5:$D$3027,$E12))</f>
        <v>142</v>
      </c>
      <c r="M12" s="100">
        <f>IF($C12="","",SUMIFS(INP_DATA!H$5:H$3027,INP_DATA!$B$5:$B$3027,$C12,INP_DATA!$D$5:$D$3027,$E12))</f>
        <v>295</v>
      </c>
      <c r="N12" s="100">
        <f>IF($C12="","",SUMIFS(INP_DATA!I$5:I$3027,INP_DATA!$B$5:$B$3027,$C12,INP_DATA!$D$5:$D$3027,$E12))</f>
        <v>41</v>
      </c>
      <c r="O12" s="100">
        <f>IF($C12="","",SUMIFS(INP_DATA!J$5:J$3027,INP_DATA!$B$5:$B$3027,$C12,INP_DATA!$D$5:$D$3027,$E12))</f>
        <v>65</v>
      </c>
      <c r="P12" s="100">
        <f>IF($C12="","",SUMIFS(INP_DATA!K$5:K$3027,INP_DATA!$B$5:$B$3027,$C12,INP_DATA!$D$5:$D$3027,$E12))</f>
        <v>12</v>
      </c>
      <c r="Q12" s="100">
        <f>IF($C12="","",SUMIFS(INP_DATA!L$5:L$3027,INP_DATA!$B$5:$B$3027,$C12,INP_DATA!$D$5:$D$3027,$E12))</f>
        <v>196</v>
      </c>
      <c r="R12" s="100">
        <f>IF($C12="","",SUMIFS(INP_DATA!M$5:M$3027,INP_DATA!$B$5:$B$3027,$C12,INP_DATA!$D$5:$D$3027,$E12))</f>
        <v>98</v>
      </c>
      <c r="S12" s="100">
        <f>IF($C12="","",SUMIFS(INP_DATA!N$5:N$3027,INP_DATA!$B$5:$B$3027,$C12,INP_DATA!$D$5:$D$3027,$E12))</f>
        <v>143</v>
      </c>
      <c r="T12" s="101">
        <f>IF($C12="","",SUMIFS(INP_DATA!O$5:O$3027,INP_DATA!$B$5:$B$3027,$C12,INP_DATA!$D$5:$D$3027,$E12))</f>
        <v>220</v>
      </c>
      <c r="U12" s="102">
        <v>14</v>
      </c>
      <c r="V12" s="102">
        <f>IF($C12="","",SUMIFS(INP_DATA!Q$5:Q$3027,INP_DATA!$B$5:$B$3027,$C12,INP_DATA!$D$5:$D$3027,$E12))</f>
        <v>8</v>
      </c>
      <c r="W12" s="109"/>
      <c r="X12" s="203">
        <f>COUNTIFS(INP_DATA!$R$5:$R$3027,X$6,INP_DATA!$D$5:$D$3027,$E12,INP_DATA!$B$5:$B$3027,$C12)</f>
        <v>0</v>
      </c>
      <c r="Y12" s="204">
        <f>COUNTIFS(INP_DATA!$R$5:$R$3027,Y$6,INP_DATA!$D$5:$D$3027,$E12,INP_DATA!$B$5:$B$3027,$C12)</f>
        <v>0</v>
      </c>
      <c r="AA12" s="407" t="str">
        <f t="shared" si="3"/>
        <v>Audi North Scottsdale</v>
      </c>
      <c r="AB12" s="406">
        <f t="shared" si="1"/>
        <v>1.0070422535211268</v>
      </c>
      <c r="AC12" s="406">
        <f t="shared" si="2"/>
        <v>0.9375</v>
      </c>
      <c r="AD12" s="412">
        <f t="shared" si="4"/>
        <v>2.5</v>
      </c>
      <c r="AE12" s="413">
        <f t="shared" si="5"/>
        <v>1</v>
      </c>
      <c r="AF12" s="406">
        <f t="shared" si="6"/>
        <v>0.13898305084745763</v>
      </c>
      <c r="AG12" s="406">
        <f t="shared" si="7"/>
        <v>0.18461538461538463</v>
      </c>
      <c r="AH12" s="406">
        <f t="shared" si="8"/>
        <v>0.5714285714285714</v>
      </c>
      <c r="AI12" s="406">
        <f t="shared" si="9"/>
        <v>0.89090909090909087</v>
      </c>
      <c r="AJ12" s="406">
        <f t="shared" si="10"/>
        <v>0.68531468531468531</v>
      </c>
    </row>
    <row r="13" spans="1:37" x14ac:dyDescent="0.35">
      <c r="A13" s="57">
        <v>7</v>
      </c>
      <c r="B13" s="3" t="str">
        <f>IF($A13&gt;KEY!$B$2,"",IFERROR(VLOOKUP($A13,KEY!$A$5:$D$74,4,FALSE),""))</f>
        <v>Northern California</v>
      </c>
      <c r="C13" s="160">
        <f t="shared" si="0"/>
        <v>45992</v>
      </c>
      <c r="E13" s="3" t="str">
        <f>IF($A13&gt;KEY!$B$2,"",IFERROR(VLOOKUP($A13,KEY!$A$5:$B$74,2,FALSE),""))</f>
        <v>Audi San Jose</v>
      </c>
      <c r="F13" s="205">
        <f>IF($C13="","",SUMIFS(INP_PRODUCERS!$E$5:$E$2383,INP_PRODUCERS!$D$5:$D$2383,$E13,INP_PRODUCERS!$B$5:$B$2383,$C13))</f>
        <v>10</v>
      </c>
      <c r="G13" s="206">
        <f>IF($C13="","",SUMIFS(INP_PRODUCERS!$E$5:$E$2383,INP_PRODUCERS!$D$5:$D$2383,$E13,INP_PRODUCERS!$C$5:$C$2383,VLOOKUP($C13,KEY!$AE$19:$AH$60,3,FALSE)))</f>
        <v>37</v>
      </c>
      <c r="H13" s="207">
        <f>IF($C13="","",SUMIFS(INP_TRNGATT!$D$5:$D$1051,INP_TRNGATT!$C$5:$C$1051,$E13,INP_TRNGATT!$B$5:$B$1051,VLOOKUP($C13,KEY!$AE$19:$AH$60,3,FALSE)))</f>
        <v>15</v>
      </c>
      <c r="I13" s="208">
        <f>IF($C13="","",SUMIFS(INP_DATA!E$5:E$3027,INP_DATA!$B$5:$B$3027,$C13,INP_DATA!$D$5:$D$3027,$E13))</f>
        <v>4</v>
      </c>
      <c r="J13" s="99">
        <f>IF($C13="","",IF(COUNTIFS(INP_MYSSHP!$B$5:$B$985,VLOOKUP($C13,KEY!$AE$19:$AH$60,3,FALSE),INP_MYSSHP!$C$5:$C$985,$E13)=0,"N/A",SUMIFS(INP_MYSSHP!$D$5:$D$2349,INP_MYSSHP!$C$5:$C$2349,$E13,INP_MYSSHP!$B$5:$B$2349,VLOOKUP($C13,KEY!$AE$19:$AH$60,3,FALSE))))</f>
        <v>0.75</v>
      </c>
      <c r="K13" s="169">
        <f>IF($C13="","",SUMIFS(INP_DATA!F$5:F$3027,INP_DATA!$B$5:$B$3027,$C13,INP_DATA!$D$5:$D$3027,$E13))</f>
        <v>161</v>
      </c>
      <c r="L13" s="169">
        <f>IF($C13="","",SUMIFS(INP_DATA!G$5:G$3027,INP_DATA!$B$5:$B$3027,$C13,INP_DATA!$D$5:$D$3027,$E13))</f>
        <v>207</v>
      </c>
      <c r="M13" s="100">
        <f>IF($C13="","",SUMIFS(INP_DATA!H$5:H$3027,INP_DATA!$B$5:$B$3027,$C13,INP_DATA!$D$5:$D$3027,$E13))</f>
        <v>364</v>
      </c>
      <c r="N13" s="100">
        <f>IF($C13="","",SUMIFS(INP_DATA!I$5:I$3027,INP_DATA!$B$5:$B$3027,$C13,INP_DATA!$D$5:$D$3027,$E13))</f>
        <v>44</v>
      </c>
      <c r="O13" s="100">
        <f>IF($C13="","",SUMIFS(INP_DATA!J$5:J$3027,INP_DATA!$B$5:$B$3027,$C13,INP_DATA!$D$5:$D$3027,$E13))</f>
        <v>183</v>
      </c>
      <c r="P13" s="100">
        <f>IF($C13="","",SUMIFS(INP_DATA!K$5:K$3027,INP_DATA!$B$5:$B$3027,$C13,INP_DATA!$D$5:$D$3027,$E13))</f>
        <v>38</v>
      </c>
      <c r="Q13" s="100">
        <f>IF($C13="","",SUMIFS(INP_DATA!L$5:L$3027,INP_DATA!$B$5:$B$3027,$C13,INP_DATA!$D$5:$D$3027,$E13))</f>
        <v>342</v>
      </c>
      <c r="R13" s="100">
        <f>IF($C13="","",SUMIFS(INP_DATA!M$5:M$3027,INP_DATA!$B$5:$B$3027,$C13,INP_DATA!$D$5:$D$3027,$E13))</f>
        <v>152</v>
      </c>
      <c r="S13" s="100">
        <f>IF($C13="","",SUMIFS(INP_DATA!N$5:N$3027,INP_DATA!$B$5:$B$3027,$C13,INP_DATA!$D$5:$D$3027,$E13))</f>
        <v>162</v>
      </c>
      <c r="T13" s="101">
        <f>IF($C13="","",SUMIFS(INP_DATA!O$5:O$3027,INP_DATA!$B$5:$B$3027,$C13,INP_DATA!$D$5:$D$3027,$E13))</f>
        <v>220</v>
      </c>
      <c r="U13" s="102">
        <f>IF($C13="","",SUMIFS(INP_DATA!P$5:P$3027,INP_DATA!$B$5:$B$3027,$C13,INP_DATA!$D$5:$D$3027,$E13))</f>
        <v>53</v>
      </c>
      <c r="V13" s="102">
        <f>IF($C13="","",SUMIFS(INP_DATA!Q$5:Q$3027,INP_DATA!$B$5:$B$3027,$C13,INP_DATA!$D$5:$D$3027,$E13))</f>
        <v>25</v>
      </c>
      <c r="W13" s="109"/>
      <c r="X13" s="203">
        <f>COUNTIFS(INP_DATA!$R$5:$R$3027,X$6,INP_DATA!$D$5:$D$3027,$E13,INP_DATA!$B$5:$B$3027,$C13)</f>
        <v>0</v>
      </c>
      <c r="Y13" s="204">
        <f>COUNTIFS(INP_DATA!$R$5:$R$3027,Y$6,INP_DATA!$D$5:$D$3027,$E13,INP_DATA!$B$5:$B$3027,$C13)</f>
        <v>0</v>
      </c>
      <c r="AA13" s="407" t="str">
        <f t="shared" si="3"/>
        <v>Audi San Jose</v>
      </c>
      <c r="AB13" s="406">
        <f t="shared" si="1"/>
        <v>0.77777777777777779</v>
      </c>
      <c r="AC13" s="406">
        <f t="shared" si="2"/>
        <v>1.2162162162162162</v>
      </c>
      <c r="AD13" s="412">
        <f t="shared" si="4"/>
        <v>0.4</v>
      </c>
      <c r="AE13" s="413">
        <f t="shared" si="5"/>
        <v>0.75</v>
      </c>
      <c r="AF13" s="406">
        <f t="shared" si="6"/>
        <v>0.12087912087912088</v>
      </c>
      <c r="AG13" s="406">
        <f t="shared" si="7"/>
        <v>0.20765027322404372</v>
      </c>
      <c r="AH13" s="406">
        <f t="shared" si="8"/>
        <v>0.47169811320754718</v>
      </c>
      <c r="AI13" s="406">
        <f t="shared" si="9"/>
        <v>1.5545454545454545</v>
      </c>
      <c r="AJ13" s="406">
        <f t="shared" si="10"/>
        <v>0.93827160493827155</v>
      </c>
    </row>
    <row r="14" spans="1:37" x14ac:dyDescent="0.35">
      <c r="A14" s="57">
        <v>8</v>
      </c>
      <c r="B14" s="3" t="str">
        <f>IF($A14&gt;KEY!$B$2,"",IFERROR(VLOOKUP($A14,KEY!$A$5:$D$74,4,FALSE),""))</f>
        <v>Orange County</v>
      </c>
      <c r="C14" s="160">
        <f t="shared" si="0"/>
        <v>45992</v>
      </c>
      <c r="E14" s="3" t="str">
        <f>IF($A14&gt;KEY!$B$2,"",IFERROR(VLOOKUP($A14,KEY!$A$5:$B$74,2,FALSE),""))</f>
        <v>Audi South Coast</v>
      </c>
      <c r="F14" s="205">
        <f>IF($C14="","",SUMIFS(INP_PRODUCERS!$E$5:$E$2383,INP_PRODUCERS!$D$5:$D$2383,$E14,INP_PRODUCERS!$B$5:$B$2383,$C14))</f>
        <v>6</v>
      </c>
      <c r="G14" s="206">
        <f>IF($C14="","",SUMIFS(INP_PRODUCERS!$E$5:$E$2383,INP_PRODUCERS!$D$5:$D$2383,$E14,INP_PRODUCERS!$C$5:$C$2383,VLOOKUP($C14,KEY!$AE$19:$AH$60,3,FALSE)))</f>
        <v>19</v>
      </c>
      <c r="H14" s="207">
        <f>IF($C14="","",SUMIFS(INP_TRNGATT!$D$5:$D$1051,INP_TRNGATT!$C$5:$C$1051,$E14,INP_TRNGATT!$B$5:$B$1051,VLOOKUP($C14,KEY!$AE$19:$AH$60,3,FALSE)))</f>
        <v>20</v>
      </c>
      <c r="I14" s="208">
        <f>IF($C14="","",SUMIFS(INP_DATA!E$5:E$3027,INP_DATA!$B$5:$B$3027,$C14,INP_DATA!$D$5:$D$3027,$E14))</f>
        <v>16</v>
      </c>
      <c r="J14" s="99">
        <f>IF($C14="","",IF(COUNTIFS(INP_MYSSHP!$B$5:$B$985,VLOOKUP($C14,KEY!$AE$19:$AH$60,3,FALSE),INP_MYSSHP!$C$5:$C$985,$E14)=0,"N/A",SUMIFS(INP_MYSSHP!$D$5:$D$2349,INP_MYSSHP!$C$5:$C$2349,$E14,INP_MYSSHP!$B$5:$B$2349,VLOOKUP($C14,KEY!$AE$19:$AH$60,3,FALSE))))</f>
        <v>0.75</v>
      </c>
      <c r="K14" s="169">
        <f>IF($C14="","",SUMIFS(INP_DATA!F$5:F$3027,INP_DATA!$B$5:$B$3027,$C14,INP_DATA!$D$5:$D$3027,$E14))</f>
        <v>88</v>
      </c>
      <c r="L14" s="169">
        <f>IF($C14="","",SUMIFS(INP_DATA!G$5:G$3027,INP_DATA!$B$5:$B$3027,$C14,INP_DATA!$D$5:$D$3027,$E14))</f>
        <v>111</v>
      </c>
      <c r="M14" s="100">
        <f>IF($C14="","",SUMIFS(INP_DATA!H$5:H$3027,INP_DATA!$B$5:$B$3027,$C14,INP_DATA!$D$5:$D$3027,$E14))</f>
        <v>130</v>
      </c>
      <c r="N14" s="100">
        <f>IF($C14="","",SUMIFS(INP_DATA!I$5:I$3027,INP_DATA!$B$5:$B$3027,$C14,INP_DATA!$D$5:$D$3027,$E14))</f>
        <v>22</v>
      </c>
      <c r="O14" s="100">
        <f>IF($C14="","",SUMIFS(INP_DATA!J$5:J$3027,INP_DATA!$B$5:$B$3027,$C14,INP_DATA!$D$5:$D$3027,$E14))</f>
        <v>60</v>
      </c>
      <c r="P14" s="100">
        <f>IF($C14="","",SUMIFS(INP_DATA!K$5:K$3027,INP_DATA!$B$5:$B$3027,$C14,INP_DATA!$D$5:$D$3027,$E14))</f>
        <v>16</v>
      </c>
      <c r="Q14" s="100">
        <f>IF($C14="","",SUMIFS(INP_DATA!L$5:L$3027,INP_DATA!$B$5:$B$3027,$C14,INP_DATA!$D$5:$D$3027,$E14))</f>
        <v>131</v>
      </c>
      <c r="R14" s="100">
        <f>IF($C14="","",SUMIFS(INP_DATA!M$5:M$3027,INP_DATA!$B$5:$B$3027,$C14,INP_DATA!$D$5:$D$3027,$E14))</f>
        <v>69</v>
      </c>
      <c r="S14" s="100">
        <f>IF($C14="","",SUMIFS(INP_DATA!N$5:N$3027,INP_DATA!$B$5:$B$3027,$C14,INP_DATA!$D$5:$D$3027,$E14))</f>
        <v>88</v>
      </c>
      <c r="T14" s="101">
        <f>IF($C14="","",SUMIFS(INP_DATA!O$5:O$3027,INP_DATA!$B$5:$B$3027,$C14,INP_DATA!$D$5:$D$3027,$E14))</f>
        <v>132</v>
      </c>
      <c r="U14" s="102">
        <f>IF($C14="","",SUMIFS(INP_DATA!P$5:P$3027,INP_DATA!$B$5:$B$3027,$C14,INP_DATA!$D$5:$D$3027,$E14))</f>
        <v>51</v>
      </c>
      <c r="V14" s="102">
        <f>IF($C14="","",SUMIFS(INP_DATA!Q$5:Q$3027,INP_DATA!$B$5:$B$3027,$C14,INP_DATA!$D$5:$D$3027,$E14))</f>
        <v>26</v>
      </c>
      <c r="W14" s="109"/>
      <c r="X14" s="203">
        <f>COUNTIFS(INP_DATA!$R$5:$R$3027,X$6,INP_DATA!$D$5:$D$3027,$E14,INP_DATA!$B$5:$B$3027,$C14)</f>
        <v>0</v>
      </c>
      <c r="Y14" s="204">
        <f>COUNTIFS(INP_DATA!$R$5:$R$3027,Y$6,INP_DATA!$D$5:$D$3027,$E14,INP_DATA!$B$5:$B$3027,$C14)</f>
        <v>0</v>
      </c>
      <c r="AA14" s="407" t="str">
        <f t="shared" si="3"/>
        <v>Audi South Coast</v>
      </c>
      <c r="AB14" s="406">
        <f t="shared" si="1"/>
        <v>0.7927927927927928</v>
      </c>
      <c r="AC14" s="406">
        <f t="shared" si="2"/>
        <v>3.1578947368421053</v>
      </c>
      <c r="AD14" s="412">
        <f t="shared" si="4"/>
        <v>2.6666666666666665</v>
      </c>
      <c r="AE14" s="413">
        <f t="shared" si="5"/>
        <v>0.75</v>
      </c>
      <c r="AF14" s="406">
        <f t="shared" si="6"/>
        <v>0.16923076923076924</v>
      </c>
      <c r="AG14" s="406">
        <f t="shared" si="7"/>
        <v>0.26666666666666666</v>
      </c>
      <c r="AH14" s="406">
        <f t="shared" si="8"/>
        <v>0.50980392156862742</v>
      </c>
      <c r="AI14" s="406">
        <f t="shared" si="9"/>
        <v>0.99242424242424243</v>
      </c>
      <c r="AJ14" s="406">
        <f t="shared" si="10"/>
        <v>0.78409090909090906</v>
      </c>
    </row>
    <row r="15" spans="1:37" x14ac:dyDescent="0.35">
      <c r="A15" s="57">
        <v>9</v>
      </c>
      <c r="B15" s="3" t="str">
        <f>IF($A15&gt;KEY!$B$2,"",IFERROR(VLOOKUP($A15,KEY!$A$5:$D$74,4,FALSE),""))</f>
        <v>Arizona</v>
      </c>
      <c r="C15" s="160">
        <f t="shared" si="0"/>
        <v>45992</v>
      </c>
      <c r="E15" s="3" t="str">
        <f>IF($A15&gt;KEY!$B$2,"",IFERROR(VLOOKUP($A15,KEY!$A$5:$B$74,2,FALSE),""))</f>
        <v>Bentley Scottsdale</v>
      </c>
      <c r="F15" s="205">
        <f>IF($C15="","",SUMIFS(INP_PRODUCERS!$E$5:$E$2383,INP_PRODUCERS!$D$5:$D$2383,$E15,INP_PRODUCERS!$B$5:$B$2383,$C15))</f>
        <v>4</v>
      </c>
      <c r="G15" s="206">
        <f>IF($C15="","",SUMIFS(INP_PRODUCERS!$E$5:$E$2383,INP_PRODUCERS!$D$5:$D$2383,$E15,INP_PRODUCERS!$C$5:$C$2383,VLOOKUP($C15,KEY!$AE$19:$AH$60,3,FALSE)))</f>
        <v>12</v>
      </c>
      <c r="H15" s="207">
        <f>IF($C15="","",SUMIFS(INP_TRNGATT!$D$5:$D$1051,INP_TRNGATT!$C$5:$C$1051,$E15,INP_TRNGATT!$B$5:$B$1051,VLOOKUP($C15,KEY!$AE$19:$AH$60,3,FALSE)))</f>
        <v>4</v>
      </c>
      <c r="I15" s="208">
        <f>IF($C15="","",SUMIFS(INP_DATA!E$5:E$3027,INP_DATA!$B$5:$B$3027,$C15,INP_DATA!$D$5:$D$3027,$E15))</f>
        <v>8</v>
      </c>
      <c r="J15" s="99">
        <f>IF($C15="","",IF(COUNTIFS(INP_MYSSHP!$B$5:$B$985,VLOOKUP($C15,KEY!$AE$19:$AH$60,3,FALSE),INP_MYSSHP!$C$5:$C$985,$E15)=0,"N/A",SUMIFS(INP_MYSSHP!$D$5:$D$2349,INP_MYSSHP!$C$5:$C$2349,$E15,INP_MYSSHP!$B$5:$B$2349,VLOOKUP($C15,KEY!$AE$19:$AH$60,3,FALSE))))</f>
        <v>1</v>
      </c>
      <c r="K15" s="169">
        <f>IF($C15="","",SUMIFS(INP_DATA!F$5:F$3027,INP_DATA!$B$5:$B$3027,$C15,INP_DATA!$D$5:$D$3027,$E15))</f>
        <v>27</v>
      </c>
      <c r="L15" s="169">
        <f>IF($C15="","",SUMIFS(INP_DATA!G$5:G$3027,INP_DATA!$B$5:$B$3027,$C15,INP_DATA!$D$5:$D$3027,$E15))</f>
        <v>23</v>
      </c>
      <c r="M15" s="100">
        <f>IF($C15="","",SUMIFS(INP_DATA!H$5:H$3027,INP_DATA!$B$5:$B$3027,$C15,INP_DATA!$D$5:$D$3027,$E15))</f>
        <v>36</v>
      </c>
      <c r="N15" s="100">
        <f>IF($C15="","",SUMIFS(INP_DATA!I$5:I$3027,INP_DATA!$B$5:$B$3027,$C15,INP_DATA!$D$5:$D$3027,$E15))</f>
        <v>7</v>
      </c>
      <c r="O15" s="100">
        <f>IF($C15="","",SUMIFS(INP_DATA!J$5:J$3027,INP_DATA!$B$5:$B$3027,$C15,INP_DATA!$D$5:$D$3027,$E15))</f>
        <v>23</v>
      </c>
      <c r="P15" s="100">
        <f>IF($C15="","",SUMIFS(INP_DATA!K$5:K$3027,INP_DATA!$B$5:$B$3027,$C15,INP_DATA!$D$5:$D$3027,$E15))</f>
        <v>10</v>
      </c>
      <c r="Q15" s="100">
        <f>IF($C15="","",SUMIFS(INP_DATA!L$5:L$3027,INP_DATA!$B$5:$B$3027,$C15,INP_DATA!$D$5:$D$3027,$E15))</f>
        <v>128</v>
      </c>
      <c r="R15" s="100">
        <f>IF($C15="","",SUMIFS(INP_DATA!M$5:M$3027,INP_DATA!$B$5:$B$3027,$C15,INP_DATA!$D$5:$D$3027,$E15))</f>
        <v>16</v>
      </c>
      <c r="S15" s="100">
        <f>IF($C15="","",SUMIFS(INP_DATA!N$5:N$3027,INP_DATA!$B$5:$B$3027,$C15,INP_DATA!$D$5:$D$3027,$E15))</f>
        <v>28</v>
      </c>
      <c r="T15" s="101">
        <f>IF($C15="","",SUMIFS(INP_DATA!O$5:O$3027,INP_DATA!$B$5:$B$3027,$C15,INP_DATA!$D$5:$D$3027,$E15))</f>
        <v>48</v>
      </c>
      <c r="U15" s="102">
        <f>IF($C15="","",SUMIFS(INP_DATA!P$5:P$3027,INP_DATA!$B$5:$B$3027,$C15,INP_DATA!$D$5:$D$3027,$E15))</f>
        <v>0</v>
      </c>
      <c r="V15" s="102">
        <f>IF($C15="","",SUMIFS(INP_DATA!Q$5:Q$3027,INP_DATA!$B$5:$B$3027,$C15,INP_DATA!$D$5:$D$3027,$E15))</f>
        <v>0</v>
      </c>
      <c r="W15" s="109"/>
      <c r="X15" s="203">
        <f>COUNTIFS(INP_DATA!$R$5:$R$3027,X$6,INP_DATA!$D$5:$D$3027,$E15,INP_DATA!$B$5:$B$3027,$C15)</f>
        <v>0</v>
      </c>
      <c r="Y15" s="204">
        <f>COUNTIFS(INP_DATA!$R$5:$R$3027,Y$6,INP_DATA!$D$5:$D$3027,$E15,INP_DATA!$B$5:$B$3027,$C15)</f>
        <v>0</v>
      </c>
      <c r="AA15" s="407" t="str">
        <f t="shared" si="3"/>
        <v>Bentley Scottsdale</v>
      </c>
      <c r="AB15" s="406">
        <f t="shared" si="1"/>
        <v>1.173913043478261</v>
      </c>
      <c r="AC15" s="406">
        <f t="shared" si="2"/>
        <v>1</v>
      </c>
      <c r="AD15" s="412">
        <f t="shared" si="4"/>
        <v>2</v>
      </c>
      <c r="AE15" s="413">
        <f t="shared" si="5"/>
        <v>1</v>
      </c>
      <c r="AF15" s="406">
        <f t="shared" si="6"/>
        <v>0.19444444444444445</v>
      </c>
      <c r="AG15" s="406">
        <f t="shared" si="7"/>
        <v>0.43478260869565216</v>
      </c>
      <c r="AH15" s="406" t="str">
        <f t="shared" si="8"/>
        <v>N/A</v>
      </c>
      <c r="AI15" s="406">
        <f t="shared" si="9"/>
        <v>2.6666666666666665</v>
      </c>
      <c r="AJ15" s="406">
        <f t="shared" si="10"/>
        <v>0.5714285714285714</v>
      </c>
    </row>
    <row r="16" spans="1:37" hidden="1" x14ac:dyDescent="0.35">
      <c r="A16" s="57"/>
      <c r="B16" s="3"/>
      <c r="C16" s="160"/>
      <c r="E16" s="3"/>
      <c r="F16" s="205"/>
      <c r="G16" s="206"/>
      <c r="H16" s="207"/>
      <c r="I16" s="208"/>
      <c r="J16" s="99"/>
      <c r="K16" s="169"/>
      <c r="L16" s="169"/>
      <c r="M16" s="100"/>
      <c r="N16" s="100"/>
      <c r="O16" s="100"/>
      <c r="P16" s="100"/>
      <c r="Q16" s="100"/>
      <c r="R16" s="100"/>
      <c r="S16" s="100"/>
      <c r="T16" s="101"/>
      <c r="U16" s="102"/>
      <c r="V16" s="102"/>
      <c r="W16" s="109"/>
      <c r="X16" s="203"/>
      <c r="Y16" s="204"/>
      <c r="AA16" s="407"/>
      <c r="AB16" s="406"/>
      <c r="AC16" s="406"/>
      <c r="AD16" s="412"/>
      <c r="AE16" s="413"/>
      <c r="AF16" s="406"/>
      <c r="AG16" s="406"/>
      <c r="AH16" s="406"/>
      <c r="AI16" s="406"/>
      <c r="AJ16" s="406"/>
    </row>
    <row r="17" spans="1:36" x14ac:dyDescent="0.35">
      <c r="A17" s="57">
        <v>11</v>
      </c>
      <c r="B17" s="3" t="str">
        <f>IF($A17&gt;KEY!$B$2,"",IFERROR(VLOOKUP($A17,KEY!$A$5:$D$74,4,FALSE),""))</f>
        <v>Arizona</v>
      </c>
      <c r="C17" s="160">
        <f t="shared" si="0"/>
        <v>45992</v>
      </c>
      <c r="E17" s="3" t="str">
        <f>IF($A17&gt;KEY!$B$2,"",IFERROR(VLOOKUP($A17,KEY!$A$5:$B$74,2,FALSE),""))</f>
        <v>BMW North Scottsdale</v>
      </c>
      <c r="F17" s="205">
        <f>IF($C17="","",SUMIFS(INP_PRODUCERS!$E$5:$E$2383,INP_PRODUCERS!$D$5:$D$2383,$E17,INP_PRODUCERS!$B$5:$B$2383,$C17))</f>
        <v>28</v>
      </c>
      <c r="G17" s="206">
        <f>IF($C17="","",SUMIFS(INP_PRODUCERS!$E$5:$E$2383,INP_PRODUCERS!$D$5:$D$2383,$E17,INP_PRODUCERS!$C$5:$C$2383,VLOOKUP($C17,KEY!$AE$19:$AH$60,3,FALSE)))</f>
        <v>72</v>
      </c>
      <c r="H17" s="207">
        <f>IF($C17="","",SUMIFS(INP_TRNGATT!$D$5:$D$1051,INP_TRNGATT!$C$5:$C$1051,$E17,INP_TRNGATT!$B$5:$B$1051,VLOOKUP($C17,KEY!$AE$19:$AH$60,3,FALSE)))</f>
        <v>12</v>
      </c>
      <c r="I17" s="208">
        <f>IF($C17="","",SUMIFS(INP_DATA!E$5:E$3027,INP_DATA!$B$5:$B$3027,$C17,INP_DATA!$D$5:$D$3027,$E17))</f>
        <v>81</v>
      </c>
      <c r="J17" s="99">
        <f>IF($C17="","",IF(COUNTIFS(INP_MYSSHP!$B$5:$B$985,VLOOKUP($C17,KEY!$AE$19:$AH$60,3,FALSE),INP_MYSSHP!$C$5:$C$985,$E17)=0,"N/A",SUMIFS(INP_MYSSHP!$D$5:$D$2349,INP_MYSSHP!$C$5:$C$2349,$E17,INP_MYSSHP!$B$5:$B$2349,VLOOKUP($C17,KEY!$AE$19:$AH$60,3,FALSE))))</f>
        <v>0.625</v>
      </c>
      <c r="K17" s="169">
        <f>IF($C17="","",SUMIFS(INP_DATA!F$5:F$3027,INP_DATA!$B$5:$B$3027,$C17,INP_DATA!$D$5:$D$3027,$E17))</f>
        <v>399</v>
      </c>
      <c r="L17" s="169">
        <f>IF($C17="","",SUMIFS(INP_DATA!G$5:G$3027,INP_DATA!$B$5:$B$3027,$C17,INP_DATA!$D$5:$D$3027,$E17))</f>
        <v>429</v>
      </c>
      <c r="M17" s="100">
        <f>IF($C17="","",SUMIFS(INP_DATA!H$5:H$3027,INP_DATA!$B$5:$B$3027,$C17,INP_DATA!$D$5:$D$3027,$E17))</f>
        <v>597</v>
      </c>
      <c r="N17" s="100">
        <f>IF($C17="","",SUMIFS(INP_DATA!I$5:I$3027,INP_DATA!$B$5:$B$3027,$C17,INP_DATA!$D$5:$D$3027,$E17))</f>
        <v>94</v>
      </c>
      <c r="O17" s="100">
        <f>IF($C17="","",SUMIFS(INP_DATA!J$5:J$3027,INP_DATA!$B$5:$B$3027,$C17,INP_DATA!$D$5:$D$3027,$E17))</f>
        <v>309</v>
      </c>
      <c r="P17" s="100">
        <f>IF($C17="","",SUMIFS(INP_DATA!K$5:K$3027,INP_DATA!$B$5:$B$3027,$C17,INP_DATA!$D$5:$D$3027,$E17))</f>
        <v>49</v>
      </c>
      <c r="Q17" s="100">
        <f>IF($C17="","",SUMIFS(INP_DATA!L$5:L$3027,INP_DATA!$B$5:$B$3027,$C17,INP_DATA!$D$5:$D$3027,$E17))</f>
        <v>578</v>
      </c>
      <c r="R17" s="100">
        <f>IF($C17="","",SUMIFS(INP_DATA!M$5:M$3027,INP_DATA!$B$5:$B$3027,$C17,INP_DATA!$D$5:$D$3027,$E17))</f>
        <v>244</v>
      </c>
      <c r="S17" s="100">
        <f>IF($C17="","",SUMIFS(INP_DATA!N$5:N$3027,INP_DATA!$B$5:$B$3027,$C17,INP_DATA!$D$5:$D$3027,$E17))</f>
        <v>401</v>
      </c>
      <c r="T17" s="101">
        <f>IF($C17="","",SUMIFS(INP_DATA!O$5:O$3027,INP_DATA!$B$5:$B$3027,$C17,INP_DATA!$D$5:$D$3027,$E17))</f>
        <v>616</v>
      </c>
      <c r="U17" s="102">
        <f>IF($C17="","",SUMIFS(INP_DATA!P$5:P$3027,INP_DATA!$B$5:$B$3027,$C17,INP_DATA!$D$5:$D$3027,$E17))</f>
        <v>53</v>
      </c>
      <c r="V17" s="102">
        <f>IF($C17="","",SUMIFS(INP_DATA!Q$5:Q$3027,INP_DATA!$B$5:$B$3027,$C17,INP_DATA!$D$5:$D$3027,$E17))</f>
        <v>41</v>
      </c>
      <c r="W17" s="109"/>
      <c r="X17" s="203">
        <f>COUNTIFS(INP_DATA!$R$5:$R$3027,X$6,INP_DATA!$D$5:$D$3027,$E17,INP_DATA!$B$5:$B$3027,$C17)</f>
        <v>0</v>
      </c>
      <c r="Y17" s="204">
        <f>COUNTIFS(INP_DATA!$R$5:$R$3027,Y$6,INP_DATA!$D$5:$D$3027,$E17,INP_DATA!$B$5:$B$3027,$C17)</f>
        <v>0</v>
      </c>
      <c r="AA17" s="407" t="str">
        <f t="shared" si="3"/>
        <v>BMW North Scottsdale</v>
      </c>
      <c r="AB17" s="406">
        <f t="shared" si="1"/>
        <v>0.93006993006993011</v>
      </c>
      <c r="AC17" s="406">
        <f t="shared" si="2"/>
        <v>0.5</v>
      </c>
      <c r="AD17" s="412">
        <f t="shared" si="4"/>
        <v>2.8928571428571428</v>
      </c>
      <c r="AE17" s="413">
        <f t="shared" si="5"/>
        <v>0.625</v>
      </c>
      <c r="AF17" s="406">
        <f t="shared" si="6"/>
        <v>0.15745393634840871</v>
      </c>
      <c r="AG17" s="406">
        <f t="shared" si="7"/>
        <v>0.15857605177993528</v>
      </c>
      <c r="AH17" s="406">
        <f t="shared" si="8"/>
        <v>0.77358490566037741</v>
      </c>
      <c r="AI17" s="406">
        <f t="shared" si="9"/>
        <v>0.93831168831168832</v>
      </c>
      <c r="AJ17" s="406">
        <f t="shared" si="10"/>
        <v>0.60847880299251866</v>
      </c>
    </row>
    <row r="18" spans="1:36" x14ac:dyDescent="0.35">
      <c r="A18" s="57">
        <v>12</v>
      </c>
      <c r="B18" s="3" t="str">
        <f>IF($A18&gt;KEY!$B$2,"",IFERROR(VLOOKUP($A18,KEY!$A$5:$D$74,4,FALSE),""))</f>
        <v>Texas</v>
      </c>
      <c r="C18" s="160">
        <f t="shared" si="0"/>
        <v>45992</v>
      </c>
      <c r="E18" s="3" t="str">
        <f>IF($A18&gt;KEY!$B$2,"",IFERROR(VLOOKUP($A18,KEY!$A$5:$B$74,2,FALSE),""))</f>
        <v>BMW of Austin</v>
      </c>
      <c r="F18" s="205">
        <f>IF($C18="","",SUMIFS(INP_PRODUCERS!$E$5:$E$2383,INP_PRODUCERS!$D$5:$D$2383,$E18,INP_PRODUCERS!$B$5:$B$2383,$C18))</f>
        <v>24</v>
      </c>
      <c r="G18" s="206">
        <f>IF($C18="","",SUMIFS(INP_PRODUCERS!$E$5:$E$2383,INP_PRODUCERS!$D$5:$D$2383,$E18,INP_PRODUCERS!$C$5:$C$2383,VLOOKUP($C18,KEY!$AE$19:$AH$60,3,FALSE)))</f>
        <v>69</v>
      </c>
      <c r="H18" s="207">
        <f>IF($C18="","",SUMIFS(INP_TRNGATT!$D$5:$D$1051,INP_TRNGATT!$C$5:$C$1051,$E18,INP_TRNGATT!$B$5:$B$1051,VLOOKUP($C18,KEY!$AE$19:$AH$60,3,FALSE)))</f>
        <v>20</v>
      </c>
      <c r="I18" s="208">
        <f>IF($C18="","",SUMIFS(INP_DATA!E$5:E$3027,INP_DATA!$B$5:$B$3027,$C18,INP_DATA!$D$5:$D$3027,$E18))</f>
        <v>33</v>
      </c>
      <c r="J18" s="99">
        <f>IF($C18="","",IF(COUNTIFS(INP_MYSSHP!$B$5:$B$985,VLOOKUP($C18,KEY!$AE$19:$AH$60,3,FALSE),INP_MYSSHP!$C$5:$C$985,$E18)=0,"N/A",SUMIFS(INP_MYSSHP!$D$5:$D$2349,INP_MYSSHP!$C$5:$C$2349,$E18,INP_MYSSHP!$B$5:$B$2349,VLOOKUP($C18,KEY!$AE$19:$AH$60,3,FALSE))))</f>
        <v>0.875</v>
      </c>
      <c r="K18" s="169">
        <f>IF($C18="","",SUMIFS(INP_DATA!F$5:F$3027,INP_DATA!$B$5:$B$3027,$C18,INP_DATA!$D$5:$D$3027,$E18))</f>
        <v>311</v>
      </c>
      <c r="L18" s="169">
        <f>IF($C18="","",SUMIFS(INP_DATA!G$5:G$3027,INP_DATA!$B$5:$B$3027,$C18,INP_DATA!$D$5:$D$3027,$E18))</f>
        <v>335</v>
      </c>
      <c r="M18" s="100">
        <f>IF($C18="","",SUMIFS(INP_DATA!H$5:H$3027,INP_DATA!$B$5:$B$3027,$C18,INP_DATA!$D$5:$D$3027,$E18))</f>
        <v>553</v>
      </c>
      <c r="N18" s="100">
        <f>IF($C18="","",SUMIFS(INP_DATA!I$5:I$3027,INP_DATA!$B$5:$B$3027,$C18,INP_DATA!$D$5:$D$3027,$E18))</f>
        <v>98</v>
      </c>
      <c r="O18" s="100">
        <f>IF($C18="","",SUMIFS(INP_DATA!J$5:J$3027,INP_DATA!$B$5:$B$3027,$C18,INP_DATA!$D$5:$D$3027,$E18))</f>
        <v>274</v>
      </c>
      <c r="P18" s="100">
        <f>IF($C18="","",SUMIFS(INP_DATA!K$5:K$3027,INP_DATA!$B$5:$B$3027,$C18,INP_DATA!$D$5:$D$3027,$E18))</f>
        <v>41</v>
      </c>
      <c r="Q18" s="100">
        <f>IF($C18="","",SUMIFS(INP_DATA!L$5:L$3027,INP_DATA!$B$5:$B$3027,$C18,INP_DATA!$D$5:$D$3027,$E18))</f>
        <v>443</v>
      </c>
      <c r="R18" s="100">
        <f>IF($C18="","",SUMIFS(INP_DATA!M$5:M$3027,INP_DATA!$B$5:$B$3027,$C18,INP_DATA!$D$5:$D$3027,$E18))</f>
        <v>159</v>
      </c>
      <c r="S18" s="100">
        <f>IF($C18="","",SUMIFS(INP_DATA!N$5:N$3027,INP_DATA!$B$5:$B$3027,$C18,INP_DATA!$D$5:$D$3027,$E18))</f>
        <v>312</v>
      </c>
      <c r="T18" s="101">
        <f>IF($C18="","",SUMIFS(INP_DATA!O$5:O$3027,INP_DATA!$B$5:$B$3027,$C18,INP_DATA!$D$5:$D$3027,$E18))</f>
        <v>528</v>
      </c>
      <c r="U18" s="102">
        <f>IF($C18="","",SUMIFS(INP_DATA!P$5:P$3027,INP_DATA!$B$5:$B$3027,$C18,INP_DATA!$D$5:$D$3027,$E18))</f>
        <v>40</v>
      </c>
      <c r="V18" s="102">
        <f>IF($C18="","",SUMIFS(INP_DATA!Q$5:Q$3027,INP_DATA!$B$5:$B$3027,$C18,INP_DATA!$D$5:$D$3027,$E18))</f>
        <v>32</v>
      </c>
      <c r="W18" s="109"/>
      <c r="X18" s="203">
        <f>COUNTIFS(INP_DATA!$R$5:$R$3027,X$6,INP_DATA!$D$5:$D$3027,$E18,INP_DATA!$B$5:$B$3027,$C18)</f>
        <v>0</v>
      </c>
      <c r="Y18" s="204">
        <f>COUNTIFS(INP_DATA!$R$5:$R$3027,Y$6,INP_DATA!$D$5:$D$3027,$E18,INP_DATA!$B$5:$B$3027,$C18)</f>
        <v>0</v>
      </c>
      <c r="AA18" s="407" t="str">
        <f t="shared" si="3"/>
        <v>BMW of Austin</v>
      </c>
      <c r="AB18" s="406">
        <f t="shared" si="1"/>
        <v>0.92835820895522392</v>
      </c>
      <c r="AC18" s="406">
        <f t="shared" si="2"/>
        <v>0.86956521739130432</v>
      </c>
      <c r="AD18" s="412">
        <f t="shared" si="4"/>
        <v>1.375</v>
      </c>
      <c r="AE18" s="413">
        <f t="shared" si="5"/>
        <v>0.875</v>
      </c>
      <c r="AF18" s="406">
        <f t="shared" si="6"/>
        <v>0.17721518987341772</v>
      </c>
      <c r="AG18" s="406">
        <f t="shared" si="7"/>
        <v>0.14963503649635038</v>
      </c>
      <c r="AH18" s="406">
        <f t="shared" si="8"/>
        <v>0.8</v>
      </c>
      <c r="AI18" s="406">
        <f t="shared" si="9"/>
        <v>0.83901515151515149</v>
      </c>
      <c r="AJ18" s="406">
        <f t="shared" si="10"/>
        <v>0.50961538461538458</v>
      </c>
    </row>
    <row r="19" spans="1:36" x14ac:dyDescent="0.35">
      <c r="A19" s="57">
        <v>13</v>
      </c>
      <c r="B19" s="3" t="str">
        <f>IF($A19&gt;KEY!$B$2,"",IFERROR(VLOOKUP($A19,KEY!$A$5:$D$74,4,FALSE),""))</f>
        <v>Michigan &amp; Minnesota</v>
      </c>
      <c r="C19" s="160">
        <f t="shared" si="0"/>
        <v>45992</v>
      </c>
      <c r="E19" s="3" t="str">
        <f>IF($A19&gt;KEY!$B$2,"",IFERROR(VLOOKUP($A19,KEY!$A$5:$B$74,2,FALSE),""))</f>
        <v>BMW of Bloomfield Hills</v>
      </c>
      <c r="F19" s="205">
        <f>IF($C19="","",SUMIFS(INP_PRODUCERS!$E$5:$E$2383,INP_PRODUCERS!$D$5:$D$2383,$E19,INP_PRODUCERS!$B$5:$B$2383,$C19))</f>
        <v>12</v>
      </c>
      <c r="G19" s="206">
        <f>IF($C19="","",SUMIFS(INP_PRODUCERS!$E$5:$E$2383,INP_PRODUCERS!$D$5:$D$2383,$E19,INP_PRODUCERS!$C$5:$C$2383,VLOOKUP($C19,KEY!$AE$19:$AH$60,3,FALSE)))</f>
        <v>33</v>
      </c>
      <c r="H19" s="207">
        <f>IF($C19="","",SUMIFS(INP_TRNGATT!$D$5:$D$1051,INP_TRNGATT!$C$5:$C$1051,$E19,INP_TRNGATT!$B$5:$B$1051,VLOOKUP($C19,KEY!$AE$19:$AH$60,3,FALSE)))</f>
        <v>56</v>
      </c>
      <c r="I19" s="208">
        <f>IF($C19="","",SUMIFS(INP_DATA!E$5:E$3027,INP_DATA!$B$5:$B$3027,$C19,INP_DATA!$D$5:$D$3027,$E19))</f>
        <v>8</v>
      </c>
      <c r="J19" s="99">
        <f>IF($C19="","",IF(COUNTIFS(INP_MYSSHP!$B$5:$B$985,VLOOKUP($C19,KEY!$AE$19:$AH$60,3,FALSE),INP_MYSSHP!$C$5:$C$985,$E19)=0,"N/A",SUMIFS(INP_MYSSHP!$D$5:$D$2349,INP_MYSSHP!$C$5:$C$2349,$E19,INP_MYSSHP!$B$5:$B$2349,VLOOKUP($C19,KEY!$AE$19:$AH$60,3,FALSE))))</f>
        <v>0.375</v>
      </c>
      <c r="K19" s="169">
        <f>IF($C19="","",SUMIFS(INP_DATA!F$5:F$3027,INP_DATA!$B$5:$B$3027,$C19,INP_DATA!$D$5:$D$3027,$E19))</f>
        <v>159</v>
      </c>
      <c r="L19" s="169">
        <f>IF($C19="","",SUMIFS(INP_DATA!G$5:G$3027,INP_DATA!$B$5:$B$3027,$C19,INP_DATA!$D$5:$D$3027,$E19))</f>
        <v>156</v>
      </c>
      <c r="M19" s="100">
        <f>IF($C19="","",SUMIFS(INP_DATA!H$5:H$3027,INP_DATA!$B$5:$B$3027,$C19,INP_DATA!$D$5:$D$3027,$E19))</f>
        <v>277</v>
      </c>
      <c r="N19" s="100">
        <f>IF($C19="","",SUMIFS(INP_DATA!I$5:I$3027,INP_DATA!$B$5:$B$3027,$C19,INP_DATA!$D$5:$D$3027,$E19))</f>
        <v>45</v>
      </c>
      <c r="O19" s="100">
        <f>IF($C19="","",SUMIFS(INP_DATA!J$5:J$3027,INP_DATA!$B$5:$B$3027,$C19,INP_DATA!$D$5:$D$3027,$E19))</f>
        <v>185</v>
      </c>
      <c r="P19" s="100">
        <f>IF($C19="","",SUMIFS(INP_DATA!K$5:K$3027,INP_DATA!$B$5:$B$3027,$C19,INP_DATA!$D$5:$D$3027,$E19))</f>
        <v>29</v>
      </c>
      <c r="Q19" s="100">
        <f>IF($C19="","",SUMIFS(INP_DATA!L$5:L$3027,INP_DATA!$B$5:$B$3027,$C19,INP_DATA!$D$5:$D$3027,$E19))</f>
        <v>238</v>
      </c>
      <c r="R19" s="100">
        <f>IF($C19="","",SUMIFS(INP_DATA!M$5:M$3027,INP_DATA!$B$5:$B$3027,$C19,INP_DATA!$D$5:$D$3027,$E19))</f>
        <v>83</v>
      </c>
      <c r="S19" s="100">
        <f>IF($C19="","",SUMIFS(INP_DATA!N$5:N$3027,INP_DATA!$B$5:$B$3027,$C19,INP_DATA!$D$5:$D$3027,$E19))</f>
        <v>159</v>
      </c>
      <c r="T19" s="101">
        <f>IF($C19="","",SUMIFS(INP_DATA!O$5:O$3027,INP_DATA!$B$5:$B$3027,$C19,INP_DATA!$D$5:$D$3027,$E19))</f>
        <v>264</v>
      </c>
      <c r="U19" s="102">
        <f>IF($C19="","",SUMIFS(INP_DATA!P$5:P$3027,INP_DATA!$B$5:$B$3027,$C19,INP_DATA!$D$5:$D$3027,$E19))</f>
        <v>25</v>
      </c>
      <c r="V19" s="102">
        <f>IF($C19="","",SUMIFS(INP_DATA!Q$5:Q$3027,INP_DATA!$B$5:$B$3027,$C19,INP_DATA!$D$5:$D$3027,$E19))</f>
        <v>0</v>
      </c>
      <c r="W19" s="109"/>
      <c r="X19" s="203">
        <f>COUNTIFS(INP_DATA!$R$5:$R$3027,X$6,INP_DATA!$D$5:$D$3027,$E19,INP_DATA!$B$5:$B$3027,$C19)</f>
        <v>0</v>
      </c>
      <c r="Y19" s="204">
        <f>COUNTIFS(INP_DATA!$R$5:$R$3027,Y$6,INP_DATA!$D$5:$D$3027,$E19,INP_DATA!$B$5:$B$3027,$C19)</f>
        <v>0</v>
      </c>
      <c r="AA19" s="407" t="str">
        <f t="shared" si="3"/>
        <v>BMW of Bloomfield Hills</v>
      </c>
      <c r="AB19" s="406">
        <f t="shared" si="1"/>
        <v>1.0192307692307692</v>
      </c>
      <c r="AC19" s="406">
        <f t="shared" si="2"/>
        <v>5.0909090909090908</v>
      </c>
      <c r="AD19" s="412">
        <f t="shared" si="4"/>
        <v>0.66666666666666663</v>
      </c>
      <c r="AE19" s="413">
        <f t="shared" si="5"/>
        <v>0.375</v>
      </c>
      <c r="AF19" s="406">
        <f t="shared" si="6"/>
        <v>0.16245487364620939</v>
      </c>
      <c r="AG19" s="406">
        <f t="shared" si="7"/>
        <v>0.15675675675675677</v>
      </c>
      <c r="AH19" s="406">
        <f t="shared" si="8"/>
        <v>0</v>
      </c>
      <c r="AI19" s="406">
        <f t="shared" si="9"/>
        <v>0.90151515151515149</v>
      </c>
      <c r="AJ19" s="406">
        <f t="shared" si="10"/>
        <v>0.5220125786163522</v>
      </c>
    </row>
    <row r="20" spans="1:36" x14ac:dyDescent="0.35">
      <c r="A20" s="57">
        <v>14</v>
      </c>
      <c r="B20" s="3" t="str">
        <f>IF($A20&gt;KEY!$B$2,"",IFERROR(VLOOKUP($A20,KEY!$A$5:$D$74,4,FALSE),""))</f>
        <v>Southern California</v>
      </c>
      <c r="C20" s="160">
        <f t="shared" si="0"/>
        <v>45992</v>
      </c>
      <c r="E20" s="3" t="str">
        <f>IF($A20&gt;KEY!$B$2,"",IFERROR(VLOOKUP($A20,KEY!$A$5:$B$74,2,FALSE),""))</f>
        <v>BMW/MINI of Escondido</v>
      </c>
      <c r="F20" s="205">
        <f>IF($C20="","",SUMIFS(INP_PRODUCERS!$E$5:$E$2383,INP_PRODUCERS!$D$5:$D$2383,$E20,INP_PRODUCERS!$B$5:$B$2383,$C20))</f>
        <v>9</v>
      </c>
      <c r="G20" s="206">
        <f>IF($C20="","",SUMIFS(INP_PRODUCERS!$E$5:$E$2383,INP_PRODUCERS!$D$5:$D$2383,$E20,INP_PRODUCERS!$C$5:$C$2383,VLOOKUP($C20,KEY!$AE$19:$AH$60,3,FALSE)))</f>
        <v>27</v>
      </c>
      <c r="H20" s="207">
        <f>IF($C20="","",SUMIFS(INP_TRNGATT!$D$5:$D$1051,INP_TRNGATT!$C$5:$C$1051,$E20,INP_TRNGATT!$B$5:$B$1051,VLOOKUP($C20,KEY!$AE$19:$AH$60,3,FALSE)))</f>
        <v>7</v>
      </c>
      <c r="I20" s="208">
        <f>IF($C20="","",SUMIFS(INP_DATA!E$5:E$3027,INP_DATA!$B$5:$B$3027,$C20,INP_DATA!$D$5:$D$3027,$E20))</f>
        <v>25</v>
      </c>
      <c r="J20" s="99">
        <f>IF($C20="","",IF(COUNTIFS(INP_MYSSHP!$B$5:$B$985,VLOOKUP($C20,KEY!$AE$19:$AH$60,3,FALSE),INP_MYSSHP!$C$5:$C$985,$E20)=0,"N/A",SUMIFS(INP_MYSSHP!$D$5:$D$2349,INP_MYSSHP!$C$5:$C$2349,$E20,INP_MYSSHP!$B$5:$B$2349,VLOOKUP($C20,KEY!$AE$19:$AH$60,3,FALSE))))</f>
        <v>0.625</v>
      </c>
      <c r="K20" s="169">
        <f>IF($C20="","",SUMIFS(INP_DATA!F$5:F$3027,INP_DATA!$B$5:$B$3027,$C20,INP_DATA!$D$5:$D$3027,$E20))</f>
        <v>74</v>
      </c>
      <c r="L20" s="169">
        <f>IF($C20="","",SUMIFS(INP_DATA!G$5:G$3027,INP_DATA!$B$5:$B$3027,$C20,INP_DATA!$D$5:$D$3027,$E20))</f>
        <v>101</v>
      </c>
      <c r="M20" s="100">
        <f>IF($C20="","",SUMIFS(INP_DATA!H$5:H$3027,INP_DATA!$B$5:$B$3027,$C20,INP_DATA!$D$5:$D$3027,$E20))</f>
        <v>232</v>
      </c>
      <c r="N20" s="100">
        <f>IF($C20="","",SUMIFS(INP_DATA!I$5:I$3027,INP_DATA!$B$5:$B$3027,$C20,INP_DATA!$D$5:$D$3027,$E20))</f>
        <v>17</v>
      </c>
      <c r="O20" s="100">
        <f>IF($C20="","",SUMIFS(INP_DATA!J$5:J$3027,INP_DATA!$B$5:$B$3027,$C20,INP_DATA!$D$5:$D$3027,$E20))</f>
        <v>100</v>
      </c>
      <c r="P20" s="100">
        <f>IF($C20="","",SUMIFS(INP_DATA!K$5:K$3027,INP_DATA!$B$5:$B$3027,$C20,INP_DATA!$D$5:$D$3027,$E20))</f>
        <v>12</v>
      </c>
      <c r="Q20" s="100">
        <f>IF($C20="","",SUMIFS(INP_DATA!L$5:L$3027,INP_DATA!$B$5:$B$3027,$C20,INP_DATA!$D$5:$D$3027,$E20))</f>
        <v>160</v>
      </c>
      <c r="R20" s="100">
        <f>IF($C20="","",SUMIFS(INP_DATA!M$5:M$3027,INP_DATA!$B$5:$B$3027,$C20,INP_DATA!$D$5:$D$3027,$E20))</f>
        <v>45</v>
      </c>
      <c r="S20" s="100">
        <f>IF($C20="","",SUMIFS(INP_DATA!N$5:N$3027,INP_DATA!$B$5:$B$3027,$C20,INP_DATA!$D$5:$D$3027,$E20))</f>
        <v>75</v>
      </c>
      <c r="T20" s="101">
        <f>IF($C20="","",SUMIFS(INP_DATA!O$5:O$3027,INP_DATA!$B$5:$B$3027,$C20,INP_DATA!$D$5:$D$3027,$E20))</f>
        <v>198</v>
      </c>
      <c r="U20" s="102">
        <f>IF($C20="","",SUMIFS(INP_DATA!P$5:P$3027,INP_DATA!$B$5:$B$3027,$C20,INP_DATA!$D$5:$D$3027,$E20))</f>
        <v>15</v>
      </c>
      <c r="V20" s="102">
        <f>IF($C20="","",SUMIFS(INP_DATA!Q$5:Q$3027,INP_DATA!$B$5:$B$3027,$C20,INP_DATA!$D$5:$D$3027,$E20))</f>
        <v>7</v>
      </c>
      <c r="W20" s="109"/>
      <c r="X20" s="203">
        <f>COUNTIFS(INP_DATA!$R$5:$R$3027,X$6,INP_DATA!$D$5:$D$3027,$E20,INP_DATA!$B$5:$B$3027,$C20)</f>
        <v>0</v>
      </c>
      <c r="Y20" s="204">
        <f>COUNTIFS(INP_DATA!$R$5:$R$3027,Y$6,INP_DATA!$D$5:$D$3027,$E20,INP_DATA!$B$5:$B$3027,$C20)</f>
        <v>0</v>
      </c>
      <c r="AA20" s="407" t="str">
        <f t="shared" si="3"/>
        <v>BMW/MINI of Escondido</v>
      </c>
      <c r="AB20" s="406">
        <f t="shared" si="1"/>
        <v>0.73267326732673266</v>
      </c>
      <c r="AC20" s="406">
        <f t="shared" si="2"/>
        <v>0.77777777777777779</v>
      </c>
      <c r="AD20" s="412">
        <f t="shared" si="4"/>
        <v>2.7777777777777777</v>
      </c>
      <c r="AE20" s="413">
        <f t="shared" si="5"/>
        <v>0.625</v>
      </c>
      <c r="AF20" s="406">
        <f t="shared" si="6"/>
        <v>7.3275862068965511E-2</v>
      </c>
      <c r="AG20" s="406">
        <f t="shared" si="7"/>
        <v>0.12</v>
      </c>
      <c r="AH20" s="406">
        <f t="shared" si="8"/>
        <v>0.46666666666666667</v>
      </c>
      <c r="AI20" s="406">
        <f t="shared" si="9"/>
        <v>0.80808080808080807</v>
      </c>
      <c r="AJ20" s="406">
        <f t="shared" si="10"/>
        <v>0.6</v>
      </c>
    </row>
    <row r="21" spans="1:36" x14ac:dyDescent="0.35">
      <c r="A21" s="57">
        <v>15</v>
      </c>
      <c r="B21" s="3" t="str">
        <f>IF($A21&gt;KEY!$B$2,"",IFERROR(VLOOKUP($A21,KEY!$A$5:$D$74,4,FALSE),""))</f>
        <v>Orange County</v>
      </c>
      <c r="C21" s="160">
        <f t="shared" si="0"/>
        <v>45992</v>
      </c>
      <c r="E21" s="3" t="str">
        <f>IF($A21&gt;KEY!$B$2,"",IFERROR(VLOOKUP($A21,KEY!$A$5:$B$74,2,FALSE),""))</f>
        <v>BMW of Ontario</v>
      </c>
      <c r="F21" s="205">
        <f>IF($C21="","",SUMIFS(INP_PRODUCERS!$E$5:$E$2383,INP_PRODUCERS!$D$5:$D$2383,$E21,INP_PRODUCERS!$B$5:$B$2383,$C21))</f>
        <v>20</v>
      </c>
      <c r="G21" s="206">
        <f>IF($C21="","",SUMIFS(INP_PRODUCERS!$E$5:$E$2383,INP_PRODUCERS!$D$5:$D$2383,$E21,INP_PRODUCERS!$C$5:$C$2383,VLOOKUP($C21,KEY!$AE$19:$AH$60,3,FALSE)))</f>
        <v>55</v>
      </c>
      <c r="H21" s="207">
        <f>IF($C21="","",SUMIFS(INP_TRNGATT!$D$5:$D$1051,INP_TRNGATT!$C$5:$C$1051,$E21,INP_TRNGATT!$B$5:$B$1051,VLOOKUP($C21,KEY!$AE$19:$AH$60,3,FALSE)))</f>
        <v>31</v>
      </c>
      <c r="I21" s="208">
        <f>IF($C21="","",SUMIFS(INP_DATA!E$5:E$3027,INP_DATA!$B$5:$B$3027,$C21,INP_DATA!$D$5:$D$3027,$E21))</f>
        <v>40</v>
      </c>
      <c r="J21" s="99">
        <f>IF($C21="","",IF(COUNTIFS(INP_MYSSHP!$B$5:$B$985,VLOOKUP($C21,KEY!$AE$19:$AH$60,3,FALSE),INP_MYSSHP!$C$5:$C$985,$E21)=0,"N/A",SUMIFS(INP_MYSSHP!$D$5:$D$2349,INP_MYSSHP!$C$5:$C$2349,$E21,INP_MYSSHP!$B$5:$B$2349,VLOOKUP($C21,KEY!$AE$19:$AH$60,3,FALSE))))</f>
        <v>1</v>
      </c>
      <c r="K21" s="169">
        <f>IF($C21="","",SUMIFS(INP_DATA!F$5:F$3027,INP_DATA!$B$5:$B$3027,$C21,INP_DATA!$D$5:$D$3027,$E21))</f>
        <v>361</v>
      </c>
      <c r="L21" s="169">
        <f>IF($C21="","",SUMIFS(INP_DATA!G$5:G$3027,INP_DATA!$B$5:$B$3027,$C21,INP_DATA!$D$5:$D$3027,$E21))</f>
        <v>360</v>
      </c>
      <c r="M21" s="100">
        <f>IF($C21="","",SUMIFS(INP_DATA!H$5:H$3027,INP_DATA!$B$5:$B$3027,$C21,INP_DATA!$D$5:$D$3027,$E21))</f>
        <v>0</v>
      </c>
      <c r="N21" s="100">
        <f>IF($C21="","",SUMIFS(INP_DATA!I$5:I$3027,INP_DATA!$B$5:$B$3027,$C21,INP_DATA!$D$5:$D$3027,$E21))</f>
        <v>0</v>
      </c>
      <c r="O21" s="100">
        <f>IF($C21="","",SUMIFS(INP_DATA!J$5:J$3027,INP_DATA!$B$5:$B$3027,$C21,INP_DATA!$D$5:$D$3027,$E21))</f>
        <v>0</v>
      </c>
      <c r="P21" s="100">
        <f>IF($C21="","",SUMIFS(INP_DATA!K$5:K$3027,INP_DATA!$B$5:$B$3027,$C21,INP_DATA!$D$5:$D$3027,$E21))</f>
        <v>0</v>
      </c>
      <c r="Q21" s="100">
        <f>IF($C21="","",SUMIFS(INP_DATA!L$5:L$3027,INP_DATA!$B$5:$B$3027,$C21,INP_DATA!$D$5:$D$3027,$E21))</f>
        <v>498</v>
      </c>
      <c r="R21" s="100">
        <f>IF($C21="","",SUMIFS(INP_DATA!M$5:M$3027,INP_DATA!$B$5:$B$3027,$C21,INP_DATA!$D$5:$D$3027,$E21))</f>
        <v>124</v>
      </c>
      <c r="S21" s="100">
        <f>IF($C21="","",SUMIFS(INP_DATA!N$5:N$3027,INP_DATA!$B$5:$B$3027,$C21,INP_DATA!$D$5:$D$3027,$E21))</f>
        <v>164</v>
      </c>
      <c r="T21" s="101">
        <f>IF($C21="","",SUMIFS(INP_DATA!O$5:O$3027,INP_DATA!$B$5:$B$3027,$C21,INP_DATA!$D$5:$D$3027,$E21))</f>
        <v>440</v>
      </c>
      <c r="U21" s="102">
        <f>IF($C21="","",SUMIFS(INP_DATA!P$5:P$3027,INP_DATA!$B$5:$B$3027,$C21,INP_DATA!$D$5:$D$3027,$E21))</f>
        <v>31</v>
      </c>
      <c r="V21" s="102">
        <f>IF($C21="","",SUMIFS(INP_DATA!Q$5:Q$3027,INP_DATA!$B$5:$B$3027,$C21,INP_DATA!$D$5:$D$3027,$E21))</f>
        <v>17</v>
      </c>
      <c r="W21" s="109"/>
      <c r="X21" s="203">
        <f>COUNTIFS(INP_DATA!$R$5:$R$3027,X$6,INP_DATA!$D$5:$D$3027,$E21,INP_DATA!$B$5:$B$3027,$C21)</f>
        <v>0</v>
      </c>
      <c r="Y21" s="204">
        <f>COUNTIFS(INP_DATA!$R$5:$R$3027,Y$6,INP_DATA!$D$5:$D$3027,$E21,INP_DATA!$B$5:$B$3027,$C21)</f>
        <v>0</v>
      </c>
      <c r="AA21" s="407" t="str">
        <f t="shared" si="3"/>
        <v>BMW of Ontario</v>
      </c>
      <c r="AB21" s="406">
        <f t="shared" si="1"/>
        <v>1.0027777777777778</v>
      </c>
      <c r="AC21" s="406">
        <f t="shared" si="2"/>
        <v>1.6909090909090909</v>
      </c>
      <c r="AD21" s="412">
        <f t="shared" si="4"/>
        <v>2</v>
      </c>
      <c r="AE21" s="413">
        <f t="shared" si="5"/>
        <v>1</v>
      </c>
      <c r="AF21" s="406" t="str">
        <f>IF($E21="","",IFERROR(N21/M21,"N/A"))</f>
        <v>N/A</v>
      </c>
      <c r="AG21" s="406" t="str">
        <f t="shared" si="7"/>
        <v>N/A</v>
      </c>
      <c r="AH21" s="406">
        <f t="shared" si="8"/>
        <v>0.54838709677419351</v>
      </c>
      <c r="AI21" s="406">
        <f t="shared" si="9"/>
        <v>1.1318181818181818</v>
      </c>
      <c r="AJ21" s="406">
        <f t="shared" si="10"/>
        <v>0.75609756097560976</v>
      </c>
    </row>
    <row r="22" spans="1:36" x14ac:dyDescent="0.35">
      <c r="A22" s="57">
        <v>16</v>
      </c>
      <c r="B22" s="3" t="str">
        <f>IF($A22&gt;KEY!$B$2,"",IFERROR(VLOOKUP($A22,KEY!$A$5:$D$74,4,FALSE),""))</f>
        <v>Southern California</v>
      </c>
      <c r="C22" s="160">
        <f t="shared" si="0"/>
        <v>45992</v>
      </c>
      <c r="E22" s="3" t="str">
        <f>IF($A22&gt;KEY!$B$2,"",IFERROR(VLOOKUP($A22,KEY!$A$5:$B$74,2,FALSE),""))</f>
        <v>BMW of San Diego</v>
      </c>
      <c r="F22" s="205">
        <f>IF($C22="","",SUMIFS(INP_PRODUCERS!$E$5:$E$2383,INP_PRODUCERS!$D$5:$D$2383,$E22,INP_PRODUCERS!$B$5:$B$2383,$C22))</f>
        <v>23</v>
      </c>
      <c r="G22" s="206">
        <f>IF($C22="","",SUMIFS(INP_PRODUCERS!$E$5:$E$2383,INP_PRODUCERS!$D$5:$D$2383,$E22,INP_PRODUCERS!$C$5:$C$2383,VLOOKUP($C22,KEY!$AE$19:$AH$60,3,FALSE)))</f>
        <v>65</v>
      </c>
      <c r="H22" s="207">
        <f>IF($C22="","",SUMIFS(INP_TRNGATT!$D$5:$D$1051,INP_TRNGATT!$C$5:$C$1051,$E22,INP_TRNGATT!$B$5:$B$1051,VLOOKUP($C22,KEY!$AE$19:$AH$60,3,FALSE)))</f>
        <v>39</v>
      </c>
      <c r="I22" s="208">
        <f>IF($C22="","",SUMIFS(INP_DATA!E$5:E$3027,INP_DATA!$B$5:$B$3027,$C22,INP_DATA!$D$5:$D$3027,$E22))</f>
        <v>64</v>
      </c>
      <c r="J22" s="99">
        <f>IF($C22="","",IF(COUNTIFS(INP_MYSSHP!$B$5:$B$985,VLOOKUP($C22,KEY!$AE$19:$AH$60,3,FALSE),INP_MYSSHP!$C$5:$C$985,$E22)=0,"N/A",SUMIFS(INP_MYSSHP!$D$5:$D$2349,INP_MYSSHP!$C$5:$C$2349,$E22,INP_MYSSHP!$B$5:$B$2349,VLOOKUP($C22,KEY!$AE$19:$AH$60,3,FALSE))))</f>
        <v>0.88</v>
      </c>
      <c r="K22" s="169">
        <f>IF($C22="","",SUMIFS(INP_DATA!F$5:F$3027,INP_DATA!$B$5:$B$3027,$C22,INP_DATA!$D$5:$D$3027,$E22))</f>
        <v>288</v>
      </c>
      <c r="L22" s="169">
        <f>IF($C22="","",SUMIFS(INP_DATA!G$5:G$3027,INP_DATA!$B$5:$B$3027,$C22,INP_DATA!$D$5:$D$3027,$E22))</f>
        <v>275</v>
      </c>
      <c r="M22" s="100">
        <f>IF($C22="","",SUMIFS(INP_DATA!H$5:H$3027,INP_DATA!$B$5:$B$3027,$C22,INP_DATA!$D$5:$D$3027,$E22))</f>
        <v>339</v>
      </c>
      <c r="N22" s="100">
        <f>IF($C22="","",SUMIFS(INP_DATA!I$5:I$3027,INP_DATA!$B$5:$B$3027,$C22,INP_DATA!$D$5:$D$3027,$E22))</f>
        <v>62</v>
      </c>
      <c r="O22" s="100">
        <f>IF($C22="","",SUMIFS(INP_DATA!J$5:J$3027,INP_DATA!$B$5:$B$3027,$C22,INP_DATA!$D$5:$D$3027,$E22))</f>
        <v>243</v>
      </c>
      <c r="P22" s="100">
        <f>IF($C22="","",SUMIFS(INP_DATA!K$5:K$3027,INP_DATA!$B$5:$B$3027,$C22,INP_DATA!$D$5:$D$3027,$E22))</f>
        <v>63</v>
      </c>
      <c r="Q22" s="100">
        <f>IF($C22="","",SUMIFS(INP_DATA!L$5:L$3027,INP_DATA!$B$5:$B$3027,$C22,INP_DATA!$D$5:$D$3027,$E22))</f>
        <v>486</v>
      </c>
      <c r="R22" s="100">
        <f>IF($C22="","",SUMIFS(INP_DATA!M$5:M$3027,INP_DATA!$B$5:$B$3027,$C22,INP_DATA!$D$5:$D$3027,$E22))</f>
        <v>188</v>
      </c>
      <c r="S22" s="100">
        <f>IF($C22="","",SUMIFS(INP_DATA!N$5:N$3027,INP_DATA!$B$5:$B$3027,$C22,INP_DATA!$D$5:$D$3027,$E22))</f>
        <v>290</v>
      </c>
      <c r="T22" s="101">
        <f>IF($C22="","",SUMIFS(INP_DATA!O$5:O$3027,INP_DATA!$B$5:$B$3027,$C22,INP_DATA!$D$5:$D$3027,$E22))</f>
        <v>506</v>
      </c>
      <c r="U22" s="102">
        <f>IF($C22="","",SUMIFS(INP_DATA!P$5:P$3027,INP_DATA!$B$5:$B$3027,$C22,INP_DATA!$D$5:$D$3027,$E22))</f>
        <v>50</v>
      </c>
      <c r="V22" s="102">
        <f>IF($C22="","",SUMIFS(INP_DATA!Q$5:Q$3027,INP_DATA!$B$5:$B$3027,$C22,INP_DATA!$D$5:$D$3027,$E22))</f>
        <v>41</v>
      </c>
      <c r="W22" s="109"/>
      <c r="X22" s="203">
        <f>COUNTIFS(INP_DATA!$R$5:$R$3027,X$6,INP_DATA!$D$5:$D$3027,$E22,INP_DATA!$B$5:$B$3027,$C22)</f>
        <v>0</v>
      </c>
      <c r="Y22" s="204">
        <f>COUNTIFS(INP_DATA!$R$5:$R$3027,Y$6,INP_DATA!$D$5:$D$3027,$E22,INP_DATA!$B$5:$B$3027,$C22)</f>
        <v>0</v>
      </c>
      <c r="AA22" s="407" t="str">
        <f t="shared" si="3"/>
        <v>BMW of San Diego</v>
      </c>
      <c r="AB22" s="406">
        <f t="shared" si="1"/>
        <v>1.0472727272727274</v>
      </c>
      <c r="AC22" s="406">
        <f t="shared" si="2"/>
        <v>1.7999999999999998</v>
      </c>
      <c r="AD22" s="412">
        <f t="shared" si="4"/>
        <v>2.7826086956521738</v>
      </c>
      <c r="AE22" s="413">
        <f t="shared" si="5"/>
        <v>0.88</v>
      </c>
      <c r="AF22" s="406">
        <f t="shared" si="6"/>
        <v>0.18289085545722714</v>
      </c>
      <c r="AG22" s="406">
        <f t="shared" si="7"/>
        <v>0.25925925925925924</v>
      </c>
      <c r="AH22" s="406">
        <f t="shared" si="8"/>
        <v>0.82</v>
      </c>
      <c r="AI22" s="406">
        <f t="shared" si="9"/>
        <v>0.96047430830039526</v>
      </c>
      <c r="AJ22" s="406">
        <f t="shared" si="10"/>
        <v>0.64827586206896548</v>
      </c>
    </row>
    <row r="23" spans="1:36" x14ac:dyDescent="0.35">
      <c r="A23" s="57">
        <v>17</v>
      </c>
      <c r="B23" s="3" t="str">
        <f>IF($A23&gt;KEY!$B$2,"",IFERROR(VLOOKUP($A23,KEY!$A$5:$D$74,4,FALSE),""))</f>
        <v>Northern California</v>
      </c>
      <c r="C23" s="160">
        <f t="shared" si="0"/>
        <v>45992</v>
      </c>
      <c r="E23" s="3" t="str">
        <f>IF($A23&gt;KEY!$B$2,"",IFERROR(VLOOKUP($A23,KEY!$A$5:$B$74,2,FALSE),""))</f>
        <v>Capitol Acura</v>
      </c>
      <c r="F23" s="205">
        <f>IF($C23="","",SUMIFS(INP_PRODUCERS!$E$5:$E$2383,INP_PRODUCERS!$D$5:$D$2383,$E23,INP_PRODUCERS!$B$5:$B$2383,$C23))</f>
        <v>6</v>
      </c>
      <c r="G23" s="206">
        <f>IF($C23="","",SUMIFS(INP_PRODUCERS!$E$5:$E$2383,INP_PRODUCERS!$D$5:$D$2383,$E23,INP_PRODUCERS!$C$5:$C$2383,VLOOKUP($C23,KEY!$AE$19:$AH$60,3,FALSE)))</f>
        <v>15</v>
      </c>
      <c r="H23" s="207">
        <f>IF($C23="","",SUMIFS(INP_TRNGATT!$D$5:$D$1051,INP_TRNGATT!$C$5:$C$1051,$E23,INP_TRNGATT!$B$5:$B$1051,VLOOKUP($C23,KEY!$AE$19:$AH$60,3,FALSE)))</f>
        <v>11</v>
      </c>
      <c r="I23" s="208">
        <f>IF($C23="","",SUMIFS(INP_DATA!E$5:E$3027,INP_DATA!$B$5:$B$3027,$C23,INP_DATA!$D$5:$D$3027,$E23))</f>
        <v>9</v>
      </c>
      <c r="J23" s="99">
        <f>IF($C23="","",IF(COUNTIFS(INP_MYSSHP!$B$5:$B$985,VLOOKUP($C23,KEY!$AE$19:$AH$60,3,FALSE),INP_MYSSHP!$C$5:$C$985,$E23)=0,"N/A",SUMIFS(INP_MYSSHP!$D$5:$D$2349,INP_MYSSHP!$C$5:$C$2349,$E23,INP_MYSSHP!$B$5:$B$2349,VLOOKUP($C23,KEY!$AE$19:$AH$60,3,FALSE))))</f>
        <v>0.75</v>
      </c>
      <c r="K23" s="169">
        <f>IF($C23="","",SUMIFS(INP_DATA!F$5:F$3027,INP_DATA!$B$5:$B$3027,$C23,INP_DATA!$D$5:$D$3027,$E23))</f>
        <v>60</v>
      </c>
      <c r="L23" s="169">
        <f>IF($C23="","",SUMIFS(INP_DATA!G$5:G$3027,INP_DATA!$B$5:$B$3027,$C23,INP_DATA!$D$5:$D$3027,$E23))</f>
        <v>59</v>
      </c>
      <c r="M23" s="100">
        <f>IF($C23="","",SUMIFS(INP_DATA!H$5:H$3027,INP_DATA!$B$5:$B$3027,$C23,INP_DATA!$D$5:$D$3027,$E23))</f>
        <v>142</v>
      </c>
      <c r="N23" s="100">
        <f>IF($C23="","",SUMIFS(INP_DATA!I$5:I$3027,INP_DATA!$B$5:$B$3027,$C23,INP_DATA!$D$5:$D$3027,$E23))</f>
        <v>16</v>
      </c>
      <c r="O23" s="100">
        <f>IF($C23="","",SUMIFS(INP_DATA!J$5:J$3027,INP_DATA!$B$5:$B$3027,$C23,INP_DATA!$D$5:$D$3027,$E23))</f>
        <v>35</v>
      </c>
      <c r="P23" s="100">
        <f>IF($C23="","",SUMIFS(INP_DATA!K$5:K$3027,INP_DATA!$B$5:$B$3027,$C23,INP_DATA!$D$5:$D$3027,$E23))</f>
        <v>12</v>
      </c>
      <c r="Q23" s="100">
        <f>IF($C23="","",SUMIFS(INP_DATA!L$5:L$3027,INP_DATA!$B$5:$B$3027,$C23,INP_DATA!$D$5:$D$3027,$E23))</f>
        <v>131</v>
      </c>
      <c r="R23" s="100">
        <f>IF($C23="","",SUMIFS(INP_DATA!M$5:M$3027,INP_DATA!$B$5:$B$3027,$C23,INP_DATA!$D$5:$D$3027,$E23))</f>
        <v>32</v>
      </c>
      <c r="S23" s="100">
        <f>IF($C23="","",SUMIFS(INP_DATA!N$5:N$3027,INP_DATA!$B$5:$B$3027,$C23,INP_DATA!$D$5:$D$3027,$E23))</f>
        <v>60</v>
      </c>
      <c r="T23" s="101">
        <f>IF($C23="","",SUMIFS(INP_DATA!O$5:O$3027,INP_DATA!$B$5:$B$3027,$C23,INP_DATA!$D$5:$D$3027,$E23))</f>
        <v>132</v>
      </c>
      <c r="U23" s="102">
        <f>IF($C23="","",SUMIFS(INP_DATA!P$5:P$3027,INP_DATA!$B$5:$B$3027,$C23,INP_DATA!$D$5:$D$3027,$E23))</f>
        <v>9</v>
      </c>
      <c r="V23" s="102">
        <f>IF($C23="","",SUMIFS(INP_DATA!Q$5:Q$3027,INP_DATA!$B$5:$B$3027,$C23,INP_DATA!$D$5:$D$3027,$E23))</f>
        <v>8</v>
      </c>
      <c r="W23" s="109"/>
      <c r="X23" s="203">
        <f>COUNTIFS(INP_DATA!$R$5:$R$3027,X$6,INP_DATA!$D$5:$D$3027,$E23,INP_DATA!$B$5:$B$3027,$C23)</f>
        <v>0</v>
      </c>
      <c r="Y23" s="204">
        <f>COUNTIFS(INP_DATA!$R$5:$R$3027,Y$6,INP_DATA!$D$5:$D$3027,$E23,INP_DATA!$B$5:$B$3027,$C23)</f>
        <v>0</v>
      </c>
      <c r="AA23" s="407" t="str">
        <f t="shared" si="3"/>
        <v>Capitol Acura</v>
      </c>
      <c r="AB23" s="406">
        <f t="shared" si="1"/>
        <v>1.0169491525423728</v>
      </c>
      <c r="AC23" s="406">
        <f t="shared" si="2"/>
        <v>2.2000000000000002</v>
      </c>
      <c r="AD23" s="412">
        <f t="shared" si="4"/>
        <v>1.5</v>
      </c>
      <c r="AE23" s="413">
        <f t="shared" si="5"/>
        <v>0.75</v>
      </c>
      <c r="AF23" s="406">
        <f t="shared" si="6"/>
        <v>0.11267605633802817</v>
      </c>
      <c r="AG23" s="406">
        <f t="shared" si="7"/>
        <v>0.34285714285714286</v>
      </c>
      <c r="AH23" s="406">
        <f t="shared" si="8"/>
        <v>0.88888888888888884</v>
      </c>
      <c r="AI23" s="406">
        <f t="shared" si="9"/>
        <v>0.99242424242424243</v>
      </c>
      <c r="AJ23" s="406">
        <f t="shared" si="10"/>
        <v>0.53333333333333333</v>
      </c>
    </row>
    <row r="24" spans="1:36" x14ac:dyDescent="0.35">
      <c r="A24" s="57">
        <v>18</v>
      </c>
      <c r="B24" s="3" t="str">
        <f>IF($A24&gt;KEY!$B$2,"",IFERROR(VLOOKUP($A24,KEY!$A$5:$D$74,4,FALSE),""))</f>
        <v>Northern California</v>
      </c>
      <c r="C24" s="160">
        <f t="shared" si="0"/>
        <v>45992</v>
      </c>
      <c r="E24" s="3" t="str">
        <f>IF($A24&gt;KEY!$B$2,"",IFERROR(VLOOKUP($A24,KEY!$A$5:$B$74,2,FALSE),""))</f>
        <v>Capitol Honda</v>
      </c>
      <c r="F24" s="205">
        <f>IF($C24="","",SUMIFS(INP_PRODUCERS!$E$5:$E$2383,INP_PRODUCERS!$D$5:$D$2383,$E24,INP_PRODUCERS!$B$5:$B$2383,$C24))</f>
        <v>23</v>
      </c>
      <c r="G24" s="206">
        <f>IF($C24="","",SUMIFS(INP_PRODUCERS!$E$5:$E$2383,INP_PRODUCERS!$D$5:$D$2383,$E24,INP_PRODUCERS!$C$5:$C$2383,VLOOKUP($C24,KEY!$AE$19:$AH$60,3,FALSE)))</f>
        <v>67</v>
      </c>
      <c r="H24" s="207">
        <f>IF($C24="","",SUMIFS(INP_TRNGATT!$D$5:$D$1051,INP_TRNGATT!$C$5:$C$1051,$E24,INP_TRNGATT!$B$5:$B$1051,VLOOKUP($C24,KEY!$AE$19:$AH$60,3,FALSE)))</f>
        <v>15</v>
      </c>
      <c r="I24" s="208">
        <f>IF($C24="","",SUMIFS(INP_DATA!E$5:E$3027,INP_DATA!$B$5:$B$3027,$C24,INP_DATA!$D$5:$D$3027,$E24))</f>
        <v>28</v>
      </c>
      <c r="J24" s="99">
        <f>IF($C24="","",IF(COUNTIFS(INP_MYSSHP!$B$5:$B$985,VLOOKUP($C24,KEY!$AE$19:$AH$60,3,FALSE),INP_MYSSHP!$C$5:$C$985,$E24)=0,"N/A",SUMIFS(INP_MYSSHP!$D$5:$D$2349,INP_MYSSHP!$C$5:$C$2349,$E24,INP_MYSSHP!$B$5:$B$2349,VLOOKUP($C24,KEY!$AE$19:$AH$60,3,FALSE))))</f>
        <v>0.875</v>
      </c>
      <c r="K24" s="169">
        <f>IF($C24="","",SUMIFS(INP_DATA!F$5:F$3027,INP_DATA!$B$5:$B$3027,$C24,INP_DATA!$D$5:$D$3027,$E24))</f>
        <v>227</v>
      </c>
      <c r="L24" s="169">
        <f>IF($C24="","",SUMIFS(INP_DATA!G$5:G$3027,INP_DATA!$B$5:$B$3027,$C24,INP_DATA!$D$5:$D$3027,$E24))</f>
        <v>258</v>
      </c>
      <c r="M24" s="100">
        <f>IF($C24="","",SUMIFS(INP_DATA!H$5:H$3027,INP_DATA!$B$5:$B$3027,$C24,INP_DATA!$D$5:$D$3027,$E24))</f>
        <v>482</v>
      </c>
      <c r="N24" s="100">
        <f>IF($C24="","",SUMIFS(INP_DATA!I$5:I$3027,INP_DATA!$B$5:$B$3027,$C24,INP_DATA!$D$5:$D$3027,$E24))</f>
        <v>47</v>
      </c>
      <c r="O24" s="100">
        <f>IF($C24="","",SUMIFS(INP_DATA!J$5:J$3027,INP_DATA!$B$5:$B$3027,$C24,INP_DATA!$D$5:$D$3027,$E24))</f>
        <v>124</v>
      </c>
      <c r="P24" s="100">
        <f>IF($C24="","",SUMIFS(INP_DATA!K$5:K$3027,INP_DATA!$B$5:$B$3027,$C24,INP_DATA!$D$5:$D$3027,$E24))</f>
        <v>23</v>
      </c>
      <c r="Q24" s="100">
        <f>IF($C24="","",SUMIFS(INP_DATA!L$5:L$3027,INP_DATA!$B$5:$B$3027,$C24,INP_DATA!$D$5:$D$3027,$E24))</f>
        <v>367</v>
      </c>
      <c r="R24" s="100">
        <f>IF($C24="","",SUMIFS(INP_DATA!M$5:M$3027,INP_DATA!$B$5:$B$3027,$C24,INP_DATA!$D$5:$D$3027,$E24))</f>
        <v>86</v>
      </c>
      <c r="S24" s="100">
        <f>IF($C24="","",SUMIFS(INP_DATA!N$5:N$3027,INP_DATA!$B$5:$B$3027,$C24,INP_DATA!$D$5:$D$3027,$E24))</f>
        <v>231</v>
      </c>
      <c r="T24" s="101">
        <f>IF($C24="","",SUMIFS(INP_DATA!O$5:O$3027,INP_DATA!$B$5:$B$3027,$C24,INP_DATA!$D$5:$D$3027,$E24))</f>
        <v>506</v>
      </c>
      <c r="U24" s="102">
        <f>IF($C24="","",SUMIFS(INP_DATA!P$5:P$3027,INP_DATA!$B$5:$B$3027,$C24,INP_DATA!$D$5:$D$3027,$E24))</f>
        <v>21</v>
      </c>
      <c r="V24" s="102">
        <f>IF($C24="","",SUMIFS(INP_DATA!Q$5:Q$3027,INP_DATA!$B$5:$B$3027,$C24,INP_DATA!$D$5:$D$3027,$E24))</f>
        <v>19</v>
      </c>
      <c r="W24" s="109"/>
      <c r="X24" s="203">
        <f>COUNTIFS(INP_DATA!$R$5:$R$3027,X$6,INP_DATA!$D$5:$D$3027,$E24,INP_DATA!$B$5:$B$3027,$C24)</f>
        <v>0</v>
      </c>
      <c r="Y24" s="204">
        <f>COUNTIFS(INP_DATA!$R$5:$R$3027,Y$6,INP_DATA!$D$5:$D$3027,$E24,INP_DATA!$B$5:$B$3027,$C24)</f>
        <v>0</v>
      </c>
      <c r="AA24" s="407" t="str">
        <f t="shared" si="3"/>
        <v>Capitol Honda</v>
      </c>
      <c r="AB24" s="406">
        <f t="shared" si="1"/>
        <v>0.87984496124031009</v>
      </c>
      <c r="AC24" s="406">
        <f t="shared" si="2"/>
        <v>0.67164179104477617</v>
      </c>
      <c r="AD24" s="412">
        <f t="shared" si="4"/>
        <v>1.2173913043478262</v>
      </c>
      <c r="AE24" s="413">
        <f t="shared" si="5"/>
        <v>0.875</v>
      </c>
      <c r="AF24" s="406">
        <f t="shared" si="6"/>
        <v>9.7510373443983403E-2</v>
      </c>
      <c r="AG24" s="406">
        <f t="shared" si="7"/>
        <v>0.18548387096774194</v>
      </c>
      <c r="AH24" s="406">
        <f t="shared" si="8"/>
        <v>0.90476190476190477</v>
      </c>
      <c r="AI24" s="406">
        <f t="shared" si="9"/>
        <v>0.72529644268774707</v>
      </c>
      <c r="AJ24" s="406">
        <f t="shared" si="10"/>
        <v>0.37229437229437229</v>
      </c>
    </row>
    <row r="25" spans="1:36" x14ac:dyDescent="0.35">
      <c r="A25" s="57">
        <v>19</v>
      </c>
      <c r="B25" s="3" t="str">
        <f>IF($A25&gt;KEY!$B$2,"",IFERROR(VLOOKUP($A25,KEY!$A$5:$D$74,4,FALSE),""))</f>
        <v>Orange County</v>
      </c>
      <c r="C25" s="160">
        <f t="shared" si="0"/>
        <v>45992</v>
      </c>
      <c r="E25" s="3" t="str">
        <f>IF($A25&gt;KEY!$B$2,"",IFERROR(VLOOKUP($A25,KEY!$A$5:$B$74,2,FALSE),""))</f>
        <v>Crevier BMW</v>
      </c>
      <c r="F25" s="205">
        <f>IF($C25="","",SUMIFS(INP_PRODUCERS!$E$5:$E$2383,INP_PRODUCERS!$D$5:$D$2383,$E25,INP_PRODUCERS!$B$5:$B$2383,$C25))</f>
        <v>26.5</v>
      </c>
      <c r="G25" s="206">
        <f>IF($C25="","",SUMIFS(INP_PRODUCERS!$E$5:$E$2383,INP_PRODUCERS!$D$5:$D$2383,$E25,INP_PRODUCERS!$C$5:$C$2383,VLOOKUP($C25,KEY!$AE$19:$AH$60,3,FALSE)))</f>
        <v>83</v>
      </c>
      <c r="H25" s="207">
        <f>IF($C25="","",SUMIFS(INP_TRNGATT!$D$5:$D$1051,INP_TRNGATT!$C$5:$C$1051,$E25,INP_TRNGATT!$B$5:$B$1051,VLOOKUP($C25,KEY!$AE$19:$AH$60,3,FALSE)))</f>
        <v>45</v>
      </c>
      <c r="I25" s="208">
        <f>IF($C25="","",SUMIFS(INP_DATA!E$5:E$3027,INP_DATA!$B$5:$B$3027,$C25,INP_DATA!$D$5:$D$3027,$E25))</f>
        <v>97</v>
      </c>
      <c r="J25" s="99">
        <f>IF($C25="","",IF(COUNTIFS(INP_MYSSHP!$B$5:$B$985,VLOOKUP($C25,KEY!$AE$19:$AH$60,3,FALSE),INP_MYSSHP!$C$5:$C$985,$E25)=0,"N/A",SUMIFS(INP_MYSSHP!$D$5:$D$2349,INP_MYSSHP!$C$5:$C$2349,$E25,INP_MYSSHP!$B$5:$B$2349,VLOOKUP($C25,KEY!$AE$19:$AH$60,3,FALSE))))</f>
        <v>1</v>
      </c>
      <c r="K25" s="169">
        <f>IF($C25="","",SUMIFS(INP_DATA!F$5:F$3027,INP_DATA!$B$5:$B$3027,$C25,INP_DATA!$D$5:$D$3027,$E25))</f>
        <v>556</v>
      </c>
      <c r="L25" s="169">
        <f>IF($C25="","",SUMIFS(INP_DATA!G$5:G$3027,INP_DATA!$B$5:$B$3027,$C25,INP_DATA!$D$5:$D$3027,$E25))</f>
        <v>640</v>
      </c>
      <c r="M25" s="100">
        <f>IF($C25="","",SUMIFS(INP_DATA!H$5:H$3027,INP_DATA!$B$5:$B$3027,$C25,INP_DATA!$D$5:$D$3027,$E25))</f>
        <v>757</v>
      </c>
      <c r="N25" s="100">
        <f>IF($C25="","",SUMIFS(INP_DATA!I$5:I$3027,INP_DATA!$B$5:$B$3027,$C25,INP_DATA!$D$5:$D$3027,$E25))</f>
        <v>152</v>
      </c>
      <c r="O25" s="100">
        <f>IF($C25="","",SUMIFS(INP_DATA!J$5:J$3027,INP_DATA!$B$5:$B$3027,$C25,INP_DATA!$D$5:$D$3027,$E25))</f>
        <v>433</v>
      </c>
      <c r="P25" s="100">
        <f>IF($C25="","",SUMIFS(INP_DATA!K$5:K$3027,INP_DATA!$B$5:$B$3027,$C25,INP_DATA!$D$5:$D$3027,$E25))</f>
        <v>142</v>
      </c>
      <c r="Q25" s="100">
        <f>IF($C25="","",SUMIFS(INP_DATA!L$5:L$3027,INP_DATA!$B$5:$B$3027,$C25,INP_DATA!$D$5:$D$3027,$E25))</f>
        <v>867</v>
      </c>
      <c r="R25" s="100">
        <f>IF($C25="","",SUMIFS(INP_DATA!M$5:M$3027,INP_DATA!$B$5:$B$3027,$C25,INP_DATA!$D$5:$D$3027,$E25))</f>
        <v>337</v>
      </c>
      <c r="S25" s="100">
        <f>IF($C25="","",SUMIFS(INP_DATA!N$5:N$3027,INP_DATA!$B$5:$B$3027,$C25,INP_DATA!$D$5:$D$3027,$E25))</f>
        <v>561</v>
      </c>
      <c r="T25" s="101">
        <f>IF($C25="","",SUMIFS(INP_DATA!O$5:O$3027,INP_DATA!$B$5:$B$3027,$C25,INP_DATA!$D$5:$D$3027,$E25))</f>
        <v>583</v>
      </c>
      <c r="U25" s="102">
        <f>IF($C25="","",SUMIFS(INP_DATA!P$5:P$3027,INP_DATA!$B$5:$B$3027,$C25,INP_DATA!$D$5:$D$3027,$E25))</f>
        <v>168</v>
      </c>
      <c r="V25" s="102">
        <f>IF($C25="","",SUMIFS(INP_DATA!Q$5:Q$3027,INP_DATA!$B$5:$B$3027,$C25,INP_DATA!$D$5:$D$3027,$E25))</f>
        <v>122</v>
      </c>
      <c r="W25" s="109"/>
      <c r="X25" s="203">
        <f>COUNTIFS(INP_DATA!$R$5:$R$3027,X$6,INP_DATA!$D$5:$D$3027,$E25,INP_DATA!$B$5:$B$3027,$C25)</f>
        <v>0</v>
      </c>
      <c r="Y25" s="204">
        <f>COUNTIFS(INP_DATA!$R$5:$R$3027,Y$6,INP_DATA!$D$5:$D$3027,$E25,INP_DATA!$B$5:$B$3027,$C25)</f>
        <v>0</v>
      </c>
      <c r="AA25" s="407" t="str">
        <f t="shared" si="3"/>
        <v>Crevier BMW</v>
      </c>
      <c r="AB25" s="406">
        <f t="shared" si="1"/>
        <v>0.86875000000000002</v>
      </c>
      <c r="AC25" s="406">
        <f t="shared" si="2"/>
        <v>1.6265060240963856</v>
      </c>
      <c r="AD25" s="412">
        <f t="shared" si="4"/>
        <v>3.6603773584905661</v>
      </c>
      <c r="AE25" s="413">
        <f t="shared" si="5"/>
        <v>1</v>
      </c>
      <c r="AF25" s="406">
        <f t="shared" si="6"/>
        <v>0.20079260237780713</v>
      </c>
      <c r="AG25" s="406">
        <f t="shared" si="7"/>
        <v>0.32794457274826788</v>
      </c>
      <c r="AH25" s="406">
        <f t="shared" si="8"/>
        <v>0.72619047619047616</v>
      </c>
      <c r="AI25" s="406">
        <f t="shared" si="9"/>
        <v>1.4871355060034306</v>
      </c>
      <c r="AJ25" s="406">
        <f t="shared" si="10"/>
        <v>0.60071301247771836</v>
      </c>
    </row>
    <row r="26" spans="1:36" x14ac:dyDescent="0.35">
      <c r="A26" s="57">
        <v>20</v>
      </c>
      <c r="B26" s="3" t="str">
        <f>IF($A26&gt;KEY!$B$2,"",IFERROR(VLOOKUP($A26,KEY!$A$5:$D$74,4,FALSE),""))</f>
        <v>Orange County</v>
      </c>
      <c r="C26" s="160">
        <f t="shared" si="0"/>
        <v>45992</v>
      </c>
      <c r="E26" s="3" t="str">
        <f>IF($A26&gt;KEY!$B$2,"",IFERROR(VLOOKUP($A26,KEY!$A$5:$B$74,2,FALSE),""))</f>
        <v>Crevier MINI</v>
      </c>
      <c r="F26" s="205">
        <f>IF($C26="","",SUMIFS(INP_PRODUCERS!$E$5:$E$2383,INP_PRODUCERS!$D$5:$D$2383,$E26,INP_PRODUCERS!$B$5:$B$2383,$C26))</f>
        <v>3.5</v>
      </c>
      <c r="G26" s="206">
        <f>IF($C26="","",SUMIFS(INP_PRODUCERS!$E$5:$E$2383,INP_PRODUCERS!$D$5:$D$2383,$E26,INP_PRODUCERS!$C$5:$C$2383,VLOOKUP($C26,KEY!$AE$19:$AH$60,3,FALSE)))</f>
        <v>8.5</v>
      </c>
      <c r="H26" s="207">
        <f>IF($C26="","",SUMIFS(INP_TRNGATT!$D$5:$D$1051,INP_TRNGATT!$C$5:$C$1051,$E26,INP_TRNGATT!$B$5:$B$1051,VLOOKUP($C26,KEY!$AE$19:$AH$60,3,FALSE)))</f>
        <v>15</v>
      </c>
      <c r="I26" s="208">
        <f>IF($C26="","",SUMIFS(INP_DATA!E$5:E$3027,INP_DATA!$B$5:$B$3027,$C26,INP_DATA!$D$5:$D$3027,$E26))</f>
        <v>7</v>
      </c>
      <c r="J26" s="99">
        <f>IF($C26="","",IF(COUNTIFS(INP_MYSSHP!$B$5:$B$985,VLOOKUP($C26,KEY!$AE$19:$AH$60,3,FALSE),INP_MYSSHP!$C$5:$C$985,$E26)=0,"N/A",SUMIFS(INP_MYSSHP!$D$5:$D$2349,INP_MYSSHP!$C$5:$C$2349,$E26,INP_MYSSHP!$B$5:$B$2349,VLOOKUP($C26,KEY!$AE$19:$AH$60,3,FALSE))))</f>
        <v>1</v>
      </c>
      <c r="K26" s="169">
        <f>IF($C26="","",SUMIFS(INP_DATA!F$5:F$3027,INP_DATA!$B$5:$B$3027,$C26,INP_DATA!$D$5:$D$3027,$E26))</f>
        <v>53</v>
      </c>
      <c r="L26" s="169">
        <f>IF($C26="","",SUMIFS(INP_DATA!G$5:G$3027,INP_DATA!$B$5:$B$3027,$C26,INP_DATA!$D$5:$D$3027,$E26))</f>
        <v>42</v>
      </c>
      <c r="M26" s="100">
        <f>IF($C26="","",SUMIFS(INP_DATA!H$5:H$3027,INP_DATA!$B$5:$B$3027,$C26,INP_DATA!$D$5:$D$3027,$E26))</f>
        <v>69</v>
      </c>
      <c r="N26" s="100">
        <f>IF($C26="","",SUMIFS(INP_DATA!I$5:I$3027,INP_DATA!$B$5:$B$3027,$C26,INP_DATA!$D$5:$D$3027,$E26))</f>
        <v>23</v>
      </c>
      <c r="O26" s="100">
        <f>IF($C26="","",SUMIFS(INP_DATA!J$5:J$3027,INP_DATA!$B$5:$B$3027,$C26,INP_DATA!$D$5:$D$3027,$E26))</f>
        <v>28</v>
      </c>
      <c r="P26" s="100">
        <f>IF($C26="","",SUMIFS(INP_DATA!K$5:K$3027,INP_DATA!$B$5:$B$3027,$C26,INP_DATA!$D$5:$D$3027,$E26))</f>
        <v>7</v>
      </c>
      <c r="Q26" s="100">
        <f>IF($C26="","",SUMIFS(INP_DATA!L$5:L$3027,INP_DATA!$B$5:$B$3027,$C26,INP_DATA!$D$5:$D$3027,$E26))</f>
        <v>82</v>
      </c>
      <c r="R26" s="100">
        <f>IF($C26="","",SUMIFS(INP_DATA!M$5:M$3027,INP_DATA!$B$5:$B$3027,$C26,INP_DATA!$D$5:$D$3027,$E26))</f>
        <v>44</v>
      </c>
      <c r="S26" s="100">
        <f>IF($C26="","",SUMIFS(INP_DATA!N$5:N$3027,INP_DATA!$B$5:$B$3027,$C26,INP_DATA!$D$5:$D$3027,$E26))</f>
        <v>54</v>
      </c>
      <c r="T26" s="101">
        <f>IF($C26="","",SUMIFS(INP_DATA!O$5:O$3027,INP_DATA!$B$5:$B$3027,$C26,INP_DATA!$D$5:$D$3027,$E26))</f>
        <v>77</v>
      </c>
      <c r="U26" s="102">
        <f>IF($C26="","",SUMIFS(INP_DATA!P$5:P$3027,INP_DATA!$B$5:$B$3027,$C26,INP_DATA!$D$5:$D$3027,$E26))</f>
        <v>11</v>
      </c>
      <c r="V26" s="102">
        <f>IF($C26="","",SUMIFS(INP_DATA!Q$5:Q$3027,INP_DATA!$B$5:$B$3027,$C26,INP_DATA!$D$5:$D$3027,$E26))</f>
        <v>4</v>
      </c>
      <c r="W26" s="109"/>
      <c r="X26" s="203">
        <f>COUNTIFS(INP_DATA!$R$5:$R$3027,X$6,INP_DATA!$D$5:$D$3027,$E26,INP_DATA!$B$5:$B$3027,$C26)</f>
        <v>0</v>
      </c>
      <c r="Y26" s="204">
        <f>COUNTIFS(INP_DATA!$R$5:$R$3027,Y$6,INP_DATA!$D$5:$D$3027,$E26,INP_DATA!$B$5:$B$3027,$C26)</f>
        <v>0</v>
      </c>
      <c r="AA26" s="407" t="str">
        <f t="shared" si="3"/>
        <v>Crevier MINI</v>
      </c>
      <c r="AB26" s="406">
        <f t="shared" si="1"/>
        <v>1.2619047619047619</v>
      </c>
      <c r="AC26" s="406">
        <f t="shared" si="2"/>
        <v>5.2941176470588234</v>
      </c>
      <c r="AD26" s="412">
        <f t="shared" si="4"/>
        <v>2</v>
      </c>
      <c r="AE26" s="413">
        <f t="shared" si="5"/>
        <v>1</v>
      </c>
      <c r="AF26" s="406">
        <f t="shared" si="6"/>
        <v>0.33333333333333331</v>
      </c>
      <c r="AG26" s="406">
        <f t="shared" si="7"/>
        <v>0.25</v>
      </c>
      <c r="AH26" s="406">
        <f t="shared" si="8"/>
        <v>0.36363636363636365</v>
      </c>
      <c r="AI26" s="406">
        <f t="shared" si="9"/>
        <v>1.0649350649350648</v>
      </c>
      <c r="AJ26" s="406">
        <f t="shared" si="10"/>
        <v>0.81481481481481477</v>
      </c>
    </row>
    <row r="27" spans="1:36" x14ac:dyDescent="0.35">
      <c r="A27" s="57">
        <v>21</v>
      </c>
      <c r="B27" s="3" t="str">
        <f>IF($A27&gt;KEY!$B$2,"",IFERROR(VLOOKUP($A27,KEY!$A$5:$D$74,4,FALSE),""))</f>
        <v>Wisconsin</v>
      </c>
      <c r="C27" s="160">
        <f t="shared" si="0"/>
        <v>45992</v>
      </c>
      <c r="E27" s="3" t="str">
        <f>IF($A27&gt;KEY!$B$2,"",IFERROR(VLOOKUP($A27,KEY!$A$5:$B$74,2,FALSE),""))</f>
        <v>East Madison Toyota</v>
      </c>
      <c r="F27" s="205">
        <f>IF($C27="","",SUMIFS(INP_PRODUCERS!$E$5:$E$2383,INP_PRODUCERS!$D$5:$D$2383,$E27,INP_PRODUCERS!$B$5:$B$2383,$C27))</f>
        <v>15</v>
      </c>
      <c r="G27" s="206">
        <f>IF($C27="","",SUMIFS(INP_PRODUCERS!$E$5:$E$2383,INP_PRODUCERS!$D$5:$D$2383,$E27,INP_PRODUCERS!$C$5:$C$2383,VLOOKUP($C27,KEY!$AE$19:$AH$60,3,FALSE)))</f>
        <v>42</v>
      </c>
      <c r="H27" s="207">
        <f>IF($C27="","",SUMIFS(INP_TRNGATT!$D$5:$D$1051,INP_TRNGATT!$C$5:$C$1051,$E27,INP_TRNGATT!$B$5:$B$1051,VLOOKUP($C27,KEY!$AE$19:$AH$60,3,FALSE)))</f>
        <v>33</v>
      </c>
      <c r="I27" s="208">
        <f>IF($C27="","",SUMIFS(INP_DATA!E$5:E$3027,INP_DATA!$B$5:$B$3027,$C27,INP_DATA!$D$5:$D$3027,$E27))</f>
        <v>17</v>
      </c>
      <c r="J27" s="99">
        <f>IF($C27="","",IF(COUNTIFS(INP_MYSSHP!$B$5:$B$985,VLOOKUP($C27,KEY!$AE$19:$AH$60,3,FALSE),INP_MYSSHP!$C$5:$C$985,$E27)=0,"N/A",SUMIFS(INP_MYSSHP!$D$5:$D$2349,INP_MYSSHP!$C$5:$C$2349,$E27,INP_MYSSHP!$B$5:$B$2349,VLOOKUP($C27,KEY!$AE$19:$AH$60,3,FALSE))))</f>
        <v>0.875</v>
      </c>
      <c r="K27" s="169">
        <f>IF($C27="","",SUMIFS(INP_DATA!F$5:F$3027,INP_DATA!$B$5:$B$3027,$C27,INP_DATA!$D$5:$D$3027,$E27))</f>
        <v>250</v>
      </c>
      <c r="L27" s="169">
        <f>IF($C27="","",SUMIFS(INP_DATA!G$5:G$3027,INP_DATA!$B$5:$B$3027,$C27,INP_DATA!$D$5:$D$3027,$E27))</f>
        <v>225</v>
      </c>
      <c r="M27" s="100">
        <f>IF($C27="","",SUMIFS(INP_DATA!H$5:H$3027,INP_DATA!$B$5:$B$3027,$C27,INP_DATA!$D$5:$D$3027,$E27))</f>
        <v>310</v>
      </c>
      <c r="N27" s="100">
        <f>IF($C27="","",SUMIFS(INP_DATA!I$5:I$3027,INP_DATA!$B$5:$B$3027,$C27,INP_DATA!$D$5:$D$3027,$E27))</f>
        <v>67</v>
      </c>
      <c r="O27" s="100">
        <f>IF($C27="","",SUMIFS(INP_DATA!J$5:J$3027,INP_DATA!$B$5:$B$3027,$C27,INP_DATA!$D$5:$D$3027,$E27))</f>
        <v>193</v>
      </c>
      <c r="P27" s="100">
        <f>IF($C27="","",SUMIFS(INP_DATA!K$5:K$3027,INP_DATA!$B$5:$B$3027,$C27,INP_DATA!$D$5:$D$3027,$E27))</f>
        <v>49</v>
      </c>
      <c r="Q27" s="100">
        <f>IF($C27="","",SUMIFS(INP_DATA!L$5:L$3027,INP_DATA!$B$5:$B$3027,$C27,INP_DATA!$D$5:$D$3027,$E27))</f>
        <v>290</v>
      </c>
      <c r="R27" s="100">
        <f>IF($C27="","",SUMIFS(INP_DATA!M$5:M$3027,INP_DATA!$B$5:$B$3027,$C27,INP_DATA!$D$5:$D$3027,$E27))</f>
        <v>119</v>
      </c>
      <c r="S27" s="100">
        <f>IF($C27="","",SUMIFS(INP_DATA!N$5:N$3027,INP_DATA!$B$5:$B$3027,$C27,INP_DATA!$D$5:$D$3027,$E27))</f>
        <v>250</v>
      </c>
      <c r="T27" s="101">
        <f>IF($C27="","",SUMIFS(INP_DATA!O$5:O$3027,INP_DATA!$B$5:$B$3027,$C27,INP_DATA!$D$5:$D$3027,$E27))</f>
        <v>330</v>
      </c>
      <c r="U27" s="102">
        <f>IF($C27="","",SUMIFS(INP_DATA!P$5:P$3027,INP_DATA!$B$5:$B$3027,$C27,INP_DATA!$D$5:$D$3027,$E27))</f>
        <v>7</v>
      </c>
      <c r="V27" s="102">
        <f>IF($C27="","",SUMIFS(INP_DATA!Q$5:Q$3027,INP_DATA!$B$5:$B$3027,$C27,INP_DATA!$D$5:$D$3027,$E27))</f>
        <v>2</v>
      </c>
      <c r="W27" s="109"/>
      <c r="X27" s="203">
        <f>COUNTIFS(INP_DATA!$R$5:$R$3027,X$6,INP_DATA!$D$5:$D$3027,$E27,INP_DATA!$B$5:$B$3027,$C27)</f>
        <v>0</v>
      </c>
      <c r="Y27" s="204">
        <f>COUNTIFS(INP_DATA!$R$5:$R$3027,Y$6,INP_DATA!$D$5:$D$3027,$E27,INP_DATA!$B$5:$B$3027,$C27)</f>
        <v>0</v>
      </c>
      <c r="AA27" s="407" t="str">
        <f t="shared" si="3"/>
        <v>East Madison Toyota</v>
      </c>
      <c r="AB27" s="406">
        <f t="shared" si="1"/>
        <v>1.1111111111111112</v>
      </c>
      <c r="AC27" s="406">
        <f t="shared" si="2"/>
        <v>2.3571428571428572</v>
      </c>
      <c r="AD27" s="412">
        <f t="shared" si="4"/>
        <v>1.1333333333333333</v>
      </c>
      <c r="AE27" s="413">
        <f t="shared" si="5"/>
        <v>0.875</v>
      </c>
      <c r="AF27" s="406">
        <f t="shared" si="6"/>
        <v>0.21612903225806451</v>
      </c>
      <c r="AG27" s="406">
        <f t="shared" si="7"/>
        <v>0.25388601036269431</v>
      </c>
      <c r="AH27" s="406">
        <f t="shared" si="8"/>
        <v>0.2857142857142857</v>
      </c>
      <c r="AI27" s="406">
        <f t="shared" si="9"/>
        <v>0.87878787878787878</v>
      </c>
      <c r="AJ27" s="406">
        <f t="shared" si="10"/>
        <v>0.47599999999999998</v>
      </c>
    </row>
    <row r="28" spans="1:36" x14ac:dyDescent="0.35">
      <c r="A28" s="57">
        <v>22</v>
      </c>
      <c r="B28" s="3" t="str">
        <f>IF($A28&gt;KEY!$B$2,"",IFERROR(VLOOKUP($A28,KEY!$A$5:$D$74,4,FALSE),""))</f>
        <v>Texas</v>
      </c>
      <c r="C28" s="160">
        <f t="shared" si="0"/>
        <v>45992</v>
      </c>
      <c r="E28" s="3" t="str">
        <f>IF($A28&gt;KEY!$B$2,"",IFERROR(VLOOKUP($A28,KEY!$A$5:$B$74,2,FALSE),""))</f>
        <v>Genesis of Round Rock</v>
      </c>
      <c r="F28" s="205">
        <f>IF($C28="","",SUMIFS(INP_PRODUCERS!$E$5:$E$2383,INP_PRODUCERS!$D$5:$D$2383,$E28,INP_PRODUCERS!$B$5:$B$2383,$C28))</f>
        <v>5</v>
      </c>
      <c r="G28" s="206">
        <f>IF($C28="","",SUMIFS(INP_PRODUCERS!$E$5:$E$2383,INP_PRODUCERS!$D$5:$D$2383,$E28,INP_PRODUCERS!$C$5:$C$2383,VLOOKUP($C28,KEY!$AE$19:$AH$60,3,FALSE)))</f>
        <v>22</v>
      </c>
      <c r="H28" s="207">
        <f>IF($C28="","",SUMIFS(INP_TRNGATT!$D$5:$D$1051,INP_TRNGATT!$C$5:$C$1051,$E28,INP_TRNGATT!$B$5:$B$1051,VLOOKUP($C28,KEY!$AE$19:$AH$60,3,FALSE)))</f>
        <v>0</v>
      </c>
      <c r="I28" s="208">
        <f>IF($C28="","",SUMIFS(INP_DATA!E$5:E$3027,INP_DATA!$B$5:$B$3027,$C28,INP_DATA!$D$5:$D$3027,$E28))</f>
        <v>3</v>
      </c>
      <c r="J28" s="99">
        <f>IF($C28="","",IF(COUNTIFS(INP_MYSSHP!$B$5:$B$985,VLOOKUP($C28,KEY!$AE$19:$AH$60,3,FALSE),INP_MYSSHP!$C$5:$C$985,$E28)=0,"N/A",SUMIFS(INP_MYSSHP!$D$5:$D$2349,INP_MYSSHP!$C$5:$C$2349,$E28,INP_MYSSHP!$B$5:$B$2349,VLOOKUP($C28,KEY!$AE$19:$AH$60,3,FALSE))))</f>
        <v>0.75</v>
      </c>
      <c r="K28" s="169">
        <f>IF($C28="","",SUMIFS(INP_DATA!F$5:F$3027,INP_DATA!$B$5:$B$3027,$C28,INP_DATA!$D$5:$D$3027,$E28))</f>
        <v>81</v>
      </c>
      <c r="L28" s="169">
        <f>IF($C28="","",SUMIFS(INP_DATA!G$5:G$3027,INP_DATA!$B$5:$B$3027,$C28,INP_DATA!$D$5:$D$3027,$E28))</f>
        <v>81</v>
      </c>
      <c r="M28" s="100">
        <f>IF($C28="","",SUMIFS(INP_DATA!H$5:H$3027,INP_DATA!$B$5:$B$3027,$C28,INP_DATA!$D$5:$D$3027,$E28))</f>
        <v>209</v>
      </c>
      <c r="N28" s="100">
        <f>IF($C28="","",SUMIFS(INP_DATA!I$5:I$3027,INP_DATA!$B$5:$B$3027,$C28,INP_DATA!$D$5:$D$3027,$E28))</f>
        <v>24</v>
      </c>
      <c r="O28" s="100">
        <f>IF($C28="","",SUMIFS(INP_DATA!J$5:J$3027,INP_DATA!$B$5:$B$3027,$C28,INP_DATA!$D$5:$D$3027,$E28))</f>
        <v>91</v>
      </c>
      <c r="P28" s="100">
        <f>IF($C28="","",SUMIFS(INP_DATA!K$5:K$3027,INP_DATA!$B$5:$B$3027,$C28,INP_DATA!$D$5:$D$3027,$E28))</f>
        <v>16</v>
      </c>
      <c r="Q28" s="100">
        <f>IF($C28="","",SUMIFS(INP_DATA!L$5:L$3027,INP_DATA!$B$5:$B$3027,$C28,INP_DATA!$D$5:$D$3027,$E28))</f>
        <v>99</v>
      </c>
      <c r="R28" s="100">
        <f>IF($C28="","",SUMIFS(INP_DATA!M$5:M$3027,INP_DATA!$B$5:$B$3027,$C28,INP_DATA!$D$5:$D$3027,$E28))</f>
        <v>44</v>
      </c>
      <c r="S28" s="100">
        <f>IF($C28="","",SUMIFS(INP_DATA!N$5:N$3027,INP_DATA!$B$5:$B$3027,$C28,INP_DATA!$D$5:$D$3027,$E28))</f>
        <v>84</v>
      </c>
      <c r="T28" s="101">
        <f>IF($C28="","",SUMIFS(INP_DATA!O$5:O$3027,INP_DATA!$B$5:$B$3027,$C28,INP_DATA!$D$5:$D$3027,$E28))</f>
        <v>110</v>
      </c>
      <c r="U28" s="102">
        <f>IF($C28="","",SUMIFS(INP_DATA!P$5:P$3027,INP_DATA!$B$5:$B$3027,$C28,INP_DATA!$D$5:$D$3027,$E28))</f>
        <v>0</v>
      </c>
      <c r="V28" s="102">
        <f>IF($C28="","",SUMIFS(INP_DATA!Q$5:Q$3027,INP_DATA!$B$5:$B$3027,$C28,INP_DATA!$D$5:$D$3027,$E28))</f>
        <v>0</v>
      </c>
      <c r="W28" s="109"/>
      <c r="X28" s="203">
        <f>COUNTIFS(INP_DATA!$R$5:$R$3027,X$6,INP_DATA!$D$5:$D$3027,$E28,INP_DATA!$B$5:$B$3027,$C28)</f>
        <v>0</v>
      </c>
      <c r="Y28" s="204">
        <f>COUNTIFS(INP_DATA!$R$5:$R$3027,Y$6,INP_DATA!$D$5:$D$3027,$E28,INP_DATA!$B$5:$B$3027,$C28)</f>
        <v>0</v>
      </c>
      <c r="AA28" s="407" t="str">
        <f t="shared" si="3"/>
        <v>Genesis of Round Rock</v>
      </c>
      <c r="AB28" s="406">
        <f t="shared" si="1"/>
        <v>1</v>
      </c>
      <c r="AC28" s="406">
        <f t="shared" si="2"/>
        <v>0</v>
      </c>
      <c r="AD28" s="412">
        <f t="shared" si="4"/>
        <v>0.6</v>
      </c>
      <c r="AE28" s="413">
        <f t="shared" si="5"/>
        <v>0.75</v>
      </c>
      <c r="AF28" s="406">
        <f t="shared" si="6"/>
        <v>0.11483253588516747</v>
      </c>
      <c r="AG28" s="406">
        <f t="shared" si="7"/>
        <v>0.17582417582417584</v>
      </c>
      <c r="AH28" s="406" t="str">
        <f t="shared" si="8"/>
        <v>N/A</v>
      </c>
      <c r="AI28" s="406">
        <f t="shared" si="9"/>
        <v>0.9</v>
      </c>
      <c r="AJ28" s="406">
        <f t="shared" si="10"/>
        <v>0.52380952380952384</v>
      </c>
    </row>
    <row r="29" spans="1:36" x14ac:dyDescent="0.35">
      <c r="A29" s="57">
        <v>23</v>
      </c>
      <c r="B29" s="3" t="str">
        <f>IF($A29&gt;KEY!$B$2,"",IFERROR(VLOOKUP($A29,KEY!$A$5:$D$74,4,FALSE),""))</f>
        <v>Texas</v>
      </c>
      <c r="C29" s="160">
        <f t="shared" si="0"/>
        <v>45992</v>
      </c>
      <c r="E29" s="3" t="str">
        <f>IF($A29&gt;KEY!$B$2,"",IFERROR(VLOOKUP($A29,KEY!$A$5:$B$74,2,FALSE),""))</f>
        <v>Honda Leander</v>
      </c>
      <c r="F29" s="205">
        <f>IF($C29="","",SUMIFS(INP_PRODUCERS!$E$5:$E$2383,INP_PRODUCERS!$D$5:$D$2383,$E29,INP_PRODUCERS!$B$5:$B$2383,$C29))</f>
        <v>14</v>
      </c>
      <c r="G29" s="206">
        <f>IF($C29="","",SUMIFS(INP_PRODUCERS!$E$5:$E$2383,INP_PRODUCERS!$D$5:$D$2383,$E29,INP_PRODUCERS!$C$5:$C$2383,VLOOKUP($C29,KEY!$AE$19:$AH$60,3,FALSE)))</f>
        <v>42</v>
      </c>
      <c r="H29" s="207">
        <f>IF($C29="","",SUMIFS(INP_TRNGATT!$D$5:$D$1051,INP_TRNGATT!$C$5:$C$1051,$E29,INP_TRNGATT!$B$5:$B$1051,VLOOKUP($C29,KEY!$AE$19:$AH$60,3,FALSE)))</f>
        <v>41</v>
      </c>
      <c r="I29" s="208">
        <f>IF($C29="","",SUMIFS(INP_DATA!E$5:E$3027,INP_DATA!$B$5:$B$3027,$C29,INP_DATA!$D$5:$D$3027,$E29))</f>
        <v>29</v>
      </c>
      <c r="J29" s="99">
        <f>IF($C29="","",IF(COUNTIFS(INP_MYSSHP!$B$5:$B$985,VLOOKUP($C29,KEY!$AE$19:$AH$60,3,FALSE),INP_MYSSHP!$C$5:$C$985,$E29)=0,"N/A",SUMIFS(INP_MYSSHP!$D$5:$D$2349,INP_MYSSHP!$C$5:$C$2349,$E29,INP_MYSSHP!$B$5:$B$2349,VLOOKUP($C29,KEY!$AE$19:$AH$60,3,FALSE))))</f>
        <v>1</v>
      </c>
      <c r="K29" s="169">
        <f>IF($C29="","",SUMIFS(INP_DATA!F$5:F$3027,INP_DATA!$B$5:$B$3027,$C29,INP_DATA!$D$5:$D$3027,$E29))</f>
        <v>216</v>
      </c>
      <c r="L29" s="169">
        <f>IF($C29="","",SUMIFS(INP_DATA!G$5:G$3027,INP_DATA!$B$5:$B$3027,$C29,INP_DATA!$D$5:$D$3027,$E29))</f>
        <v>198</v>
      </c>
      <c r="M29" s="100">
        <f>IF($C29="","",SUMIFS(INP_DATA!H$5:H$3027,INP_DATA!$B$5:$B$3027,$C29,INP_DATA!$D$5:$D$3027,$E29))</f>
        <v>651</v>
      </c>
      <c r="N29" s="100">
        <f>IF($C29="","",SUMIFS(INP_DATA!I$5:I$3027,INP_DATA!$B$5:$B$3027,$C29,INP_DATA!$D$5:$D$3027,$E29))</f>
        <v>87</v>
      </c>
      <c r="O29" s="100">
        <f>IF($C29="","",SUMIFS(INP_DATA!J$5:J$3027,INP_DATA!$B$5:$B$3027,$C29,INP_DATA!$D$5:$D$3027,$E29))</f>
        <v>159</v>
      </c>
      <c r="P29" s="100">
        <f>IF($C29="","",SUMIFS(INP_DATA!K$5:K$3027,INP_DATA!$B$5:$B$3027,$C29,INP_DATA!$D$5:$D$3027,$E29))</f>
        <v>34</v>
      </c>
      <c r="Q29" s="100">
        <f>IF($C29="","",SUMIFS(INP_DATA!L$5:L$3027,INP_DATA!$B$5:$B$3027,$C29,INP_DATA!$D$5:$D$3027,$E29))</f>
        <v>382</v>
      </c>
      <c r="R29" s="100">
        <f>IF($C29="","",SUMIFS(INP_DATA!M$5:M$3027,INP_DATA!$B$5:$B$3027,$C29,INP_DATA!$D$5:$D$3027,$E29))</f>
        <v>111</v>
      </c>
      <c r="S29" s="100">
        <f>IF($C29="","",SUMIFS(INP_DATA!N$5:N$3027,INP_DATA!$B$5:$B$3027,$C29,INP_DATA!$D$5:$D$3027,$E29))</f>
        <v>217</v>
      </c>
      <c r="T29" s="101">
        <f>IF($C29="","",SUMIFS(INP_DATA!O$5:O$3027,INP_DATA!$B$5:$B$3027,$C29,INP_DATA!$D$5:$D$3027,$E29))</f>
        <v>308</v>
      </c>
      <c r="U29" s="102">
        <f>IF($C29="","",SUMIFS(INP_DATA!P$5:P$3027,INP_DATA!$B$5:$B$3027,$C29,INP_DATA!$D$5:$D$3027,$E29))</f>
        <v>8</v>
      </c>
      <c r="V29" s="102">
        <f>IF($C29="","",SUMIFS(INP_DATA!Q$5:Q$3027,INP_DATA!$B$5:$B$3027,$C29,INP_DATA!$D$5:$D$3027,$E29))</f>
        <v>5</v>
      </c>
      <c r="W29" s="109"/>
      <c r="X29" s="203">
        <f>COUNTIFS(INP_DATA!$R$5:$R$3027,X$6,INP_DATA!$D$5:$D$3027,$E29,INP_DATA!$B$5:$B$3027,$C29)</f>
        <v>0</v>
      </c>
      <c r="Y29" s="204">
        <f>COUNTIFS(INP_DATA!$R$5:$R$3027,Y$6,INP_DATA!$D$5:$D$3027,$E29,INP_DATA!$B$5:$B$3027,$C29)</f>
        <v>0</v>
      </c>
      <c r="AA29" s="407" t="str">
        <f t="shared" si="3"/>
        <v>Honda Leander</v>
      </c>
      <c r="AB29" s="406">
        <f t="shared" si="1"/>
        <v>1.0909090909090908</v>
      </c>
      <c r="AC29" s="406">
        <f t="shared" si="2"/>
        <v>2.9285714285714284</v>
      </c>
      <c r="AD29" s="412">
        <f t="shared" si="4"/>
        <v>2.0714285714285716</v>
      </c>
      <c r="AE29" s="413">
        <f t="shared" si="5"/>
        <v>1</v>
      </c>
      <c r="AF29" s="406">
        <f t="shared" si="6"/>
        <v>0.13364055299539171</v>
      </c>
      <c r="AG29" s="406">
        <f t="shared" si="7"/>
        <v>0.21383647798742139</v>
      </c>
      <c r="AH29" s="406">
        <f t="shared" si="8"/>
        <v>0.625</v>
      </c>
      <c r="AI29" s="406">
        <f t="shared" si="9"/>
        <v>1.2402597402597402</v>
      </c>
      <c r="AJ29" s="406">
        <f t="shared" si="10"/>
        <v>0.51152073732718895</v>
      </c>
    </row>
    <row r="30" spans="1:36" x14ac:dyDescent="0.35">
      <c r="A30" s="57">
        <v>24</v>
      </c>
      <c r="B30" s="3" t="str">
        <f>IF($A30&gt;KEY!$B$2,"",IFERROR(VLOOKUP($A30,KEY!$A$5:$D$74,4,FALSE),""))</f>
        <v>Northern California</v>
      </c>
      <c r="C30" s="160">
        <f t="shared" si="0"/>
        <v>45992</v>
      </c>
      <c r="E30" s="3" t="str">
        <f>IF($A30&gt;KEY!$B$2,"",IFERROR(VLOOKUP($A30,KEY!$A$5:$B$74,2,FALSE),""))</f>
        <v>Honda North</v>
      </c>
      <c r="F30" s="205">
        <f>IF($C30="","",SUMIFS(INP_PRODUCERS!$E$5:$E$2383,INP_PRODUCERS!$D$5:$D$2383,$E30,INP_PRODUCERS!$B$5:$B$2383,$C30))</f>
        <v>14</v>
      </c>
      <c r="G30" s="206">
        <f>IF($C30="","",SUMIFS(INP_PRODUCERS!$E$5:$E$2383,INP_PRODUCERS!$D$5:$D$2383,$E30,INP_PRODUCERS!$C$5:$C$2383,VLOOKUP($C30,KEY!$AE$19:$AH$60,3,FALSE)))</f>
        <v>48</v>
      </c>
      <c r="H30" s="207">
        <f>IF($C30="","",SUMIFS(INP_TRNGATT!$D$5:$D$1051,INP_TRNGATT!$C$5:$C$1051,$E30,INP_TRNGATT!$B$5:$B$1051,VLOOKUP($C30,KEY!$AE$19:$AH$60,3,FALSE)))</f>
        <v>0</v>
      </c>
      <c r="I30" s="208">
        <f>IF($C30="","",SUMIFS(INP_DATA!E$5:E$3027,INP_DATA!$B$5:$B$3027,$C30,INP_DATA!$D$5:$D$3027,$E30))</f>
        <v>36</v>
      </c>
      <c r="J30" s="99">
        <f>IF($C30="","",IF(COUNTIFS(INP_MYSSHP!$B$5:$B$985,VLOOKUP($C30,KEY!$AE$19:$AH$60,3,FALSE),INP_MYSSHP!$C$5:$C$985,$E30)=0,"N/A",SUMIFS(INP_MYSSHP!$D$5:$D$2349,INP_MYSSHP!$C$5:$C$2349,$E30,INP_MYSSHP!$B$5:$B$2349,VLOOKUP($C30,KEY!$AE$19:$AH$60,3,FALSE))))</f>
        <v>0.875</v>
      </c>
      <c r="K30" s="169">
        <f>IF($C30="","",SUMIFS(INP_DATA!F$5:F$3027,INP_DATA!$B$5:$B$3027,$C30,INP_DATA!$D$5:$D$3027,$E30))</f>
        <v>161</v>
      </c>
      <c r="L30" s="169">
        <f>IF($C30="","",SUMIFS(INP_DATA!G$5:G$3027,INP_DATA!$B$5:$B$3027,$C30,INP_DATA!$D$5:$D$3027,$E30))</f>
        <v>185</v>
      </c>
      <c r="M30" s="100">
        <f>IF($C30="","",SUMIFS(INP_DATA!H$5:H$3027,INP_DATA!$B$5:$B$3027,$C30,INP_DATA!$D$5:$D$3027,$E30))</f>
        <v>295</v>
      </c>
      <c r="N30" s="100">
        <f>IF($C30="","",SUMIFS(INP_DATA!I$5:I$3027,INP_DATA!$B$5:$B$3027,$C30,INP_DATA!$D$5:$D$3027,$E30))</f>
        <v>50</v>
      </c>
      <c r="O30" s="100">
        <f>IF($C30="","",SUMIFS(INP_DATA!J$5:J$3027,INP_DATA!$B$5:$B$3027,$C30,INP_DATA!$D$5:$D$3027,$E30))</f>
        <v>148</v>
      </c>
      <c r="P30" s="100">
        <f>IF($C30="","",SUMIFS(INP_DATA!K$5:K$3027,INP_DATA!$B$5:$B$3027,$C30,INP_DATA!$D$5:$D$3027,$E30))</f>
        <v>38</v>
      </c>
      <c r="Q30" s="100">
        <f>IF($C30="","",SUMIFS(INP_DATA!L$5:L$3027,INP_DATA!$B$5:$B$3027,$C30,INP_DATA!$D$5:$D$3027,$E30))</f>
        <v>219</v>
      </c>
      <c r="R30" s="100">
        <f>IF($C30="","",SUMIFS(INP_DATA!M$5:M$3027,INP_DATA!$B$5:$B$3027,$C30,INP_DATA!$D$5:$D$3027,$E30))</f>
        <v>63</v>
      </c>
      <c r="S30" s="100">
        <f>IF($C30="","",SUMIFS(INP_DATA!N$5:N$3027,INP_DATA!$B$5:$B$3027,$C30,INP_DATA!$D$5:$D$3027,$E30))</f>
        <v>163</v>
      </c>
      <c r="T30" s="101">
        <f>IF($C30="","",SUMIFS(INP_DATA!O$5:O$3027,INP_DATA!$B$5:$B$3027,$C30,INP_DATA!$D$5:$D$3027,$E30))</f>
        <v>308</v>
      </c>
      <c r="U30" s="102">
        <f>IF($C30="","",SUMIFS(INP_DATA!P$5:P$3027,INP_DATA!$B$5:$B$3027,$C30,INP_DATA!$D$5:$D$3027,$E30))</f>
        <v>28</v>
      </c>
      <c r="V30" s="102">
        <f>IF($C30="","",SUMIFS(INP_DATA!Q$5:Q$3027,INP_DATA!$B$5:$B$3027,$C30,INP_DATA!$D$5:$D$3027,$E30))</f>
        <v>21</v>
      </c>
      <c r="W30" s="109"/>
      <c r="X30" s="203">
        <f>COUNTIFS(INP_DATA!$R$5:$R$3027,X$6,INP_DATA!$D$5:$D$3027,$E30,INP_DATA!$B$5:$B$3027,$C30)</f>
        <v>0</v>
      </c>
      <c r="Y30" s="204">
        <f>COUNTIFS(INP_DATA!$R$5:$R$3027,Y$6,INP_DATA!$D$5:$D$3027,$E30,INP_DATA!$B$5:$B$3027,$C30)</f>
        <v>0</v>
      </c>
      <c r="AA30" s="407" t="str">
        <f t="shared" si="3"/>
        <v>Honda North</v>
      </c>
      <c r="AB30" s="406">
        <f t="shared" si="1"/>
        <v>0.87027027027027026</v>
      </c>
      <c r="AC30" s="406">
        <f t="shared" si="2"/>
        <v>0</v>
      </c>
      <c r="AD30" s="412">
        <f t="shared" si="4"/>
        <v>2.5714285714285716</v>
      </c>
      <c r="AE30" s="413">
        <f t="shared" si="5"/>
        <v>0.875</v>
      </c>
      <c r="AF30" s="406">
        <f t="shared" si="6"/>
        <v>0.16949152542372881</v>
      </c>
      <c r="AG30" s="406">
        <f t="shared" si="7"/>
        <v>0.25675675675675674</v>
      </c>
      <c r="AH30" s="406">
        <f t="shared" si="8"/>
        <v>0.75</v>
      </c>
      <c r="AI30" s="406">
        <f t="shared" si="9"/>
        <v>0.71103896103896103</v>
      </c>
      <c r="AJ30" s="406">
        <f t="shared" si="10"/>
        <v>0.38650306748466257</v>
      </c>
    </row>
    <row r="31" spans="1:36" x14ac:dyDescent="0.35">
      <c r="A31" s="57">
        <v>25</v>
      </c>
      <c r="B31" s="3" t="str">
        <f>IF($A31&gt;KEY!$B$2,"",IFERROR(VLOOKUP($A31,KEY!$A$5:$D$74,4,FALSE),""))</f>
        <v>Southern California</v>
      </c>
      <c r="C31" s="160">
        <f t="shared" si="0"/>
        <v>45992</v>
      </c>
      <c r="E31" s="3" t="str">
        <f>IF($A31&gt;KEY!$B$2,"",IFERROR(VLOOKUP($A31,KEY!$A$5:$B$74,2,FALSE),""))</f>
        <v>Honda of Escondido</v>
      </c>
      <c r="F31" s="205">
        <f>IF($C31="","",SUMIFS(INP_PRODUCERS!$E$5:$E$2383,INP_PRODUCERS!$D$5:$D$2383,$E31,INP_PRODUCERS!$B$5:$B$2383,$C31))</f>
        <v>12</v>
      </c>
      <c r="G31" s="206">
        <f>IF($C31="","",SUMIFS(INP_PRODUCERS!$E$5:$E$2383,INP_PRODUCERS!$D$5:$D$2383,$E31,INP_PRODUCERS!$C$5:$C$2383,VLOOKUP($C31,KEY!$AE$19:$AH$60,3,FALSE)))</f>
        <v>34</v>
      </c>
      <c r="H31" s="207">
        <f>IF($C31="","",SUMIFS(INP_TRNGATT!$D$5:$D$1051,INP_TRNGATT!$C$5:$C$1051,$E31,INP_TRNGATT!$B$5:$B$1051,VLOOKUP($C31,KEY!$AE$19:$AH$60,3,FALSE)))</f>
        <v>1</v>
      </c>
      <c r="I31" s="208">
        <f>IF($C31="","",SUMIFS(INP_DATA!E$5:E$3027,INP_DATA!$B$5:$B$3027,$C31,INP_DATA!$D$5:$D$3027,$E31))</f>
        <v>16</v>
      </c>
      <c r="J31" s="99">
        <f>IF($C31="","",IF(COUNTIFS(INP_MYSSHP!$B$5:$B$985,VLOOKUP($C31,KEY!$AE$19:$AH$60,3,FALSE),INP_MYSSHP!$C$5:$C$985,$E31)=0,"N/A",SUMIFS(INP_MYSSHP!$D$5:$D$2349,INP_MYSSHP!$C$5:$C$2349,$E31,INP_MYSSHP!$B$5:$B$2349,VLOOKUP($C31,KEY!$AE$19:$AH$60,3,FALSE))))</f>
        <v>0.875</v>
      </c>
      <c r="K31" s="169">
        <f>IF($C31="","",SUMIFS(INP_DATA!F$5:F$3027,INP_DATA!$B$5:$B$3027,$C31,INP_DATA!$D$5:$D$3027,$E31))</f>
        <v>161</v>
      </c>
      <c r="L31" s="169">
        <f>IF($C31="","",SUMIFS(INP_DATA!G$5:G$3027,INP_DATA!$B$5:$B$3027,$C31,INP_DATA!$D$5:$D$3027,$E31))</f>
        <v>184</v>
      </c>
      <c r="M31" s="100">
        <f>IF($C31="","",SUMIFS(INP_DATA!H$5:H$3027,INP_DATA!$B$5:$B$3027,$C31,INP_DATA!$D$5:$D$3027,$E31))</f>
        <v>416</v>
      </c>
      <c r="N31" s="100">
        <f>IF($C31="","",SUMIFS(INP_DATA!I$5:I$3027,INP_DATA!$B$5:$B$3027,$C31,INP_DATA!$D$5:$D$3027,$E31))</f>
        <v>61</v>
      </c>
      <c r="O31" s="100">
        <f>IF($C31="","",SUMIFS(INP_DATA!J$5:J$3027,INP_DATA!$B$5:$B$3027,$C31,INP_DATA!$D$5:$D$3027,$E31))</f>
        <v>159</v>
      </c>
      <c r="P31" s="100">
        <f>IF($C31="","",SUMIFS(INP_DATA!K$5:K$3027,INP_DATA!$B$5:$B$3027,$C31,INP_DATA!$D$5:$D$3027,$E31))</f>
        <v>25</v>
      </c>
      <c r="Q31" s="100">
        <f>IF($C31="","",SUMIFS(INP_DATA!L$5:L$3027,INP_DATA!$B$5:$B$3027,$C31,INP_DATA!$D$5:$D$3027,$E31))</f>
        <v>205</v>
      </c>
      <c r="R31" s="100">
        <f>IF($C31="","",SUMIFS(INP_DATA!M$5:M$3027,INP_DATA!$B$5:$B$3027,$C31,INP_DATA!$D$5:$D$3027,$E31))</f>
        <v>79</v>
      </c>
      <c r="S31" s="100">
        <f>IF($C31="","",SUMIFS(INP_DATA!N$5:N$3027,INP_DATA!$B$5:$B$3027,$C31,INP_DATA!$D$5:$D$3027,$E31))</f>
        <v>164</v>
      </c>
      <c r="T31" s="101">
        <f>IF($C31="","",SUMIFS(INP_DATA!O$5:O$3027,INP_DATA!$B$5:$B$3027,$C31,INP_DATA!$D$5:$D$3027,$E31))</f>
        <v>264</v>
      </c>
      <c r="U31" s="102">
        <f>IF($C31="","",SUMIFS(INP_DATA!P$5:P$3027,INP_DATA!$B$5:$B$3027,$C31,INP_DATA!$D$5:$D$3027,$E31))</f>
        <v>14</v>
      </c>
      <c r="V31" s="102">
        <f>IF($C31="","",SUMIFS(INP_DATA!Q$5:Q$3027,INP_DATA!$B$5:$B$3027,$C31,INP_DATA!$D$5:$D$3027,$E31))</f>
        <v>11</v>
      </c>
      <c r="W31" s="109"/>
      <c r="X31" s="203">
        <f>COUNTIFS(INP_DATA!$R$5:$R$3027,X$6,INP_DATA!$D$5:$D$3027,$E31,INP_DATA!$B$5:$B$3027,$C31)</f>
        <v>0</v>
      </c>
      <c r="Y31" s="204">
        <f>COUNTIFS(INP_DATA!$R$5:$R$3027,Y$6,INP_DATA!$D$5:$D$3027,$E31,INP_DATA!$B$5:$B$3027,$C31)</f>
        <v>0</v>
      </c>
      <c r="AA31" s="407" t="str">
        <f t="shared" si="3"/>
        <v>Honda of Escondido</v>
      </c>
      <c r="AB31" s="406">
        <f t="shared" si="1"/>
        <v>0.875</v>
      </c>
      <c r="AC31" s="406">
        <f t="shared" si="2"/>
        <v>8.8235294117647051E-2</v>
      </c>
      <c r="AD31" s="412">
        <f t="shared" si="4"/>
        <v>1.3333333333333333</v>
      </c>
      <c r="AE31" s="413">
        <f t="shared" si="5"/>
        <v>0.875</v>
      </c>
      <c r="AF31" s="406">
        <f t="shared" si="6"/>
        <v>0.14663461538461539</v>
      </c>
      <c r="AG31" s="406">
        <f t="shared" si="7"/>
        <v>0.15723270440251572</v>
      </c>
      <c r="AH31" s="406">
        <f t="shared" si="8"/>
        <v>0.7857142857142857</v>
      </c>
      <c r="AI31" s="406">
        <f t="shared" si="9"/>
        <v>0.77651515151515149</v>
      </c>
      <c r="AJ31" s="406">
        <f t="shared" si="10"/>
        <v>0.48170731707317072</v>
      </c>
    </row>
    <row r="32" spans="1:36" x14ac:dyDescent="0.35">
      <c r="A32" s="57">
        <v>26</v>
      </c>
      <c r="B32" s="3" t="str">
        <f>IF($A32&gt;KEY!$B$2,"",IFERROR(VLOOKUP($A32,KEY!$A$5:$D$74,4,FALSE),""))</f>
        <v>Texas</v>
      </c>
      <c r="C32" s="160">
        <f t="shared" si="0"/>
        <v>45992</v>
      </c>
      <c r="E32" s="3" t="str">
        <f>IF($A32&gt;KEY!$B$2,"",IFERROR(VLOOKUP($A32,KEY!$A$5:$B$74,2,FALSE),""))</f>
        <v>Hyundai of Leander</v>
      </c>
      <c r="F32" s="205">
        <f>IF($C32="","",SUMIFS(INP_PRODUCERS!$E$5:$E$2383,INP_PRODUCERS!$D$5:$D$2383,$E32,INP_PRODUCERS!$B$5:$B$2383,$C32))</f>
        <v>7</v>
      </c>
      <c r="G32" s="206">
        <f>IF($C32="","",SUMIFS(INP_PRODUCERS!$E$5:$E$2383,INP_PRODUCERS!$D$5:$D$2383,$E32,INP_PRODUCERS!$C$5:$C$2383,VLOOKUP($C32,KEY!$AE$19:$AH$60,3,FALSE)))</f>
        <v>24</v>
      </c>
      <c r="H32" s="207">
        <f>IF($C32="","",SUMIFS(INP_TRNGATT!$D$5:$D$1051,INP_TRNGATT!$C$5:$C$1051,$E32,INP_TRNGATT!$B$5:$B$1051,VLOOKUP($C32,KEY!$AE$19:$AH$60,3,FALSE)))</f>
        <v>9</v>
      </c>
      <c r="I32" s="208">
        <f>IF($C32="","",SUMIFS(INP_DATA!E$5:E$3027,INP_DATA!$B$5:$B$3027,$C32,INP_DATA!$D$5:$D$3027,$E32))</f>
        <v>0</v>
      </c>
      <c r="J32" s="99">
        <f>IF($C32="","",IF(COUNTIFS(INP_MYSSHP!$B$5:$B$985,VLOOKUP($C32,KEY!$AE$19:$AH$60,3,FALSE),INP_MYSSHP!$C$5:$C$985,$E32)=0,"N/A",SUMIFS(INP_MYSSHP!$D$5:$D$2349,INP_MYSSHP!$C$5:$C$2349,$E32,INP_MYSSHP!$B$5:$B$2349,VLOOKUP($C32,KEY!$AE$19:$AH$60,3,FALSE))))</f>
        <v>0.625</v>
      </c>
      <c r="K32" s="169">
        <f>IF($C32="","",SUMIFS(INP_DATA!F$5:F$3027,INP_DATA!$B$5:$B$3027,$C32,INP_DATA!$D$5:$D$3027,$E32))</f>
        <v>145</v>
      </c>
      <c r="L32" s="169">
        <f>IF($C32="","",SUMIFS(INP_DATA!G$5:G$3027,INP_DATA!$B$5:$B$3027,$C32,INP_DATA!$D$5:$D$3027,$E32))</f>
        <v>0</v>
      </c>
      <c r="M32" s="100">
        <f>IF($C32="","",SUMIFS(INP_DATA!H$5:H$3027,INP_DATA!$B$5:$B$3027,$C32,INP_DATA!$D$5:$D$3027,$E32))</f>
        <v>399</v>
      </c>
      <c r="N32" s="100">
        <f>IF($C32="","",SUMIFS(INP_DATA!I$5:I$3027,INP_DATA!$B$5:$B$3027,$C32,INP_DATA!$D$5:$D$3027,$E32))</f>
        <v>42</v>
      </c>
      <c r="O32" s="100">
        <f>IF($C32="","",SUMIFS(INP_DATA!J$5:J$3027,INP_DATA!$B$5:$B$3027,$C32,INP_DATA!$D$5:$D$3027,$E32))</f>
        <v>160</v>
      </c>
      <c r="P32" s="100">
        <f>IF($C32="","",SUMIFS(INP_DATA!K$5:K$3027,INP_DATA!$B$5:$B$3027,$C32,INP_DATA!$D$5:$D$3027,$E32))</f>
        <v>12</v>
      </c>
      <c r="Q32" s="100">
        <f>IF($C32="","",SUMIFS(INP_DATA!L$5:L$3027,INP_DATA!$B$5:$B$3027,$C32,INP_DATA!$D$5:$D$3027,$E32))</f>
        <v>186</v>
      </c>
      <c r="R32" s="100">
        <f>IF($C32="","",SUMIFS(INP_DATA!M$5:M$3027,INP_DATA!$B$5:$B$3027,$C32,INP_DATA!$D$5:$D$3027,$E32))</f>
        <v>51</v>
      </c>
      <c r="S32" s="100">
        <f>IF($C32="","",SUMIFS(INP_DATA!N$5:N$3027,INP_DATA!$B$5:$B$3027,$C32,INP_DATA!$D$5:$D$3027,$E32))</f>
        <v>151</v>
      </c>
      <c r="T32" s="101">
        <f>IF($C32="","",SUMIFS(INP_DATA!O$5:O$3027,INP_DATA!$B$5:$B$3027,$C32,INP_DATA!$D$5:$D$3027,$E32))</f>
        <v>154</v>
      </c>
      <c r="U32" s="102">
        <f>IF($C32="","",SUMIFS(INP_DATA!P$5:P$3027,INP_DATA!$B$5:$B$3027,$C32,INP_DATA!$D$5:$D$3027,$E32))</f>
        <v>0</v>
      </c>
      <c r="V32" s="102">
        <f>IF($C32="","",SUMIFS(INP_DATA!Q$5:Q$3027,INP_DATA!$B$5:$B$3027,$C32,INP_DATA!$D$5:$D$3027,$E32))</f>
        <v>0</v>
      </c>
      <c r="W32" s="109"/>
      <c r="X32" s="203"/>
      <c r="Y32" s="204"/>
      <c r="AA32" s="407" t="str">
        <f t="shared" si="3"/>
        <v>Hyundai of Leander</v>
      </c>
      <c r="AB32" s="406" t="str">
        <f t="shared" si="1"/>
        <v>N/A</v>
      </c>
      <c r="AC32" s="406">
        <f t="shared" si="2"/>
        <v>1.125</v>
      </c>
      <c r="AD32" s="412">
        <f t="shared" si="4"/>
        <v>0</v>
      </c>
      <c r="AE32" s="413">
        <f t="shared" si="5"/>
        <v>0.625</v>
      </c>
      <c r="AF32" s="406">
        <f t="shared" si="6"/>
        <v>0.10526315789473684</v>
      </c>
      <c r="AG32" s="406">
        <f t="shared" si="7"/>
        <v>7.4999999999999997E-2</v>
      </c>
      <c r="AH32" s="406" t="str">
        <f t="shared" si="8"/>
        <v>N/A</v>
      </c>
      <c r="AI32" s="406">
        <f t="shared" si="9"/>
        <v>1.2077922077922079</v>
      </c>
      <c r="AJ32" s="406">
        <f t="shared" si="10"/>
        <v>0.33774834437086093</v>
      </c>
    </row>
    <row r="33" spans="1:36" x14ac:dyDescent="0.35">
      <c r="A33" s="57">
        <v>27</v>
      </c>
      <c r="B33" s="3" t="str">
        <f>IF($A33&gt;KEY!$B$2,"",IFERROR(VLOOKUP($A33,KEY!$A$5:$D$74,4,FALSE),""))</f>
        <v>Southern California</v>
      </c>
      <c r="C33" s="160">
        <f t="shared" si="0"/>
        <v>45992</v>
      </c>
      <c r="E33" s="3" t="str">
        <f>IF($A33&gt;KEY!$B$2,"",IFERROR(VLOOKUP($A33,KEY!$A$5:$B$74,2,FALSE),""))</f>
        <v>Kearny Mesa Toyota</v>
      </c>
      <c r="F33" s="205">
        <f>IF($C33="","",SUMIFS(INP_PRODUCERS!$E$5:$E$2383,INP_PRODUCERS!$D$5:$D$2383,$E33,INP_PRODUCERS!$B$5:$B$2383,$C33))</f>
        <v>19</v>
      </c>
      <c r="G33" s="206">
        <f>IF($C33="","",SUMIFS(INP_PRODUCERS!$E$5:$E$2383,INP_PRODUCERS!$D$5:$D$2383,$E33,INP_PRODUCERS!$C$5:$C$2383,VLOOKUP($C33,KEY!$AE$19:$AH$60,3,FALSE)))</f>
        <v>46</v>
      </c>
      <c r="H33" s="207">
        <f>IF($C33="","",SUMIFS(INP_TRNGATT!$D$5:$D$1051,INP_TRNGATT!$C$5:$C$1051,$E33,INP_TRNGATT!$B$5:$B$1051,VLOOKUP($C33,KEY!$AE$19:$AH$60,3,FALSE)))</f>
        <v>1</v>
      </c>
      <c r="I33" s="208">
        <f>IF($C33="","",SUMIFS(INP_DATA!E$5:E$3027,INP_DATA!$B$5:$B$3027,$C33,INP_DATA!$D$5:$D$3027,$E33))</f>
        <v>33</v>
      </c>
      <c r="J33" s="99">
        <f>IF($C33="","",IF(COUNTIFS(INP_MYSSHP!$B$5:$B$985,VLOOKUP($C33,KEY!$AE$19:$AH$60,3,FALSE),INP_MYSSHP!$C$5:$C$985,$E33)=0,"N/A",SUMIFS(INP_MYSSHP!$D$5:$D$2349,INP_MYSSHP!$C$5:$C$2349,$E33,INP_MYSSHP!$B$5:$B$2349,VLOOKUP($C33,KEY!$AE$19:$AH$60,3,FALSE))))</f>
        <v>1</v>
      </c>
      <c r="K33" s="169">
        <f>IF($C33="","",SUMIFS(INP_DATA!F$5:F$3027,INP_DATA!$B$5:$B$3027,$C33,INP_DATA!$D$5:$D$3027,$E33))</f>
        <v>217</v>
      </c>
      <c r="L33" s="169">
        <f>IF($C33="","",SUMIFS(INP_DATA!G$5:G$3027,INP_DATA!$B$5:$B$3027,$C33,INP_DATA!$D$5:$D$3027,$E33))</f>
        <v>242</v>
      </c>
      <c r="M33" s="100">
        <f>IF($C33="","",SUMIFS(INP_DATA!H$5:H$3027,INP_DATA!$B$5:$B$3027,$C33,INP_DATA!$D$5:$D$3027,$E33))</f>
        <v>550</v>
      </c>
      <c r="N33" s="100">
        <f>IF($C33="","",SUMIFS(INP_DATA!I$5:I$3027,INP_DATA!$B$5:$B$3027,$C33,INP_DATA!$D$5:$D$3027,$E33))</f>
        <v>76</v>
      </c>
      <c r="O33" s="100">
        <f>IF($C33="","",SUMIFS(INP_DATA!J$5:J$3027,INP_DATA!$B$5:$B$3027,$C33,INP_DATA!$D$5:$D$3027,$E33))</f>
        <v>291</v>
      </c>
      <c r="P33" s="100">
        <f>IF($C33="","",SUMIFS(INP_DATA!K$5:K$3027,INP_DATA!$B$5:$B$3027,$C33,INP_DATA!$D$5:$D$3027,$E33))</f>
        <v>71</v>
      </c>
      <c r="Q33" s="100">
        <f>IF($C33="","",SUMIFS(INP_DATA!L$5:L$3027,INP_DATA!$B$5:$B$3027,$C33,INP_DATA!$D$5:$D$3027,$E33))</f>
        <v>499</v>
      </c>
      <c r="R33" s="100">
        <f>IF($C33="","",SUMIFS(INP_DATA!M$5:M$3027,INP_DATA!$B$5:$B$3027,$C33,INP_DATA!$D$5:$D$3027,$E33))</f>
        <v>117</v>
      </c>
      <c r="S33" s="100">
        <f>IF($C33="","",SUMIFS(INP_DATA!N$5:N$3027,INP_DATA!$B$5:$B$3027,$C33,INP_DATA!$D$5:$D$3027,$E33))</f>
        <v>217</v>
      </c>
      <c r="T33" s="101">
        <f>IF($C33="","",SUMIFS(INP_DATA!O$5:O$3027,INP_DATA!$B$5:$B$3027,$C33,INP_DATA!$D$5:$D$3027,$E33))</f>
        <v>418</v>
      </c>
      <c r="U33" s="102">
        <f>IF($C33="","",SUMIFS(INP_DATA!P$5:P$3027,INP_DATA!$B$5:$B$3027,$C33,INP_DATA!$D$5:$D$3027,$E33))</f>
        <v>10</v>
      </c>
      <c r="V33" s="102">
        <f>IF($C33="","",SUMIFS(INP_DATA!Q$5:Q$3027,INP_DATA!$B$5:$B$3027,$C33,INP_DATA!$D$5:$D$3027,$E33))</f>
        <v>7</v>
      </c>
      <c r="W33" s="109"/>
      <c r="X33" s="203"/>
      <c r="Y33" s="204"/>
      <c r="AA33" s="407" t="str">
        <f t="shared" si="3"/>
        <v>Kearny Mesa Toyota</v>
      </c>
      <c r="AB33" s="406">
        <f t="shared" si="1"/>
        <v>0.89669421487603307</v>
      </c>
      <c r="AC33" s="406">
        <f t="shared" si="2"/>
        <v>6.5217391304347824E-2</v>
      </c>
      <c r="AD33" s="412">
        <f t="shared" si="4"/>
        <v>1.736842105263158</v>
      </c>
      <c r="AE33" s="413">
        <f t="shared" si="5"/>
        <v>1</v>
      </c>
      <c r="AF33" s="406">
        <f t="shared" si="6"/>
        <v>0.13818181818181818</v>
      </c>
      <c r="AG33" s="406">
        <f t="shared" si="7"/>
        <v>0.24398625429553264</v>
      </c>
      <c r="AH33" s="406">
        <f t="shared" si="8"/>
        <v>0.7</v>
      </c>
      <c r="AI33" s="406">
        <f t="shared" si="9"/>
        <v>1.1937799043062201</v>
      </c>
      <c r="AJ33" s="406">
        <f t="shared" si="10"/>
        <v>0.53917050691244239</v>
      </c>
    </row>
    <row r="34" spans="1:36" x14ac:dyDescent="0.35">
      <c r="A34" s="57">
        <v>28</v>
      </c>
      <c r="B34" s="3" t="str">
        <f>IF($A34&gt;KEY!$B$2,"",IFERROR(VLOOKUP($A34,KEY!$A$5:$D$74,4,FALSE),""))</f>
        <v>Arizona</v>
      </c>
      <c r="C34" s="160">
        <f t="shared" si="0"/>
        <v>45992</v>
      </c>
      <c r="E34" s="3" t="str">
        <f>IF($A34&gt;KEY!$B$2,"",IFERROR(VLOOKUP($A34,KEY!$A$5:$B$74,2,FALSE),""))</f>
        <v>Lamborghini North Scottsdale</v>
      </c>
      <c r="F34" s="205">
        <f>IF($C34="","",SUMIFS(INP_PRODUCERS!$E$5:$E$2383,INP_PRODUCERS!$D$5:$D$2383,$E34,INP_PRODUCERS!$B$5:$B$2383,$C34))</f>
        <v>1</v>
      </c>
      <c r="G34" s="206">
        <f>IF($C34="","",SUMIFS(INP_PRODUCERS!$E$5:$E$2383,INP_PRODUCERS!$D$5:$D$2383,$E34,INP_PRODUCERS!$C$5:$C$2383,VLOOKUP($C34,KEY!$AE$19:$AH$60,3,FALSE)))</f>
        <v>3</v>
      </c>
      <c r="H34" s="207">
        <f>IF($C34="","",SUMIFS(INP_TRNGATT!$D$5:$D$1051,INP_TRNGATT!$C$5:$C$1051,$E34,INP_TRNGATT!$B$5:$B$1051,VLOOKUP($C34,KEY!$AE$19:$AH$60,3,FALSE)))</f>
        <v>6</v>
      </c>
      <c r="I34" s="208">
        <f>IF($C34="","",SUMIFS(INP_DATA!E$5:E$3027,INP_DATA!$B$5:$B$3027,$C34,INP_DATA!$D$5:$D$3027,$E34))</f>
        <v>4</v>
      </c>
      <c r="J34" s="99">
        <f>IF($C34="","",IF(COUNTIFS(INP_MYSSHP!$B$5:$B$985,VLOOKUP($C34,KEY!$AE$19:$AH$60,3,FALSE),INP_MYSSHP!$C$5:$C$985,$E34)=0,"N/A",SUMIFS(INP_MYSSHP!$D$5:$D$2349,INP_MYSSHP!$C$5:$C$2349,$E34,INP_MYSSHP!$B$5:$B$2349,VLOOKUP($C34,KEY!$AE$19:$AH$60,3,FALSE))))</f>
        <v>0.625</v>
      </c>
      <c r="K34" s="169">
        <f>IF($C34="","",SUMIFS(INP_DATA!F$5:F$3027,INP_DATA!$B$5:$B$3027,$C34,INP_DATA!$D$5:$D$3027,$E34))</f>
        <v>19</v>
      </c>
      <c r="L34" s="169">
        <f>IF($C34="","",SUMIFS(INP_DATA!G$5:G$3027,INP_DATA!$B$5:$B$3027,$C34,INP_DATA!$D$5:$D$3027,$E34))</f>
        <v>13</v>
      </c>
      <c r="M34" s="100">
        <f>IF($C34="","",SUMIFS(INP_DATA!H$5:H$3027,INP_DATA!$B$5:$B$3027,$C34,INP_DATA!$D$5:$D$3027,$E34))</f>
        <v>13</v>
      </c>
      <c r="N34" s="100">
        <f>IF($C34="","",SUMIFS(INP_DATA!I$5:I$3027,INP_DATA!$B$5:$B$3027,$C34,INP_DATA!$D$5:$D$3027,$E34))</f>
        <v>3</v>
      </c>
      <c r="O34" s="100">
        <f>IF($C34="","",SUMIFS(INP_DATA!J$5:J$3027,INP_DATA!$B$5:$B$3027,$C34,INP_DATA!$D$5:$D$3027,$E34))</f>
        <v>28</v>
      </c>
      <c r="P34" s="100">
        <f>IF($C34="","",SUMIFS(INP_DATA!K$5:K$3027,INP_DATA!$B$5:$B$3027,$C34,INP_DATA!$D$5:$D$3027,$E34))</f>
        <v>9</v>
      </c>
      <c r="Q34" s="100">
        <f>IF($C34="","",SUMIFS(INP_DATA!L$5:L$3027,INP_DATA!$B$5:$B$3027,$C34,INP_DATA!$D$5:$D$3027,$E34))</f>
        <v>33</v>
      </c>
      <c r="R34" s="100">
        <f>IF($C34="","",SUMIFS(INP_DATA!M$5:M$3027,INP_DATA!$B$5:$B$3027,$C34,INP_DATA!$D$5:$D$3027,$E34))</f>
        <v>5</v>
      </c>
      <c r="S34" s="100">
        <f>IF($C34="","",SUMIFS(INP_DATA!N$5:N$3027,INP_DATA!$B$5:$B$3027,$C34,INP_DATA!$D$5:$D$3027,$E34))</f>
        <v>20</v>
      </c>
      <c r="T34" s="101">
        <f>IF($C34="","",SUMIFS(INP_DATA!O$5:O$3027,INP_DATA!$B$5:$B$3027,$C34,INP_DATA!$D$5:$D$3027,$E34))</f>
        <v>12</v>
      </c>
      <c r="U34" s="102">
        <f>IF($C34="","",SUMIFS(INP_DATA!P$5:P$3027,INP_DATA!$B$5:$B$3027,$C34,INP_DATA!$D$5:$D$3027,$E34))</f>
        <v>0</v>
      </c>
      <c r="V34" s="102">
        <f>IF($C34="","",SUMIFS(INP_DATA!Q$5:Q$3027,INP_DATA!$B$5:$B$3027,$C34,INP_DATA!$D$5:$D$3027,$E34))</f>
        <v>0</v>
      </c>
      <c r="W34" s="109"/>
      <c r="X34" s="203"/>
      <c r="Y34" s="204"/>
      <c r="AA34" s="407" t="str">
        <f t="shared" si="3"/>
        <v>Lamborghini North Scottsdale</v>
      </c>
      <c r="AB34" s="406">
        <f t="shared" si="1"/>
        <v>1.4615384615384615</v>
      </c>
      <c r="AC34" s="406">
        <f t="shared" si="2"/>
        <v>6</v>
      </c>
      <c r="AD34" s="412">
        <f t="shared" si="4"/>
        <v>4</v>
      </c>
      <c r="AE34" s="413">
        <f t="shared" si="5"/>
        <v>0.625</v>
      </c>
      <c r="AF34" s="406">
        <f t="shared" si="6"/>
        <v>0.23076923076923078</v>
      </c>
      <c r="AG34" s="406">
        <f t="shared" si="7"/>
        <v>0.32142857142857145</v>
      </c>
      <c r="AH34" s="406" t="str">
        <f t="shared" si="8"/>
        <v>N/A</v>
      </c>
      <c r="AI34" s="406">
        <f t="shared" si="9"/>
        <v>2.75</v>
      </c>
      <c r="AJ34" s="406">
        <f t="shared" si="10"/>
        <v>0.25</v>
      </c>
    </row>
    <row r="35" spans="1:36" x14ac:dyDescent="0.35">
      <c r="A35" s="57">
        <v>29</v>
      </c>
      <c r="B35" s="3" t="str">
        <f>IF($A35&gt;KEY!$B$2,"",IFERROR(VLOOKUP($A35,KEY!$A$5:$D$74,4,FALSE),""))</f>
        <v>Arizona</v>
      </c>
      <c r="C35" s="160">
        <f t="shared" si="0"/>
        <v>45992</v>
      </c>
      <c r="E35" s="3" t="str">
        <f>IF($A35&gt;KEY!$B$2,"",IFERROR(VLOOKUP($A35,KEY!$A$5:$B$74,2,FALSE),""))</f>
        <v>Land Rover Chandler</v>
      </c>
      <c r="F35" s="205">
        <f>IF($C35="","",SUMIFS(INP_PRODUCERS!$E$5:$E$2383,INP_PRODUCERS!$D$5:$D$2383,$E35,INP_PRODUCERS!$B$5:$B$2383,$C35))</f>
        <v>5</v>
      </c>
      <c r="G35" s="206">
        <f>IF($C35="","",SUMIFS(INP_PRODUCERS!$E$5:$E$2383,INP_PRODUCERS!$D$5:$D$2383,$E35,INP_PRODUCERS!$C$5:$C$2383,VLOOKUP($C35,KEY!$AE$19:$AH$60,3,FALSE)))</f>
        <v>16</v>
      </c>
      <c r="H35" s="207">
        <f>IF($C35="","",SUMIFS(INP_TRNGATT!$D$5:$D$1051,INP_TRNGATT!$C$5:$C$1051,$E35,INP_TRNGATT!$B$5:$B$1051,VLOOKUP($C35,KEY!$AE$19:$AH$60,3,FALSE)))</f>
        <v>8</v>
      </c>
      <c r="I35" s="208">
        <f>IF($C35="","",SUMIFS(INP_DATA!E$5:E$3027,INP_DATA!$B$5:$B$3027,$C35,INP_DATA!$D$5:$D$3027,$E35))</f>
        <v>13</v>
      </c>
      <c r="J35" s="99">
        <f>IF($C35="","",IF(COUNTIFS(INP_MYSSHP!$B$5:$B$985,VLOOKUP($C35,KEY!$AE$19:$AH$60,3,FALSE),INP_MYSSHP!$C$5:$C$985,$E35)=0,"N/A",SUMIFS(INP_MYSSHP!$D$5:$D$2349,INP_MYSSHP!$C$5:$C$2349,$E35,INP_MYSSHP!$B$5:$B$2349,VLOOKUP($C35,KEY!$AE$19:$AH$60,3,FALSE))))</f>
        <v>1</v>
      </c>
      <c r="K35" s="169">
        <f>IF($C35="","",SUMIFS(INP_DATA!F$5:F$3027,INP_DATA!$B$5:$B$3027,$C35,INP_DATA!$D$5:$D$3027,$E35))</f>
        <v>35</v>
      </c>
      <c r="L35" s="169">
        <f>IF($C35="","",SUMIFS(INP_DATA!G$5:G$3027,INP_DATA!$B$5:$B$3027,$C35,INP_DATA!$D$5:$D$3027,$E35))</f>
        <v>63</v>
      </c>
      <c r="M35" s="100">
        <f>IF($C35="","",SUMIFS(INP_DATA!H$5:H$3027,INP_DATA!$B$5:$B$3027,$C35,INP_DATA!$D$5:$D$3027,$E35))</f>
        <v>76</v>
      </c>
      <c r="N35" s="100">
        <f>IF($C35="","",SUMIFS(INP_DATA!I$5:I$3027,INP_DATA!$B$5:$B$3027,$C35,INP_DATA!$D$5:$D$3027,$E35))</f>
        <v>11</v>
      </c>
      <c r="O35" s="100">
        <f>IF($C35="","",SUMIFS(INP_DATA!J$5:J$3027,INP_DATA!$B$5:$B$3027,$C35,INP_DATA!$D$5:$D$3027,$E35))</f>
        <v>46</v>
      </c>
      <c r="P35" s="100">
        <f>IF($C35="","",SUMIFS(INP_DATA!K$5:K$3027,INP_DATA!$B$5:$B$3027,$C35,INP_DATA!$D$5:$D$3027,$E35))</f>
        <v>9</v>
      </c>
      <c r="Q35" s="100">
        <f>IF($C35="","",SUMIFS(INP_DATA!L$5:L$3027,INP_DATA!$B$5:$B$3027,$C35,INP_DATA!$D$5:$D$3027,$E35))</f>
        <v>84</v>
      </c>
      <c r="R35" s="100">
        <f>IF($C35="","",SUMIFS(INP_DATA!M$5:M$3027,INP_DATA!$B$5:$B$3027,$C35,INP_DATA!$D$5:$D$3027,$E35))</f>
        <v>33</v>
      </c>
      <c r="S35" s="100">
        <f>IF($C35="","",SUMIFS(INP_DATA!N$5:N$3027,INP_DATA!$B$5:$B$3027,$C35,INP_DATA!$D$5:$D$3027,$E35))</f>
        <v>36</v>
      </c>
      <c r="T35" s="101">
        <f>IF($C35="","",SUMIFS(INP_DATA!O$5:O$3027,INP_DATA!$B$5:$B$3027,$C35,INP_DATA!$D$5:$D$3027,$E35))</f>
        <v>110</v>
      </c>
      <c r="U35" s="102">
        <f>IF($C35="","",SUMIFS(INP_DATA!P$5:P$3027,INP_DATA!$B$5:$B$3027,$C35,INP_DATA!$D$5:$D$3027,$E35))</f>
        <v>1</v>
      </c>
      <c r="V35" s="102">
        <f>IF($C35="","",SUMIFS(INP_DATA!Q$5:Q$3027,INP_DATA!$B$5:$B$3027,$C35,INP_DATA!$D$5:$D$3027,$E35))</f>
        <v>1</v>
      </c>
      <c r="W35" s="109"/>
      <c r="X35" s="203"/>
      <c r="Y35" s="204"/>
      <c r="AA35" s="407" t="str">
        <f t="shared" si="3"/>
        <v>Land Rover Chandler</v>
      </c>
      <c r="AB35" s="406">
        <f t="shared" si="1"/>
        <v>0.55555555555555558</v>
      </c>
      <c r="AC35" s="406">
        <f t="shared" si="2"/>
        <v>1.5</v>
      </c>
      <c r="AD35" s="412">
        <f t="shared" si="4"/>
        <v>2.6</v>
      </c>
      <c r="AE35" s="413">
        <f t="shared" si="5"/>
        <v>1</v>
      </c>
      <c r="AF35" s="406">
        <f t="shared" si="6"/>
        <v>0.14473684210526316</v>
      </c>
      <c r="AG35" s="406">
        <f t="shared" si="7"/>
        <v>0.19565217391304349</v>
      </c>
      <c r="AH35" s="406">
        <f t="shared" si="8"/>
        <v>1</v>
      </c>
      <c r="AI35" s="406">
        <f t="shared" si="9"/>
        <v>0.76363636363636367</v>
      </c>
      <c r="AJ35" s="406">
        <f t="shared" si="10"/>
        <v>0.91666666666666663</v>
      </c>
    </row>
    <row r="36" spans="1:36" x14ac:dyDescent="0.35">
      <c r="A36" s="57">
        <v>30</v>
      </c>
      <c r="B36" s="3" t="str">
        <f>IF($A36&gt;KEY!$B$2,"",IFERROR(VLOOKUP($A36,KEY!$A$5:$D$74,4,FALSE),""))</f>
        <v>Arizona</v>
      </c>
      <c r="C36" s="160">
        <f t="shared" si="0"/>
        <v>45992</v>
      </c>
      <c r="E36" s="3" t="str">
        <f>IF($A36&gt;KEY!$B$2,"",IFERROR(VLOOKUP($A36,KEY!$A$5:$B$74,2,FALSE),""))</f>
        <v>Land Rover North Scottsdale</v>
      </c>
      <c r="F36" s="205">
        <f>IF($C36="","",SUMIFS(INP_PRODUCERS!$E$5:$E$2383,INP_PRODUCERS!$D$5:$D$2383,$E36,INP_PRODUCERS!$B$5:$B$2383,$C36))</f>
        <v>9</v>
      </c>
      <c r="G36" s="206">
        <f>IF($C36="","",SUMIFS(INP_PRODUCERS!$E$5:$E$2383,INP_PRODUCERS!$D$5:$D$2383,$E36,INP_PRODUCERS!$C$5:$C$2383,VLOOKUP($C36,KEY!$AE$19:$AH$60,3,FALSE)))</f>
        <v>34</v>
      </c>
      <c r="H36" s="207">
        <f>IF($C36="","",SUMIFS(INP_TRNGATT!$D$5:$D$1051,INP_TRNGATT!$C$5:$C$1051,$E36,INP_TRNGATT!$B$5:$B$1051,VLOOKUP($C36,KEY!$AE$19:$AH$60,3,FALSE)))</f>
        <v>18</v>
      </c>
      <c r="I36" s="208">
        <f>IF($C36="","",SUMIFS(INP_DATA!E$5:E$3027,INP_DATA!$B$5:$B$3027,$C36,INP_DATA!$D$5:$D$3027,$E36))</f>
        <v>16</v>
      </c>
      <c r="J36" s="99">
        <f>IF($C36="","",IF(COUNTIFS(INP_MYSSHP!$B$5:$B$985,VLOOKUP($C36,KEY!$AE$19:$AH$60,3,FALSE),INP_MYSSHP!$C$5:$C$985,$E36)=0,"N/A",SUMIFS(INP_MYSSHP!$D$5:$D$2349,INP_MYSSHP!$C$5:$C$2349,$E36,INP_MYSSHP!$B$5:$B$2349,VLOOKUP($C36,KEY!$AE$19:$AH$60,3,FALSE))))</f>
        <v>0.625</v>
      </c>
      <c r="K36" s="169">
        <f>IF($C36="","",SUMIFS(INP_DATA!F$5:F$3027,INP_DATA!$B$5:$B$3027,$C36,INP_DATA!$D$5:$D$3027,$E36))</f>
        <v>95</v>
      </c>
      <c r="L36" s="169">
        <f>IF($C36="","",SUMIFS(INP_DATA!G$5:G$3027,INP_DATA!$B$5:$B$3027,$C36,INP_DATA!$D$5:$D$3027,$E36))</f>
        <v>137</v>
      </c>
      <c r="M36" s="100">
        <f>IF($C36="","",SUMIFS(INP_DATA!H$5:H$3027,INP_DATA!$B$5:$B$3027,$C36,INP_DATA!$D$5:$D$3027,$E36))</f>
        <v>148</v>
      </c>
      <c r="N36" s="100">
        <f>IF($C36="","",SUMIFS(INP_DATA!I$5:I$3027,INP_DATA!$B$5:$B$3027,$C36,INP_DATA!$D$5:$D$3027,$E36))</f>
        <v>20</v>
      </c>
      <c r="O36" s="100">
        <f>IF($C36="","",SUMIFS(INP_DATA!J$5:J$3027,INP_DATA!$B$5:$B$3027,$C36,INP_DATA!$D$5:$D$3027,$E36))</f>
        <v>91</v>
      </c>
      <c r="P36" s="100">
        <f>IF($C36="","",SUMIFS(INP_DATA!K$5:K$3027,INP_DATA!$B$5:$B$3027,$C36,INP_DATA!$D$5:$D$3027,$E36))</f>
        <v>19</v>
      </c>
      <c r="Q36" s="100">
        <f>IF($C36="","",SUMIFS(INP_DATA!L$5:L$3027,INP_DATA!$B$5:$B$3027,$C36,INP_DATA!$D$5:$D$3027,$E36))</f>
        <v>205</v>
      </c>
      <c r="R36" s="100">
        <f>IF($C36="","",SUMIFS(INP_DATA!M$5:M$3027,INP_DATA!$B$5:$B$3027,$C36,INP_DATA!$D$5:$D$3027,$E36))</f>
        <v>74</v>
      </c>
      <c r="S36" s="100">
        <f>IF($C36="","",SUMIFS(INP_DATA!N$5:N$3027,INP_DATA!$B$5:$B$3027,$C36,INP_DATA!$D$5:$D$3027,$E36))</f>
        <v>97</v>
      </c>
      <c r="T36" s="101">
        <f>IF($C36="","",SUMIFS(INP_DATA!O$5:O$3027,INP_DATA!$B$5:$B$3027,$C36,INP_DATA!$D$5:$D$3027,$E36))</f>
        <v>198</v>
      </c>
      <c r="U36" s="102">
        <f>IF($C36="","",SUMIFS(INP_DATA!P$5:P$3027,INP_DATA!$B$5:$B$3027,$C36,INP_DATA!$D$5:$D$3027,$E36))</f>
        <v>4</v>
      </c>
      <c r="V36" s="102">
        <f>IF($C36="","",SUMIFS(INP_DATA!Q$5:Q$3027,INP_DATA!$B$5:$B$3027,$C36,INP_DATA!$D$5:$D$3027,$E36))</f>
        <v>3</v>
      </c>
      <c r="W36" s="109"/>
      <c r="X36" s="203"/>
      <c r="Y36" s="204"/>
      <c r="AA36" s="407" t="str">
        <f t="shared" si="3"/>
        <v>Land Rover North Scottsdale</v>
      </c>
      <c r="AB36" s="406">
        <f t="shared" si="1"/>
        <v>0.69343065693430661</v>
      </c>
      <c r="AC36" s="406">
        <f t="shared" si="2"/>
        <v>1.588235294117647</v>
      </c>
      <c r="AD36" s="412">
        <f t="shared" si="4"/>
        <v>1.7777777777777777</v>
      </c>
      <c r="AE36" s="413">
        <f t="shared" si="5"/>
        <v>0.625</v>
      </c>
      <c r="AF36" s="406">
        <f t="shared" si="6"/>
        <v>0.13513513513513514</v>
      </c>
      <c r="AG36" s="406">
        <f t="shared" si="7"/>
        <v>0.2087912087912088</v>
      </c>
      <c r="AH36" s="406">
        <f t="shared" si="8"/>
        <v>0.75</v>
      </c>
      <c r="AI36" s="406">
        <f t="shared" si="9"/>
        <v>1.0353535353535352</v>
      </c>
      <c r="AJ36" s="406">
        <f t="shared" si="10"/>
        <v>0.76288659793814428</v>
      </c>
    </row>
    <row r="37" spans="1:36" x14ac:dyDescent="0.35">
      <c r="A37" s="57">
        <v>31</v>
      </c>
      <c r="B37" s="3" t="str">
        <f>IF($A37&gt;KEY!$B$2,"",IFERROR(VLOOKUP($A37,KEY!$A$5:$D$74,4,FALSE),""))</f>
        <v>Texas</v>
      </c>
      <c r="C37" s="160">
        <f t="shared" si="0"/>
        <v>45992</v>
      </c>
      <c r="E37" s="3" t="str">
        <f>IF($A37&gt;KEY!$B$2,"",IFERROR(VLOOKUP($A37,KEY!$A$5:$B$74,2,FALSE),""))</f>
        <v>Lexus of Austin</v>
      </c>
      <c r="F37" s="205">
        <f>IF($C37="","",SUMIFS(INP_PRODUCERS!$E$5:$E$2383,INP_PRODUCERS!$D$5:$D$2383,$E37,INP_PRODUCERS!$B$5:$B$2383,$C37))</f>
        <v>16</v>
      </c>
      <c r="G37" s="206">
        <f>IF($C37="","",SUMIFS(INP_PRODUCERS!$E$5:$E$2383,INP_PRODUCERS!$D$5:$D$2383,$E37,INP_PRODUCERS!$C$5:$C$2383,VLOOKUP($C37,KEY!$AE$19:$AH$60,3,FALSE)))</f>
        <v>48</v>
      </c>
      <c r="H37" s="207">
        <f>IF($C37="","",SUMIFS(INP_TRNGATT!$D$5:$D$1051,INP_TRNGATT!$C$5:$C$1051,$E37,INP_TRNGATT!$B$5:$B$1051,VLOOKUP($C37,KEY!$AE$19:$AH$60,3,FALSE)))</f>
        <v>11</v>
      </c>
      <c r="I37" s="208">
        <f>IF($C37="","",SUMIFS(INP_DATA!E$5:E$3027,INP_DATA!$B$5:$B$3027,$C37,INP_DATA!$D$5:$D$3027,$E37))</f>
        <v>37</v>
      </c>
      <c r="J37" s="99">
        <f>IF($C37="","",IF(COUNTIFS(INP_MYSSHP!$B$5:$B$985,VLOOKUP($C37,KEY!$AE$19:$AH$60,3,FALSE),INP_MYSSHP!$C$5:$C$985,$E37)=0,"N/A",SUMIFS(INP_MYSSHP!$D$5:$D$2349,INP_MYSSHP!$C$5:$C$2349,$E37,INP_MYSSHP!$B$5:$B$2349,VLOOKUP($C37,KEY!$AE$19:$AH$60,3,FALSE))))</f>
        <v>0.875</v>
      </c>
      <c r="K37" s="169">
        <f>IF($C37="","",SUMIFS(INP_DATA!F$5:F$3027,INP_DATA!$B$5:$B$3027,$C37,INP_DATA!$D$5:$D$3027,$E37))</f>
        <v>305</v>
      </c>
      <c r="L37" s="169">
        <f>IF($C37="","",SUMIFS(INP_DATA!G$5:G$3027,INP_DATA!$B$5:$B$3027,$C37,INP_DATA!$D$5:$D$3027,$E37))</f>
        <v>318</v>
      </c>
      <c r="M37" s="100">
        <f>IF($C37="","",SUMIFS(INP_DATA!H$5:H$3027,INP_DATA!$B$5:$B$3027,$C37,INP_DATA!$D$5:$D$3027,$E37))</f>
        <v>583</v>
      </c>
      <c r="N37" s="100">
        <f>IF($C37="","",SUMIFS(INP_DATA!I$5:I$3027,INP_DATA!$B$5:$B$3027,$C37,INP_DATA!$D$5:$D$3027,$E37))</f>
        <v>83</v>
      </c>
      <c r="O37" s="100">
        <f>IF($C37="","",SUMIFS(INP_DATA!J$5:J$3027,INP_DATA!$B$5:$B$3027,$C37,INP_DATA!$D$5:$D$3027,$E37))</f>
        <v>363</v>
      </c>
      <c r="P37" s="100">
        <f>IF($C37="","",SUMIFS(INP_DATA!K$5:K$3027,INP_DATA!$B$5:$B$3027,$C37,INP_DATA!$D$5:$D$3027,$E37))</f>
        <v>46</v>
      </c>
      <c r="Q37" s="100">
        <f>IF($C37="","",SUMIFS(INP_DATA!L$5:L$3027,INP_DATA!$B$5:$B$3027,$C37,INP_DATA!$D$5:$D$3027,$E37))</f>
        <v>519</v>
      </c>
      <c r="R37" s="100">
        <f>IF($C37="","",SUMIFS(INP_DATA!M$5:M$3027,INP_DATA!$B$5:$B$3027,$C37,INP_DATA!$D$5:$D$3027,$E37))</f>
        <v>203</v>
      </c>
      <c r="S37" s="100">
        <f>IF($C37="","",SUMIFS(INP_DATA!N$5:N$3027,INP_DATA!$B$5:$B$3027,$C37,INP_DATA!$D$5:$D$3027,$E37))</f>
        <v>313</v>
      </c>
      <c r="T37" s="101">
        <f>IF($C37="","",SUMIFS(INP_DATA!O$5:O$3027,INP_DATA!$B$5:$B$3027,$C37,INP_DATA!$D$5:$D$3027,$E37))</f>
        <v>352</v>
      </c>
      <c r="U37" s="102">
        <f>IF($C37="","",SUMIFS(INP_DATA!P$5:P$3027,INP_DATA!$B$5:$B$3027,$C37,INP_DATA!$D$5:$D$3027,$E37))</f>
        <v>14</v>
      </c>
      <c r="V37" s="102">
        <f>IF($C37="","",SUMIFS(INP_DATA!Q$5:Q$3027,INP_DATA!$B$5:$B$3027,$C37,INP_DATA!$D$5:$D$3027,$E37))</f>
        <v>11</v>
      </c>
      <c r="W37" s="109"/>
      <c r="X37" s="203"/>
      <c r="Y37" s="204"/>
      <c r="AA37" s="407" t="str">
        <f t="shared" si="3"/>
        <v>Lexus of Austin</v>
      </c>
      <c r="AB37" s="406">
        <f t="shared" si="1"/>
        <v>0.95911949685534592</v>
      </c>
      <c r="AC37" s="406">
        <f t="shared" si="2"/>
        <v>0.6875</v>
      </c>
      <c r="AD37" s="412">
        <f t="shared" si="4"/>
        <v>2.3125</v>
      </c>
      <c r="AE37" s="413">
        <f t="shared" si="5"/>
        <v>0.875</v>
      </c>
      <c r="AF37" s="406">
        <f t="shared" si="6"/>
        <v>0.14236706689536879</v>
      </c>
      <c r="AG37" s="406">
        <f t="shared" si="7"/>
        <v>0.12672176308539945</v>
      </c>
      <c r="AH37" s="406">
        <f t="shared" si="8"/>
        <v>0.7857142857142857</v>
      </c>
      <c r="AI37" s="406">
        <f t="shared" si="9"/>
        <v>1.4744318181818181</v>
      </c>
      <c r="AJ37" s="406">
        <f t="shared" si="10"/>
        <v>0.6485623003194888</v>
      </c>
    </row>
    <row r="38" spans="1:36" x14ac:dyDescent="0.35">
      <c r="A38" s="57">
        <v>32</v>
      </c>
      <c r="B38" s="3" t="str">
        <f>IF($A38&gt;KEY!$B$2,"",IFERROR(VLOOKUP($A38,KEY!$A$5:$D$74,4,FALSE),""))</f>
        <v>Arizona</v>
      </c>
      <c r="C38" s="160">
        <f t="shared" si="0"/>
        <v>45992</v>
      </c>
      <c r="E38" s="3" t="str">
        <f>IF($A38&gt;KEY!$B$2,"",IFERROR(VLOOKUP($A38,KEY!$A$5:$B$74,2,FALSE),""))</f>
        <v>Lexus of Chandler</v>
      </c>
      <c r="F38" s="205">
        <f>IF($C38="","",SUMIFS(INP_PRODUCERS!$E$5:$E$2383,INP_PRODUCERS!$D$5:$D$2383,$E38,INP_PRODUCERS!$B$5:$B$2383,$C38))</f>
        <v>9</v>
      </c>
      <c r="G38" s="206">
        <f>IF($C38="","",SUMIFS(INP_PRODUCERS!$E$5:$E$2383,INP_PRODUCERS!$D$5:$D$2383,$E38,INP_PRODUCERS!$C$5:$C$2383,VLOOKUP($C38,KEY!$AE$19:$AH$60,3,FALSE)))</f>
        <v>22</v>
      </c>
      <c r="H38" s="207">
        <f>IF($C38="","",SUMIFS(INP_TRNGATT!$D$5:$D$1051,INP_TRNGATT!$C$5:$C$1051,$E38,INP_TRNGATT!$B$5:$B$1051,VLOOKUP($C38,KEY!$AE$19:$AH$60,3,FALSE)))</f>
        <v>26</v>
      </c>
      <c r="I38" s="208">
        <f>IF($C38="","",SUMIFS(INP_DATA!E$5:E$3027,INP_DATA!$B$5:$B$3027,$C38,INP_DATA!$D$5:$D$3027,$E38))</f>
        <v>18</v>
      </c>
      <c r="J38" s="99">
        <f>IF($C38="","",IF(COUNTIFS(INP_MYSSHP!$B$5:$B$985,VLOOKUP($C38,KEY!$AE$19:$AH$60,3,FALSE),INP_MYSSHP!$C$5:$C$985,$E38)=0,"N/A",SUMIFS(INP_MYSSHP!$D$5:$D$2349,INP_MYSSHP!$C$5:$C$2349,$E38,INP_MYSSHP!$B$5:$B$2349,VLOOKUP($C38,KEY!$AE$19:$AH$60,3,FALSE))))</f>
        <v>0.5</v>
      </c>
      <c r="K38" s="169">
        <f>IF($C38="","",SUMIFS(INP_DATA!F$5:F$3027,INP_DATA!$B$5:$B$3027,$C38,INP_DATA!$D$5:$D$3027,$E38))</f>
        <v>143</v>
      </c>
      <c r="L38" s="169">
        <f>IF($C38="","",SUMIFS(INP_DATA!G$5:G$3027,INP_DATA!$B$5:$B$3027,$C38,INP_DATA!$D$5:$D$3027,$E38))</f>
        <v>107</v>
      </c>
      <c r="M38" s="100">
        <f>IF($C38="","",SUMIFS(INP_DATA!H$5:H$3027,INP_DATA!$B$5:$B$3027,$C38,INP_DATA!$D$5:$D$3027,$E38))</f>
        <v>307</v>
      </c>
      <c r="N38" s="100">
        <f>IF($C38="","",SUMIFS(INP_DATA!I$5:I$3027,INP_DATA!$B$5:$B$3027,$C38,INP_DATA!$D$5:$D$3027,$E38))</f>
        <v>42</v>
      </c>
      <c r="O38" s="100">
        <f>IF($C38="","",SUMIFS(INP_DATA!J$5:J$3027,INP_DATA!$B$5:$B$3027,$C38,INP_DATA!$D$5:$D$3027,$E38))</f>
        <v>145</v>
      </c>
      <c r="P38" s="100">
        <f>IF($C38="","",SUMIFS(INP_DATA!K$5:K$3027,INP_DATA!$B$5:$B$3027,$C38,INP_DATA!$D$5:$D$3027,$E38))</f>
        <v>31</v>
      </c>
      <c r="Q38" s="100">
        <f>IF($C38="","",SUMIFS(INP_DATA!L$5:L$3027,INP_DATA!$B$5:$B$3027,$C38,INP_DATA!$D$5:$D$3027,$E38))</f>
        <v>211</v>
      </c>
      <c r="R38" s="100">
        <f>IF($C38="","",SUMIFS(INP_DATA!M$5:M$3027,INP_DATA!$B$5:$B$3027,$C38,INP_DATA!$D$5:$D$3027,$E38))</f>
        <v>108</v>
      </c>
      <c r="S38" s="100">
        <f>IF($C38="","",SUMIFS(INP_DATA!N$5:N$3027,INP_DATA!$B$5:$B$3027,$C38,INP_DATA!$D$5:$D$3027,$E38))</f>
        <v>144</v>
      </c>
      <c r="T38" s="101">
        <f>IF($C38="","",SUMIFS(INP_DATA!O$5:O$3027,INP_DATA!$B$5:$B$3027,$C38,INP_DATA!$D$5:$D$3027,$E38))</f>
        <v>198</v>
      </c>
      <c r="U38" s="102">
        <f>IF($C38="","",SUMIFS(INP_DATA!P$5:P$3027,INP_DATA!$B$5:$B$3027,$C38,INP_DATA!$D$5:$D$3027,$E38))</f>
        <v>2</v>
      </c>
      <c r="V38" s="102">
        <f>IF($C38="","",SUMIFS(INP_DATA!Q$5:Q$3027,INP_DATA!$B$5:$B$3027,$C38,INP_DATA!$D$5:$D$3027,$E38))</f>
        <v>1</v>
      </c>
      <c r="W38" s="109"/>
      <c r="X38" s="203"/>
      <c r="Y38" s="204"/>
      <c r="AA38" s="407" t="str">
        <f t="shared" si="3"/>
        <v>Lexus of Chandler</v>
      </c>
      <c r="AB38" s="406">
        <f t="shared" si="1"/>
        <v>1.3364485981308412</v>
      </c>
      <c r="AC38" s="406">
        <f t="shared" si="2"/>
        <v>3.5454545454545454</v>
      </c>
      <c r="AD38" s="412">
        <f t="shared" si="4"/>
        <v>2</v>
      </c>
      <c r="AE38" s="413">
        <f t="shared" si="5"/>
        <v>0.5</v>
      </c>
      <c r="AF38" s="406">
        <f t="shared" si="6"/>
        <v>0.13680781758957655</v>
      </c>
      <c r="AG38" s="406">
        <f t="shared" si="7"/>
        <v>0.21379310344827587</v>
      </c>
      <c r="AH38" s="406">
        <f t="shared" si="8"/>
        <v>0.5</v>
      </c>
      <c r="AI38" s="406">
        <f t="shared" si="9"/>
        <v>1.0656565656565657</v>
      </c>
      <c r="AJ38" s="406">
        <f t="shared" si="10"/>
        <v>0.75</v>
      </c>
    </row>
    <row r="39" spans="1:36" x14ac:dyDescent="0.35">
      <c r="A39" s="57">
        <v>33</v>
      </c>
      <c r="B39" s="3" t="str">
        <f>IF($A39&gt;KEY!$B$2,"",IFERROR(VLOOKUP($A39,KEY!$A$5:$D$74,4,FALSE),""))</f>
        <v>Texas</v>
      </c>
      <c r="C39" s="160">
        <f t="shared" si="0"/>
        <v>45992</v>
      </c>
      <c r="E39" s="3" t="str">
        <f>IF($A39&gt;KEY!$B$2,"",IFERROR(VLOOKUP($A39,KEY!$A$5:$B$74,2,FALSE),""))</f>
        <v>Lexus of Lakeway</v>
      </c>
      <c r="F39" s="205">
        <f>IF($C39="","",SUMIFS(INP_PRODUCERS!$E$5:$E$2383,INP_PRODUCERS!$D$5:$D$2383,$E39,INP_PRODUCERS!$B$5:$B$2383,$C39))</f>
        <v>10</v>
      </c>
      <c r="G39" s="206">
        <f>IF($C39="","",SUMIFS(INP_PRODUCERS!$E$5:$E$2383,INP_PRODUCERS!$D$5:$D$2383,$E39,INP_PRODUCERS!$C$5:$C$2383,VLOOKUP($C39,KEY!$AE$19:$AH$60,3,FALSE)))</f>
        <v>30</v>
      </c>
      <c r="H39" s="207">
        <f>IF($C39="","",SUMIFS(INP_TRNGATT!$D$5:$D$1051,INP_TRNGATT!$C$5:$C$1051,$E39,INP_TRNGATT!$B$5:$B$1051,VLOOKUP($C39,KEY!$AE$19:$AH$60,3,FALSE)))</f>
        <v>16</v>
      </c>
      <c r="I39" s="208">
        <f>IF($C39="","",SUMIFS(INP_DATA!E$5:E$3027,INP_DATA!$B$5:$B$3027,$C39,INP_DATA!$D$5:$D$3027,$E39))</f>
        <v>28</v>
      </c>
      <c r="J39" s="99">
        <f>IF($C39="","",IF(COUNTIFS(INP_MYSSHP!$B$5:$B$985,VLOOKUP($C39,KEY!$AE$19:$AH$60,3,FALSE),INP_MYSSHP!$C$5:$C$985,$E39)=0,"N/A",SUMIFS(INP_MYSSHP!$D$5:$D$2349,INP_MYSSHP!$C$5:$C$2349,$E39,INP_MYSSHP!$B$5:$B$2349,VLOOKUP($C39,KEY!$AE$19:$AH$60,3,FALSE))))</f>
        <v>0.875</v>
      </c>
      <c r="K39" s="169">
        <f>IF($C39="","",SUMIFS(INP_DATA!F$5:F$3027,INP_DATA!$B$5:$B$3027,$C39,INP_DATA!$D$5:$D$3027,$E39))</f>
        <v>178</v>
      </c>
      <c r="L39" s="169">
        <f>IF($C39="","",SUMIFS(INP_DATA!G$5:G$3027,INP_DATA!$B$5:$B$3027,$C39,INP_DATA!$D$5:$D$3027,$E39))</f>
        <v>201</v>
      </c>
      <c r="M39" s="100">
        <f>IF($C39="","",SUMIFS(INP_DATA!H$5:H$3027,INP_DATA!$B$5:$B$3027,$C39,INP_DATA!$D$5:$D$3027,$E39))</f>
        <v>247</v>
      </c>
      <c r="N39" s="100">
        <f>IF($C39="","",SUMIFS(INP_DATA!I$5:I$3027,INP_DATA!$B$5:$B$3027,$C39,INP_DATA!$D$5:$D$3027,$E39))</f>
        <v>41</v>
      </c>
      <c r="O39" s="100">
        <f>IF($C39="","",SUMIFS(INP_DATA!J$5:J$3027,INP_DATA!$B$5:$B$3027,$C39,INP_DATA!$D$5:$D$3027,$E39))</f>
        <v>161</v>
      </c>
      <c r="P39" s="100">
        <f>IF($C39="","",SUMIFS(INP_DATA!K$5:K$3027,INP_DATA!$B$5:$B$3027,$C39,INP_DATA!$D$5:$D$3027,$E39))</f>
        <v>48</v>
      </c>
      <c r="Q39" s="100">
        <f>IF($C39="","",SUMIFS(INP_DATA!L$5:L$3027,INP_DATA!$B$5:$B$3027,$C39,INP_DATA!$D$5:$D$3027,$E39))</f>
        <v>293</v>
      </c>
      <c r="R39" s="100">
        <f>IF($C39="","",SUMIFS(INP_DATA!M$5:M$3027,INP_DATA!$B$5:$B$3027,$C39,INP_DATA!$D$5:$D$3027,$E39))</f>
        <v>110</v>
      </c>
      <c r="S39" s="100">
        <f>IF($C39="","",SUMIFS(INP_DATA!N$5:N$3027,INP_DATA!$B$5:$B$3027,$C39,INP_DATA!$D$5:$D$3027,$E39))</f>
        <v>177</v>
      </c>
      <c r="T39" s="101">
        <f>IF($C39="","",SUMIFS(INP_DATA!O$5:O$3027,INP_DATA!$B$5:$B$3027,$C39,INP_DATA!$D$5:$D$3027,$E39))</f>
        <v>220</v>
      </c>
      <c r="U39" s="102">
        <f>IF($C39="","",SUMIFS(INP_DATA!P$5:P$3027,INP_DATA!$B$5:$B$3027,$C39,INP_DATA!$D$5:$D$3027,$E39))</f>
        <v>10</v>
      </c>
      <c r="V39" s="102">
        <f>IF($C39="","",SUMIFS(INP_DATA!Q$5:Q$3027,INP_DATA!$B$5:$B$3027,$C39,INP_DATA!$D$5:$D$3027,$E39))</f>
        <v>9</v>
      </c>
      <c r="W39" s="109"/>
      <c r="X39" s="203"/>
      <c r="Y39" s="204"/>
      <c r="AA39" s="407" t="str">
        <f t="shared" si="3"/>
        <v>Lexus of Lakeway</v>
      </c>
      <c r="AB39" s="406">
        <f t="shared" ref="AB39:AB70" si="11">IF($E39="","",IFERROR(K39/L39,"N/A"))</f>
        <v>0.88557213930348255</v>
      </c>
      <c r="AC39" s="406">
        <f t="shared" ref="AC39:AC70" si="12">IF($E39="","",IFERROR(H39/(G39/3),"N/A"))</f>
        <v>1.6</v>
      </c>
      <c r="AD39" s="412">
        <f t="shared" si="4"/>
        <v>2.8</v>
      </c>
      <c r="AE39" s="413">
        <f t="shared" si="5"/>
        <v>0.875</v>
      </c>
      <c r="AF39" s="406">
        <f t="shared" si="6"/>
        <v>0.16599190283400811</v>
      </c>
      <c r="AG39" s="406">
        <f t="shared" si="7"/>
        <v>0.29813664596273293</v>
      </c>
      <c r="AH39" s="406">
        <f t="shared" si="8"/>
        <v>0.9</v>
      </c>
      <c r="AI39" s="406">
        <f t="shared" si="9"/>
        <v>1.3318181818181818</v>
      </c>
      <c r="AJ39" s="406">
        <f t="shared" si="10"/>
        <v>0.62146892655367236</v>
      </c>
    </row>
    <row r="40" spans="1:36" x14ac:dyDescent="0.35">
      <c r="A40" s="57">
        <v>34</v>
      </c>
      <c r="B40" s="3" t="str">
        <f>IF($A40&gt;KEY!$B$2,"",IFERROR(VLOOKUP($A40,KEY!$A$5:$D$74,4,FALSE),""))</f>
        <v>Southern California</v>
      </c>
      <c r="C40" s="160">
        <f t="shared" si="0"/>
        <v>45992</v>
      </c>
      <c r="E40" s="3" t="str">
        <f>IF($A40&gt;KEY!$B$2,"",IFERROR(VLOOKUP($A40,KEY!$A$5:$B$74,2,FALSE),""))</f>
        <v>Lexus San Diego</v>
      </c>
      <c r="F40" s="205">
        <f>IF($C40="","",SUMIFS(INP_PRODUCERS!$E$5:$E$2383,INP_PRODUCERS!$D$5:$D$2383,$E40,INP_PRODUCERS!$B$5:$B$2383,$C40))</f>
        <v>17</v>
      </c>
      <c r="G40" s="206">
        <f>IF($C40="","",SUMIFS(INP_PRODUCERS!$E$5:$E$2383,INP_PRODUCERS!$D$5:$D$2383,$E40,INP_PRODUCERS!$C$5:$C$2383,VLOOKUP($C40,KEY!$AE$19:$AH$60,3,FALSE)))</f>
        <v>41</v>
      </c>
      <c r="H40" s="207">
        <f>IF($C40="","",SUMIFS(INP_TRNGATT!$D$5:$D$1051,INP_TRNGATT!$C$5:$C$1051,$E40,INP_TRNGATT!$B$5:$B$1051,VLOOKUP($C40,KEY!$AE$19:$AH$60,3,FALSE)))</f>
        <v>39</v>
      </c>
      <c r="I40" s="208">
        <f>IF($C40="","",SUMIFS(INP_DATA!E$5:E$3027,INP_DATA!$B$5:$B$3027,$C40,INP_DATA!$D$5:$D$3027,$E40))</f>
        <v>41</v>
      </c>
      <c r="J40" s="99">
        <f>IF($C40="","",IF(COUNTIFS(INP_MYSSHP!$B$5:$B$985,VLOOKUP($C40,KEY!$AE$19:$AH$60,3,FALSE),INP_MYSSHP!$C$5:$C$985,$E40)=0,"N/A",SUMIFS(INP_MYSSHP!$D$5:$D$2349,INP_MYSSHP!$C$5:$C$2349,$E40,INP_MYSSHP!$B$5:$B$2349,VLOOKUP($C40,KEY!$AE$19:$AH$60,3,FALSE))))</f>
        <v>0.875</v>
      </c>
      <c r="K40" s="169">
        <f>IF($C40="","",SUMIFS(INP_DATA!F$5:F$3027,INP_DATA!$B$5:$B$3027,$C40,INP_DATA!$D$5:$D$3027,$E40))</f>
        <v>339</v>
      </c>
      <c r="L40" s="169">
        <f>IF($C40="","",SUMIFS(INP_DATA!G$5:G$3027,INP_DATA!$B$5:$B$3027,$C40,INP_DATA!$D$5:$D$3027,$E40))</f>
        <v>236</v>
      </c>
      <c r="M40" s="100">
        <f>IF($C40="","",SUMIFS(INP_DATA!H$5:H$3027,INP_DATA!$B$5:$B$3027,$C40,INP_DATA!$D$5:$D$3027,$E40))</f>
        <v>582</v>
      </c>
      <c r="N40" s="100">
        <f>IF($C40="","",SUMIFS(INP_DATA!I$5:I$3027,INP_DATA!$B$5:$B$3027,$C40,INP_DATA!$D$5:$D$3027,$E40))</f>
        <v>92</v>
      </c>
      <c r="O40" s="100">
        <f>IF($C40="","",SUMIFS(INP_DATA!J$5:J$3027,INP_DATA!$B$5:$B$3027,$C40,INP_DATA!$D$5:$D$3027,$E40))</f>
        <v>245</v>
      </c>
      <c r="P40" s="100">
        <f>IF($C40="","",SUMIFS(INP_DATA!K$5:K$3027,INP_DATA!$B$5:$B$3027,$C40,INP_DATA!$D$5:$D$3027,$E40))</f>
        <v>65</v>
      </c>
      <c r="Q40" s="100">
        <f>IF($C40="","",SUMIFS(INP_DATA!L$5:L$3027,INP_DATA!$B$5:$B$3027,$C40,INP_DATA!$D$5:$D$3027,$E40))</f>
        <v>571</v>
      </c>
      <c r="R40" s="100">
        <f>IF($C40="","",SUMIFS(INP_DATA!M$5:M$3027,INP_DATA!$B$5:$B$3027,$C40,INP_DATA!$D$5:$D$3027,$E40))</f>
        <v>188</v>
      </c>
      <c r="S40" s="100">
        <f>IF($C40="","",SUMIFS(INP_DATA!N$5:N$3027,INP_DATA!$B$5:$B$3027,$C40,INP_DATA!$D$5:$D$3027,$E40))</f>
        <v>340</v>
      </c>
      <c r="T40" s="101">
        <f>IF($C40="","",SUMIFS(INP_DATA!O$5:O$3027,INP_DATA!$B$5:$B$3027,$C40,INP_DATA!$D$5:$D$3027,$E40))</f>
        <v>374</v>
      </c>
      <c r="U40" s="102">
        <f>IF($C40="","",SUMIFS(INP_DATA!P$5:P$3027,INP_DATA!$B$5:$B$3027,$C40,INP_DATA!$D$5:$D$3027,$E40))</f>
        <v>8</v>
      </c>
      <c r="V40" s="102">
        <f>IF($C40="","",SUMIFS(INP_DATA!Q$5:Q$3027,INP_DATA!$B$5:$B$3027,$C40,INP_DATA!$D$5:$D$3027,$E40))</f>
        <v>6</v>
      </c>
      <c r="W40" s="109"/>
      <c r="X40" s="203"/>
      <c r="Y40" s="204"/>
      <c r="AA40" s="407" t="str">
        <f t="shared" si="3"/>
        <v>Lexus San Diego</v>
      </c>
      <c r="AB40" s="406">
        <f t="shared" si="11"/>
        <v>1.4364406779661016</v>
      </c>
      <c r="AC40" s="406">
        <f t="shared" si="12"/>
        <v>2.8536585365853662</v>
      </c>
      <c r="AD40" s="412">
        <f t="shared" si="4"/>
        <v>2.4117647058823528</v>
      </c>
      <c r="AE40" s="413">
        <f t="shared" si="5"/>
        <v>0.875</v>
      </c>
      <c r="AF40" s="406">
        <f t="shared" si="6"/>
        <v>0.15807560137457044</v>
      </c>
      <c r="AG40" s="406">
        <f t="shared" si="7"/>
        <v>0.26530612244897961</v>
      </c>
      <c r="AH40" s="406">
        <f t="shared" si="8"/>
        <v>0.75</v>
      </c>
      <c r="AI40" s="406">
        <f t="shared" si="9"/>
        <v>1.5267379679144386</v>
      </c>
      <c r="AJ40" s="406">
        <f t="shared" si="10"/>
        <v>0.55294117647058827</v>
      </c>
    </row>
    <row r="41" spans="1:36" x14ac:dyDescent="0.35">
      <c r="A41" s="57">
        <v>35</v>
      </c>
      <c r="B41" s="3" t="str">
        <f>IF($A41&gt;KEY!$B$2,"",IFERROR(VLOOKUP($A41,KEY!$A$5:$D$74,4,FALSE),""))</f>
        <v>Orange County</v>
      </c>
      <c r="C41" s="160">
        <f t="shared" si="0"/>
        <v>45992</v>
      </c>
      <c r="E41" s="3" t="str">
        <f>IF($A41&gt;KEY!$B$2,"",IFERROR(VLOOKUP($A41,KEY!$A$5:$B$74,2,FALSE),""))</f>
        <v>Lincoln South Coast</v>
      </c>
      <c r="F41" s="205">
        <f>IF($C41="","",SUMIFS(INP_PRODUCERS!$E$5:$E$2383,INP_PRODUCERS!$D$5:$D$2383,$E41,INP_PRODUCERS!$B$5:$B$2383,$C41))</f>
        <v>4</v>
      </c>
      <c r="G41" s="206">
        <f>IF($C41="","",SUMIFS(INP_PRODUCERS!$E$5:$E$2383,INP_PRODUCERS!$D$5:$D$2383,$E41,INP_PRODUCERS!$C$5:$C$2383,VLOOKUP($C41,KEY!$AE$19:$AH$60,3,FALSE)))</f>
        <v>11</v>
      </c>
      <c r="H41" s="207">
        <f>IF($C41="","",SUMIFS(INP_TRNGATT!$D$5:$D$1051,INP_TRNGATT!$C$5:$C$1051,$E41,INP_TRNGATT!$B$5:$B$1051,VLOOKUP($C41,KEY!$AE$19:$AH$60,3,FALSE)))</f>
        <v>12</v>
      </c>
      <c r="I41" s="208">
        <f>IF($C41="","",SUMIFS(INP_DATA!E$5:E$3027,INP_DATA!$B$5:$B$3027,$C41,INP_DATA!$D$5:$D$3027,$E41))</f>
        <v>6</v>
      </c>
      <c r="J41" s="99">
        <f>IF($C41="","",IF(COUNTIFS(INP_MYSSHP!$B$5:$B$985,VLOOKUP($C41,KEY!$AE$19:$AH$60,3,FALSE),INP_MYSSHP!$C$5:$C$985,$E41)=0,"N/A",SUMIFS(INP_MYSSHP!$D$5:$D$2349,INP_MYSSHP!$C$5:$C$2349,$E41,INP_MYSSHP!$B$5:$B$2349,VLOOKUP($C41,KEY!$AE$19:$AH$60,3,FALSE))))</f>
        <v>1</v>
      </c>
      <c r="K41" s="169">
        <f>IF($C41="","",SUMIFS(INP_DATA!F$5:F$3027,INP_DATA!$B$5:$B$3027,$C41,INP_DATA!$D$5:$D$3027,$E41))</f>
        <v>45</v>
      </c>
      <c r="L41" s="169">
        <f>IF($C41="","",SUMIFS(INP_DATA!G$5:G$3027,INP_DATA!$B$5:$B$3027,$C41,INP_DATA!$D$5:$D$3027,$E41))</f>
        <v>40</v>
      </c>
      <c r="M41" s="100">
        <f>IF($C41="","",SUMIFS(INP_DATA!H$5:H$3027,INP_DATA!$B$5:$B$3027,$C41,INP_DATA!$D$5:$D$3027,$E41))</f>
        <v>103</v>
      </c>
      <c r="N41" s="100">
        <f>IF($C41="","",SUMIFS(INP_DATA!I$5:I$3027,INP_DATA!$B$5:$B$3027,$C41,INP_DATA!$D$5:$D$3027,$E41))</f>
        <v>15</v>
      </c>
      <c r="O41" s="100">
        <f>IF($C41="","",SUMIFS(INP_DATA!J$5:J$3027,INP_DATA!$B$5:$B$3027,$C41,INP_DATA!$D$5:$D$3027,$E41))</f>
        <v>45</v>
      </c>
      <c r="P41" s="100">
        <f>IF($C41="","",SUMIFS(INP_DATA!K$5:K$3027,INP_DATA!$B$5:$B$3027,$C41,INP_DATA!$D$5:$D$3027,$E41))</f>
        <v>9</v>
      </c>
      <c r="Q41" s="100">
        <f>IF($C41="","",SUMIFS(INP_DATA!L$5:L$3027,INP_DATA!$B$5:$B$3027,$C41,INP_DATA!$D$5:$D$3027,$E41))</f>
        <v>85</v>
      </c>
      <c r="R41" s="100">
        <f>IF($C41="","",SUMIFS(INP_DATA!M$5:M$3027,INP_DATA!$B$5:$B$3027,$C41,INP_DATA!$D$5:$D$3027,$E41))</f>
        <v>32</v>
      </c>
      <c r="S41" s="100">
        <f>IF($C41="","",SUMIFS(INP_DATA!N$5:N$3027,INP_DATA!$B$5:$B$3027,$C41,INP_DATA!$D$5:$D$3027,$E41))</f>
        <v>45</v>
      </c>
      <c r="T41" s="101">
        <f>IF($C41="","",SUMIFS(INP_DATA!O$5:O$3027,INP_DATA!$B$5:$B$3027,$C41,INP_DATA!$D$5:$D$3027,$E41))</f>
        <v>88</v>
      </c>
      <c r="U41" s="102">
        <f>IF($C41="","",SUMIFS(INP_DATA!P$5:P$3027,INP_DATA!$B$5:$B$3027,$C41,INP_DATA!$D$5:$D$3027,$E41))</f>
        <v>7</v>
      </c>
      <c r="V41" s="102">
        <f>IF($C41="","",SUMIFS(INP_DATA!Q$5:Q$3027,INP_DATA!$B$5:$B$3027,$C41,INP_DATA!$D$5:$D$3027,$E41))</f>
        <v>3</v>
      </c>
      <c r="W41" s="109"/>
      <c r="X41" s="203"/>
      <c r="Y41" s="204"/>
      <c r="AA41" s="407" t="str">
        <f t="shared" si="3"/>
        <v>Lincoln South Coast</v>
      </c>
      <c r="AB41" s="406">
        <f t="shared" si="11"/>
        <v>1.125</v>
      </c>
      <c r="AC41" s="406">
        <f t="shared" si="12"/>
        <v>3.2727272727272729</v>
      </c>
      <c r="AD41" s="412">
        <f t="shared" si="4"/>
        <v>1.5</v>
      </c>
      <c r="AE41" s="413">
        <f t="shared" si="5"/>
        <v>1</v>
      </c>
      <c r="AF41" s="406">
        <f t="shared" si="6"/>
        <v>0.14563106796116504</v>
      </c>
      <c r="AG41" s="406">
        <f t="shared" si="7"/>
        <v>0.2</v>
      </c>
      <c r="AH41" s="406">
        <f t="shared" si="8"/>
        <v>0.42857142857142855</v>
      </c>
      <c r="AI41" s="406">
        <f t="shared" si="9"/>
        <v>0.96590909090909094</v>
      </c>
      <c r="AJ41" s="406">
        <f t="shared" si="10"/>
        <v>0.71111111111111114</v>
      </c>
    </row>
    <row r="42" spans="1:36" x14ac:dyDescent="0.35">
      <c r="A42" s="57">
        <v>36</v>
      </c>
      <c r="B42" s="3" t="str">
        <f>IF($A42&gt;KEY!$B$2,"",IFERROR(VLOOKUP($A42,KEY!$A$5:$D$74,4,FALSE),""))</f>
        <v>Southern California</v>
      </c>
      <c r="C42" s="160">
        <f t="shared" si="0"/>
        <v>45992</v>
      </c>
      <c r="E42" s="3" t="str">
        <f>IF($A42&gt;KEY!$B$2,"",IFERROR(VLOOKUP($A42,KEY!$A$5:$B$74,2,FALSE),""))</f>
        <v>Mazda of Escondido</v>
      </c>
      <c r="F42" s="205">
        <f>IF($C42="","",SUMIFS(INP_PRODUCERS!$E$5:$E$2383,INP_PRODUCERS!$D$5:$D$2383,$E42,INP_PRODUCERS!$B$5:$B$2383,$C42))</f>
        <v>6</v>
      </c>
      <c r="G42" s="206">
        <f>IF($C42="","",SUMIFS(INP_PRODUCERS!$E$5:$E$2383,INP_PRODUCERS!$D$5:$D$2383,$E42,INP_PRODUCERS!$C$5:$C$2383,VLOOKUP($C42,KEY!$AE$19:$AH$60,3,FALSE)))</f>
        <v>18</v>
      </c>
      <c r="H42" s="207">
        <f>IF($C42="","",SUMIFS(INP_TRNGATT!$D$5:$D$1051,INP_TRNGATT!$C$5:$C$1051,$E42,INP_TRNGATT!$B$5:$B$1051,VLOOKUP($C42,KEY!$AE$19:$AH$60,3,FALSE)))</f>
        <v>8</v>
      </c>
      <c r="I42" s="208">
        <f>IF($C42="","",SUMIFS(INP_DATA!E$5:E$3027,INP_DATA!$B$5:$B$3027,$C42,INP_DATA!$D$5:$D$3027,$E42))</f>
        <v>26</v>
      </c>
      <c r="J42" s="99">
        <f>IF($C42="","",IF(COUNTIFS(INP_MYSSHP!$B$5:$B$985,VLOOKUP($C42,KEY!$AE$19:$AH$60,3,FALSE),INP_MYSSHP!$C$5:$C$985,$E42)=0,"N/A",SUMIFS(INP_MYSSHP!$D$5:$D$2349,INP_MYSSHP!$C$5:$C$2349,$E42,INP_MYSSHP!$B$5:$B$2349,VLOOKUP($C42,KEY!$AE$19:$AH$60,3,FALSE))))</f>
        <v>0.75</v>
      </c>
      <c r="K42" s="169">
        <f>IF($C42="","",SUMIFS(INP_DATA!F$5:F$3027,INP_DATA!$B$5:$B$3027,$C42,INP_DATA!$D$5:$D$3027,$E42))</f>
        <v>91</v>
      </c>
      <c r="L42" s="169">
        <f>IF($C42="","",SUMIFS(INP_DATA!G$5:G$3027,INP_DATA!$B$5:$B$3027,$C42,INP_DATA!$D$5:$D$3027,$E42))</f>
        <v>98</v>
      </c>
      <c r="M42" s="100">
        <f>IF($C42="","",SUMIFS(INP_DATA!H$5:H$3027,INP_DATA!$B$5:$B$3027,$C42,INP_DATA!$D$5:$D$3027,$E42))</f>
        <v>186</v>
      </c>
      <c r="N42" s="100">
        <f>IF($C42="","",SUMIFS(INP_DATA!I$5:I$3027,INP_DATA!$B$5:$B$3027,$C42,INP_DATA!$D$5:$D$3027,$E42))</f>
        <v>37</v>
      </c>
      <c r="O42" s="100">
        <f>IF($C42="","",SUMIFS(INP_DATA!J$5:J$3027,INP_DATA!$B$5:$B$3027,$C42,INP_DATA!$D$5:$D$3027,$E42))</f>
        <v>36</v>
      </c>
      <c r="P42" s="100">
        <f>IF($C42="","",SUMIFS(INP_DATA!K$5:K$3027,INP_DATA!$B$5:$B$3027,$C42,INP_DATA!$D$5:$D$3027,$E42))</f>
        <v>11</v>
      </c>
      <c r="Q42" s="100">
        <f>IF($C42="","",SUMIFS(INP_DATA!L$5:L$3027,INP_DATA!$B$5:$B$3027,$C42,INP_DATA!$D$5:$D$3027,$E42))</f>
        <v>146</v>
      </c>
      <c r="R42" s="100">
        <f>IF($C42="","",SUMIFS(INP_DATA!M$5:M$3027,INP_DATA!$B$5:$B$3027,$C42,INP_DATA!$D$5:$D$3027,$E42))</f>
        <v>90</v>
      </c>
      <c r="S42" s="100">
        <f>IF($C42="","",SUMIFS(INP_DATA!N$5:N$3027,INP_DATA!$B$5:$B$3027,$C42,INP_DATA!$D$5:$D$3027,$E42))</f>
        <v>92</v>
      </c>
      <c r="T42" s="101">
        <f>IF($C42="","",SUMIFS(INP_DATA!O$5:O$3027,INP_DATA!$B$5:$B$3027,$C42,INP_DATA!$D$5:$D$3027,$E42))</f>
        <v>132</v>
      </c>
      <c r="U42" s="102">
        <f>IF($C42="","",SUMIFS(INP_DATA!P$5:P$3027,INP_DATA!$B$5:$B$3027,$C42,INP_DATA!$D$5:$D$3027,$E42))</f>
        <v>17</v>
      </c>
      <c r="V42" s="102">
        <f>IF($C42="","",SUMIFS(INP_DATA!Q$5:Q$3027,INP_DATA!$B$5:$B$3027,$C42,INP_DATA!$D$5:$D$3027,$E42))</f>
        <v>12</v>
      </c>
      <c r="W42" s="109"/>
      <c r="X42" s="203"/>
      <c r="Y42" s="204"/>
      <c r="AA42" s="407" t="str">
        <f t="shared" si="3"/>
        <v>Mazda of Escondido</v>
      </c>
      <c r="AB42" s="406">
        <f t="shared" si="11"/>
        <v>0.9285714285714286</v>
      </c>
      <c r="AC42" s="406">
        <f t="shared" si="12"/>
        <v>1.3333333333333333</v>
      </c>
      <c r="AD42" s="412">
        <f t="shared" si="4"/>
        <v>4.333333333333333</v>
      </c>
      <c r="AE42" s="413">
        <f t="shared" si="5"/>
        <v>0.75</v>
      </c>
      <c r="AF42" s="406">
        <f t="shared" si="6"/>
        <v>0.19892473118279569</v>
      </c>
      <c r="AG42" s="406">
        <f t="shared" si="7"/>
        <v>0.30555555555555558</v>
      </c>
      <c r="AH42" s="406">
        <f t="shared" si="8"/>
        <v>0.70588235294117652</v>
      </c>
      <c r="AI42" s="406">
        <f t="shared" si="9"/>
        <v>1.106060606060606</v>
      </c>
      <c r="AJ42" s="406">
        <f t="shared" si="10"/>
        <v>0.97826086956521741</v>
      </c>
    </row>
    <row r="43" spans="1:36" x14ac:dyDescent="0.35">
      <c r="A43" s="57">
        <v>37</v>
      </c>
      <c r="B43" s="3" t="str">
        <f>IF($A43&gt;KEY!$B$2,"",IFERROR(VLOOKUP($A43,KEY!$A$5:$D$74,4,FALSE),""))</f>
        <v>Arizona</v>
      </c>
      <c r="C43" s="160">
        <f t="shared" si="0"/>
        <v>45992</v>
      </c>
      <c r="E43" s="3" t="str">
        <f>IF($A43&gt;KEY!$B$2,"",IFERROR(VLOOKUP($A43,KEY!$A$5:$B$74,2,FALSE),""))</f>
        <v>Mercedes-Benz of Chandler</v>
      </c>
      <c r="F43" s="205">
        <f>IF($C43="","",SUMIFS(INP_PRODUCERS!$E$5:$E$2383,INP_PRODUCERS!$D$5:$D$2383,$E43,INP_PRODUCERS!$B$5:$B$2383,$C43))</f>
        <v>9</v>
      </c>
      <c r="G43" s="206">
        <f>IF($C43="","",SUMIFS(INP_PRODUCERS!$E$5:$E$2383,INP_PRODUCERS!$D$5:$D$2383,$E43,INP_PRODUCERS!$C$5:$C$2383,VLOOKUP($C43,KEY!$AE$19:$AH$60,3,FALSE)))</f>
        <v>26</v>
      </c>
      <c r="H43" s="207">
        <f>IF($C43="","",SUMIFS(INP_TRNGATT!$D$5:$D$1051,INP_TRNGATT!$C$5:$C$1051,$E43,INP_TRNGATT!$B$5:$B$1051,VLOOKUP($C43,KEY!$AE$19:$AH$60,3,FALSE)))</f>
        <v>24</v>
      </c>
      <c r="I43" s="208">
        <f>IF($C43="","",SUMIFS(INP_DATA!E$5:E$3027,INP_DATA!$B$5:$B$3027,$C43,INP_DATA!$D$5:$D$3027,$E43))</f>
        <v>16</v>
      </c>
      <c r="J43" s="99">
        <f>IF($C43="","",IF(COUNTIFS(INP_MYSSHP!$B$5:$B$985,VLOOKUP($C43,KEY!$AE$19:$AH$60,3,FALSE),INP_MYSSHP!$C$5:$C$985,$E43)=0,"N/A",SUMIFS(INP_MYSSHP!$D$5:$D$2349,INP_MYSSHP!$C$5:$C$2349,$E43,INP_MYSSHP!$B$5:$B$2349,VLOOKUP($C43,KEY!$AE$19:$AH$60,3,FALSE))))</f>
        <v>1</v>
      </c>
      <c r="K43" s="169">
        <f>IF($C43="","",SUMIFS(INP_DATA!F$5:F$3027,INP_DATA!$B$5:$B$3027,$C43,INP_DATA!$D$5:$D$3027,$E43))</f>
        <v>102</v>
      </c>
      <c r="L43" s="169">
        <f>IF($C43="","",SUMIFS(INP_DATA!G$5:G$3027,INP_DATA!$B$5:$B$3027,$C43,INP_DATA!$D$5:$D$3027,$E43))</f>
        <v>77</v>
      </c>
      <c r="M43" s="100">
        <f>IF($C43="","",SUMIFS(INP_DATA!H$5:H$3027,INP_DATA!$B$5:$B$3027,$C43,INP_DATA!$D$5:$D$3027,$E43))</f>
        <v>244</v>
      </c>
      <c r="N43" s="100">
        <f>IF($C43="","",SUMIFS(INP_DATA!I$5:I$3027,INP_DATA!$B$5:$B$3027,$C43,INP_DATA!$D$5:$D$3027,$E43))</f>
        <v>34</v>
      </c>
      <c r="O43" s="100">
        <f>IF($C43="","",SUMIFS(INP_DATA!J$5:J$3027,INP_DATA!$B$5:$B$3027,$C43,INP_DATA!$D$5:$D$3027,$E43))</f>
        <v>89</v>
      </c>
      <c r="P43" s="100">
        <f>IF($C43="","",SUMIFS(INP_DATA!K$5:K$3027,INP_DATA!$B$5:$B$3027,$C43,INP_DATA!$D$5:$D$3027,$E43))</f>
        <v>20</v>
      </c>
      <c r="Q43" s="100">
        <f>IF($C43="","",SUMIFS(INP_DATA!L$5:L$3027,INP_DATA!$B$5:$B$3027,$C43,INP_DATA!$D$5:$D$3027,$E43))</f>
        <v>168</v>
      </c>
      <c r="R43" s="100">
        <f>IF($C43="","",SUMIFS(INP_DATA!M$5:M$3027,INP_DATA!$B$5:$B$3027,$C43,INP_DATA!$D$5:$D$3027,$E43))</f>
        <v>76</v>
      </c>
      <c r="S43" s="100">
        <f>IF($C43="","",SUMIFS(INP_DATA!N$5:N$3027,INP_DATA!$B$5:$B$3027,$C43,INP_DATA!$D$5:$D$3027,$E43))</f>
        <v>104</v>
      </c>
      <c r="T43" s="101">
        <f>IF($C43="","",SUMIFS(INP_DATA!O$5:O$3027,INP_DATA!$B$5:$B$3027,$C43,INP_DATA!$D$5:$D$3027,$E43))</f>
        <v>198</v>
      </c>
      <c r="U43" s="102">
        <f>IF($C43="","",SUMIFS(INP_DATA!P$5:P$3027,INP_DATA!$B$5:$B$3027,$C43,INP_DATA!$D$5:$D$3027,$E43))</f>
        <v>3</v>
      </c>
      <c r="V43" s="102">
        <f>IF($C43="","",SUMIFS(INP_DATA!Q$5:Q$3027,INP_DATA!$B$5:$B$3027,$C43,INP_DATA!$D$5:$D$3027,$E43))</f>
        <v>2</v>
      </c>
      <c r="W43" s="109"/>
      <c r="X43" s="203"/>
      <c r="Y43" s="204"/>
      <c r="AA43" s="407" t="str">
        <f t="shared" si="3"/>
        <v>Mercedes-Benz of Chandler</v>
      </c>
      <c r="AB43" s="406">
        <f t="shared" ref="AB43" si="13">IF($E43="","",IFERROR(K43/L43,"N/A"))</f>
        <v>1.3246753246753247</v>
      </c>
      <c r="AC43" s="406">
        <f t="shared" ref="AC43" si="14">IF($E43="","",IFERROR(H43/(G43/3),"N/A"))</f>
        <v>2.7692307692307696</v>
      </c>
      <c r="AD43" s="412">
        <f t="shared" ref="AD43" si="15">IF($E43="","",IFERROR(I43/F43,"N/A"))</f>
        <v>1.7777777777777777</v>
      </c>
      <c r="AE43" s="413">
        <f t="shared" ref="AE43" si="16">IF($E43="","",IFERROR(J43,"N/A"))</f>
        <v>1</v>
      </c>
      <c r="AF43" s="406">
        <f t="shared" ref="AF43" si="17">IF($E43="","",IFERROR(N43/M43,"N/A"))</f>
        <v>0.13934426229508196</v>
      </c>
      <c r="AG43" s="406">
        <f t="shared" ref="AG43" si="18">IF($E43="","",IFERROR(P43/O43,"N/A"))</f>
        <v>0.2247191011235955</v>
      </c>
      <c r="AH43" s="406">
        <f t="shared" ref="AH43" si="19">IF($E43="","",IFERROR(V43/U43,"N/A"))</f>
        <v>0.66666666666666663</v>
      </c>
      <c r="AI43" s="406">
        <f t="shared" ref="AI43" si="20">IF($E43="","",IFERROR(Q43/T43,"N/A"))</f>
        <v>0.84848484848484851</v>
      </c>
      <c r="AJ43" s="406">
        <f t="shared" ref="AJ43" si="21">IF($E43="","",IFERROR(R43/S43,"N/A"))</f>
        <v>0.73076923076923073</v>
      </c>
    </row>
    <row r="44" spans="1:36" x14ac:dyDescent="0.35">
      <c r="A44" s="57">
        <v>38</v>
      </c>
      <c r="B44" s="3" t="str">
        <f>IF($A44&gt;KEY!$B$2,"",IFERROR(VLOOKUP($A44,KEY!$A$5:$D$74,4,FALSE),""))</f>
        <v>Arizona</v>
      </c>
      <c r="C44" s="160">
        <f t="shared" si="0"/>
        <v>45992</v>
      </c>
      <c r="E44" s="3" t="str">
        <f>IF($A44&gt;KEY!$B$2,"",IFERROR(VLOOKUP($A44,KEY!$A$5:$B$74,2,FALSE),""))</f>
        <v>Mercedes-Benz of North Scottsdale</v>
      </c>
      <c r="F44" s="205">
        <f>IF($C44="","",SUMIFS(INP_PRODUCERS!$E$5:$E$2383,INP_PRODUCERS!$D$5:$D$2383,$E44,INP_PRODUCERS!$B$5:$B$2383,$C44))</f>
        <v>18</v>
      </c>
      <c r="G44" s="206">
        <f>IF($C44="","",SUMIFS(INP_PRODUCERS!$E$5:$E$2383,INP_PRODUCERS!$D$5:$D$2383,$E44,INP_PRODUCERS!$C$5:$C$2383,VLOOKUP($C44,KEY!$AE$19:$AH$60,3,FALSE)))</f>
        <v>57</v>
      </c>
      <c r="H44" s="207">
        <f>IF($C44="","",SUMIFS(INP_TRNGATT!$D$5:$D$1051,INP_TRNGATT!$C$5:$C$1051,$E44,INP_TRNGATT!$B$5:$B$1051,VLOOKUP($C44,KEY!$AE$19:$AH$60,3,FALSE)))</f>
        <v>64</v>
      </c>
      <c r="I44" s="208">
        <f>IF($C44="","",SUMIFS(INP_DATA!E$5:E$3027,INP_DATA!$B$5:$B$3027,$C44,INP_DATA!$D$5:$D$3027,$E44))</f>
        <v>51</v>
      </c>
      <c r="J44" s="99">
        <f>IF($C44="","",IF(COUNTIFS(INP_MYSSHP!$B$5:$B$985,VLOOKUP($C44,KEY!$AE$19:$AH$60,3,FALSE),INP_MYSSHP!$C$5:$C$985,$E44)=0,"N/A",SUMIFS(INP_MYSSHP!$D$5:$D$2349,INP_MYSSHP!$C$5:$C$2349,$E44,INP_MYSSHP!$B$5:$B$2349,VLOOKUP($C44,KEY!$AE$19:$AH$60,3,FALSE))))</f>
        <v>1</v>
      </c>
      <c r="K44" s="169">
        <f>IF($C44="","",SUMIFS(INP_DATA!F$5:F$3027,INP_DATA!$B$5:$B$3027,$C44,INP_DATA!$D$5:$D$3027,$E44))</f>
        <v>287</v>
      </c>
      <c r="L44" s="169">
        <f>IF($C44="","",SUMIFS(INP_DATA!G$5:G$3027,INP_DATA!$B$5:$B$3027,$C44,INP_DATA!$D$5:$D$3027,$E44))</f>
        <v>299</v>
      </c>
      <c r="M44" s="100">
        <f>IF($C44="","",SUMIFS(INP_DATA!H$5:H$3027,INP_DATA!$B$5:$B$3027,$C44,INP_DATA!$D$5:$D$3027,$E44))</f>
        <v>287</v>
      </c>
      <c r="N44" s="100">
        <f>IF($C44="","",SUMIFS(INP_DATA!I$5:I$3027,INP_DATA!$B$5:$B$3027,$C44,INP_DATA!$D$5:$D$3027,$E44))</f>
        <v>41</v>
      </c>
      <c r="O44" s="100">
        <f>IF($C44="","",SUMIFS(INP_DATA!J$5:J$3027,INP_DATA!$B$5:$B$3027,$C44,INP_DATA!$D$5:$D$3027,$E44))</f>
        <v>109</v>
      </c>
      <c r="P44" s="100">
        <f>IF($C44="","",SUMIFS(INP_DATA!K$5:K$3027,INP_DATA!$B$5:$B$3027,$C44,INP_DATA!$D$5:$D$3027,$E44))</f>
        <v>31</v>
      </c>
      <c r="Q44" s="100">
        <f>IF($C44="","",SUMIFS(INP_DATA!L$5:L$3027,INP_DATA!$B$5:$B$3027,$C44,INP_DATA!$D$5:$D$3027,$E44))</f>
        <v>354</v>
      </c>
      <c r="R44" s="100">
        <f>IF($C44="","",SUMIFS(INP_DATA!M$5:M$3027,INP_DATA!$B$5:$B$3027,$C44,INP_DATA!$D$5:$D$3027,$E44))</f>
        <v>194</v>
      </c>
      <c r="S44" s="100">
        <f>IF($C44="","",SUMIFS(INP_DATA!N$5:N$3027,INP_DATA!$B$5:$B$3027,$C44,INP_DATA!$D$5:$D$3027,$E44))</f>
        <v>301</v>
      </c>
      <c r="T44" s="101">
        <f>IF($C44="","",SUMIFS(INP_DATA!O$5:O$3027,INP_DATA!$B$5:$B$3027,$C44,INP_DATA!$D$5:$D$3027,$E44))</f>
        <v>396</v>
      </c>
      <c r="U44" s="102">
        <f>IF($C44="","",SUMIFS(INP_DATA!P$5:P$3027,INP_DATA!$B$5:$B$3027,$C44,INP_DATA!$D$5:$D$3027,$E44))</f>
        <v>16</v>
      </c>
      <c r="V44" s="102">
        <f>IF($C44="","",SUMIFS(INP_DATA!Q$5:Q$3027,INP_DATA!$B$5:$B$3027,$C44,INP_DATA!$D$5:$D$3027,$E44))</f>
        <v>13</v>
      </c>
      <c r="W44" s="109"/>
      <c r="X44" s="203"/>
      <c r="Y44" s="204"/>
      <c r="AA44" s="407" t="str">
        <f t="shared" si="3"/>
        <v>Mercedes-Benz of North Scottsdale</v>
      </c>
      <c r="AB44" s="406">
        <f t="shared" si="11"/>
        <v>0.95986622073578598</v>
      </c>
      <c r="AC44" s="406">
        <f t="shared" si="12"/>
        <v>3.3684210526315788</v>
      </c>
      <c r="AD44" s="412">
        <f t="shared" si="4"/>
        <v>2.8333333333333335</v>
      </c>
      <c r="AE44" s="413">
        <f t="shared" si="5"/>
        <v>1</v>
      </c>
      <c r="AF44" s="406">
        <f t="shared" si="6"/>
        <v>0.14285714285714285</v>
      </c>
      <c r="AG44" s="406">
        <f t="shared" si="7"/>
        <v>0.28440366972477066</v>
      </c>
      <c r="AH44" s="406">
        <f t="shared" si="8"/>
        <v>0.8125</v>
      </c>
      <c r="AI44" s="406">
        <f t="shared" si="9"/>
        <v>0.89393939393939392</v>
      </c>
      <c r="AJ44" s="406">
        <f t="shared" si="10"/>
        <v>0.64451827242524917</v>
      </c>
    </row>
    <row r="45" spans="1:36" x14ac:dyDescent="0.35">
      <c r="A45" s="57">
        <v>39</v>
      </c>
      <c r="B45" s="3" t="str">
        <f>IF($A45&gt;KEY!$B$2,"",IFERROR(VLOOKUP($A45,KEY!$A$5:$D$74,4,FALSE),""))</f>
        <v>Southern California</v>
      </c>
      <c r="C45" s="160">
        <f t="shared" si="0"/>
        <v>45992</v>
      </c>
      <c r="E45" s="3" t="str">
        <f>IF($A45&gt;KEY!$B$2,"",IFERROR(VLOOKUP($A45,KEY!$A$5:$B$74,2,FALSE),""))</f>
        <v>Mercedes-Benz of San Diego</v>
      </c>
      <c r="F45" s="205">
        <f>IF($C45="","",SUMIFS(INP_PRODUCERS!$E$5:$E$2383,INP_PRODUCERS!$D$5:$D$2383,$E45,INP_PRODUCERS!$B$5:$B$2383,$C45))</f>
        <v>16</v>
      </c>
      <c r="G45" s="206">
        <f>IF($C45="","",SUMIFS(INP_PRODUCERS!$E$5:$E$2383,INP_PRODUCERS!$D$5:$D$2383,$E45,INP_PRODUCERS!$C$5:$C$2383,VLOOKUP($C45,KEY!$AE$19:$AH$60,3,FALSE)))</f>
        <v>51</v>
      </c>
      <c r="H45" s="207">
        <f>IF($C45="","",SUMIFS(INP_TRNGATT!$D$5:$D$1051,INP_TRNGATT!$C$5:$C$1051,$E45,INP_TRNGATT!$B$5:$B$1051,VLOOKUP($C45,KEY!$AE$19:$AH$60,3,FALSE)))</f>
        <v>80</v>
      </c>
      <c r="I45" s="208">
        <f>IF($C45="","",SUMIFS(INP_DATA!E$5:E$3027,INP_DATA!$B$5:$B$3027,$C45,INP_DATA!$D$5:$D$3027,$E45))</f>
        <v>57</v>
      </c>
      <c r="J45" s="99">
        <f>IF($C45="","",IF(COUNTIFS(INP_MYSSHP!$B$5:$B$985,VLOOKUP($C45,KEY!$AE$19:$AH$60,3,FALSE),INP_MYSSHP!$C$5:$C$985,$E45)=0,"N/A",SUMIFS(INP_MYSSHP!$D$5:$D$2349,INP_MYSSHP!$C$5:$C$2349,$E45,INP_MYSSHP!$B$5:$B$2349,VLOOKUP($C45,KEY!$AE$19:$AH$60,3,FALSE))))</f>
        <v>1</v>
      </c>
      <c r="K45" s="169">
        <f>IF($C45="","",SUMIFS(INP_DATA!F$5:F$3027,INP_DATA!$B$5:$B$3027,$C45,INP_DATA!$D$5:$D$3027,$E45))</f>
        <v>193</v>
      </c>
      <c r="L45" s="169">
        <f>IF($C45="","",SUMIFS(INP_DATA!G$5:G$3027,INP_DATA!$B$5:$B$3027,$C45,INP_DATA!$D$5:$D$3027,$E45))</f>
        <v>241</v>
      </c>
      <c r="M45" s="100">
        <f>IF($C45="","",SUMIFS(INP_DATA!H$5:H$3027,INP_DATA!$B$5:$B$3027,$C45,INP_DATA!$D$5:$D$3027,$E45))</f>
        <v>323</v>
      </c>
      <c r="N45" s="100">
        <f>IF($C45="","",SUMIFS(INP_DATA!I$5:I$3027,INP_DATA!$B$5:$B$3027,$C45,INP_DATA!$D$5:$D$3027,$E45))</f>
        <v>40</v>
      </c>
      <c r="O45" s="100">
        <f>IF($C45="","",SUMIFS(INP_DATA!J$5:J$3027,INP_DATA!$B$5:$B$3027,$C45,INP_DATA!$D$5:$D$3027,$E45))</f>
        <v>128</v>
      </c>
      <c r="P45" s="100">
        <f>IF($C45="","",SUMIFS(INP_DATA!K$5:K$3027,INP_DATA!$B$5:$B$3027,$C45,INP_DATA!$D$5:$D$3027,$E45))</f>
        <v>30</v>
      </c>
      <c r="Q45" s="100">
        <f>IF($C45="","",SUMIFS(INP_DATA!L$5:L$3027,INP_DATA!$B$5:$B$3027,$C45,INP_DATA!$D$5:$D$3027,$E45))</f>
        <v>305</v>
      </c>
      <c r="R45" s="100">
        <f>IF($C45="","",SUMIFS(INP_DATA!M$5:M$3027,INP_DATA!$B$5:$B$3027,$C45,INP_DATA!$D$5:$D$3027,$E45))</f>
        <v>124</v>
      </c>
      <c r="S45" s="100">
        <f>IF($C45="","",SUMIFS(INP_DATA!N$5:N$3027,INP_DATA!$B$5:$B$3027,$C45,INP_DATA!$D$5:$D$3027,$E45))</f>
        <v>198</v>
      </c>
      <c r="T45" s="101">
        <f>IF($C45="","",SUMIFS(INP_DATA!O$5:O$3027,INP_DATA!$B$5:$B$3027,$C45,INP_DATA!$D$5:$D$3027,$E45))</f>
        <v>352</v>
      </c>
      <c r="U45" s="102">
        <f>IF($C45="","",SUMIFS(INP_DATA!P$5:P$3027,INP_DATA!$B$5:$B$3027,$C45,INP_DATA!$D$5:$D$3027,$E45))</f>
        <v>24</v>
      </c>
      <c r="V45" s="102">
        <f>IF($C45="","",SUMIFS(INP_DATA!Q$5:Q$3027,INP_DATA!$B$5:$B$3027,$C45,INP_DATA!$D$5:$D$3027,$E45))</f>
        <v>15</v>
      </c>
      <c r="W45" s="109"/>
      <c r="X45" s="203"/>
      <c r="Y45" s="204"/>
      <c r="AA45" s="407" t="str">
        <f t="shared" si="3"/>
        <v>Mercedes-Benz of San Diego</v>
      </c>
      <c r="AB45" s="406">
        <f t="shared" si="11"/>
        <v>0.80082987551867224</v>
      </c>
      <c r="AC45" s="406">
        <f t="shared" si="12"/>
        <v>4.7058823529411766</v>
      </c>
      <c r="AD45" s="412">
        <f t="shared" si="4"/>
        <v>3.5625</v>
      </c>
      <c r="AE45" s="413">
        <f t="shared" si="5"/>
        <v>1</v>
      </c>
      <c r="AF45" s="406">
        <f t="shared" si="6"/>
        <v>0.1238390092879257</v>
      </c>
      <c r="AG45" s="406">
        <f t="shared" si="7"/>
        <v>0.234375</v>
      </c>
      <c r="AH45" s="406">
        <f t="shared" si="8"/>
        <v>0.625</v>
      </c>
      <c r="AI45" s="406">
        <f t="shared" si="9"/>
        <v>0.86647727272727271</v>
      </c>
      <c r="AJ45" s="406">
        <f t="shared" si="10"/>
        <v>0.6262626262626263</v>
      </c>
    </row>
    <row r="46" spans="1:36" x14ac:dyDescent="0.35">
      <c r="A46" s="57">
        <v>40</v>
      </c>
      <c r="B46" s="3" t="str">
        <f>IF($A46&gt;KEY!$B$2,"",IFERROR(VLOOKUP($A46,KEY!$A$5:$D$74,4,FALSE),""))</f>
        <v>Arizona</v>
      </c>
      <c r="C46" s="160">
        <f t="shared" si="0"/>
        <v>45992</v>
      </c>
      <c r="E46" s="3" t="str">
        <f>IF($A46&gt;KEY!$B$2,"",IFERROR(VLOOKUP($A46,KEY!$A$5:$B$74,2,FALSE),""))</f>
        <v>MINI North Scottsdale</v>
      </c>
      <c r="F46" s="205">
        <f>IF($C46="","",SUMIFS(INP_PRODUCERS!$E$5:$E$2383,INP_PRODUCERS!$D$5:$D$2383,$E46,INP_PRODUCERS!$B$5:$B$2383,$C46))</f>
        <v>4</v>
      </c>
      <c r="G46" s="206">
        <f>IF($C46="","",SUMIFS(INP_PRODUCERS!$E$5:$E$2383,INP_PRODUCERS!$D$5:$D$2383,$E46,INP_PRODUCERS!$C$5:$C$2383,VLOOKUP($C46,KEY!$AE$19:$AH$60,3,FALSE)))</f>
        <v>12</v>
      </c>
      <c r="H46" s="207">
        <f>IF($C46="","",SUMIFS(INP_TRNGATT!$D$5:$D$1051,INP_TRNGATT!$C$5:$C$1051,$E46,INP_TRNGATT!$B$5:$B$1051,VLOOKUP($C46,KEY!$AE$19:$AH$60,3,FALSE)))</f>
        <v>45</v>
      </c>
      <c r="I46" s="208">
        <f>IF($C46="","",SUMIFS(INP_DATA!E$5:E$3027,INP_DATA!$B$5:$B$3027,$C46,INP_DATA!$D$5:$D$3027,$E46))</f>
        <v>7</v>
      </c>
      <c r="J46" s="99">
        <f>IF($C46="","",IF(COUNTIFS(INP_MYSSHP!$B$5:$B$985,VLOOKUP($C46,KEY!$AE$19:$AH$60,3,FALSE),INP_MYSSHP!$C$5:$C$985,$E46)=0,"N/A",SUMIFS(INP_MYSSHP!$D$5:$D$2349,INP_MYSSHP!$C$5:$C$2349,$E46,INP_MYSSHP!$B$5:$B$2349,VLOOKUP($C46,KEY!$AE$19:$AH$60,3,FALSE))))</f>
        <v>1</v>
      </c>
      <c r="K46" s="169">
        <f>IF($C46="","",SUMIFS(INP_DATA!F$5:F$3027,INP_DATA!$B$5:$B$3027,$C46,INP_DATA!$D$5:$D$3027,$E46))</f>
        <v>45</v>
      </c>
      <c r="L46" s="169">
        <f>IF($C46="","",SUMIFS(INP_DATA!G$5:G$3027,INP_DATA!$B$5:$B$3027,$C46,INP_DATA!$D$5:$D$3027,$E46))</f>
        <v>31</v>
      </c>
      <c r="M46" s="100">
        <f>IF($C46="","",SUMIFS(INP_DATA!H$5:H$3027,INP_DATA!$B$5:$B$3027,$C46,INP_DATA!$D$5:$D$3027,$E46))</f>
        <v>87</v>
      </c>
      <c r="N46" s="100">
        <f>IF($C46="","",SUMIFS(INP_DATA!I$5:I$3027,INP_DATA!$B$5:$B$3027,$C46,INP_DATA!$D$5:$D$3027,$E46))</f>
        <v>12</v>
      </c>
      <c r="O46" s="100">
        <f>IF($C46="","",SUMIFS(INP_DATA!J$5:J$3027,INP_DATA!$B$5:$B$3027,$C46,INP_DATA!$D$5:$D$3027,$E46))</f>
        <v>22</v>
      </c>
      <c r="P46" s="100">
        <f>IF($C46="","",SUMIFS(INP_DATA!K$5:K$3027,INP_DATA!$B$5:$B$3027,$C46,INP_DATA!$D$5:$D$3027,$E46))</f>
        <v>3</v>
      </c>
      <c r="Q46" s="100">
        <f>IF($C46="","",SUMIFS(INP_DATA!L$5:L$3027,INP_DATA!$B$5:$B$3027,$C46,INP_DATA!$D$5:$D$3027,$E46))</f>
        <v>86</v>
      </c>
      <c r="R46" s="100">
        <f>IF($C46="","",SUMIFS(INP_DATA!M$5:M$3027,INP_DATA!$B$5:$B$3027,$C46,INP_DATA!$D$5:$D$3027,$E46))</f>
        <v>34</v>
      </c>
      <c r="S46" s="100">
        <f>IF($C46="","",SUMIFS(INP_DATA!N$5:N$3027,INP_DATA!$B$5:$B$3027,$C46,INP_DATA!$D$5:$D$3027,$E46))</f>
        <v>46</v>
      </c>
      <c r="T46" s="101">
        <f>IF($C46="","",SUMIFS(INP_DATA!O$5:O$3027,INP_DATA!$B$5:$B$3027,$C46,INP_DATA!$D$5:$D$3027,$E46))</f>
        <v>88</v>
      </c>
      <c r="U46" s="102">
        <f>IF($C46="","",SUMIFS(INP_DATA!P$5:P$3027,INP_DATA!$B$5:$B$3027,$C46,INP_DATA!$D$5:$D$3027,$E46))</f>
        <v>2</v>
      </c>
      <c r="V46" s="102">
        <f>IF($C46="","",SUMIFS(INP_DATA!Q$5:Q$3027,INP_DATA!$B$5:$B$3027,$C46,INP_DATA!$D$5:$D$3027,$E46))</f>
        <v>1</v>
      </c>
      <c r="W46" s="109"/>
      <c r="X46" s="203">
        <f>COUNTIFS(INP_DATA!$R$5:$R$3027,X$6,INP_DATA!$D$5:$D$3027,$E46,INP_DATA!$B$5:$B$3027,$C46)</f>
        <v>0</v>
      </c>
      <c r="Y46" s="204">
        <f>COUNTIFS(INP_DATA!$R$5:$R$3027,Y$6,INP_DATA!$D$5:$D$3027,$E46,INP_DATA!$B$5:$B$3027,$C46)</f>
        <v>0</v>
      </c>
      <c r="AA46" s="407" t="str">
        <f t="shared" si="3"/>
        <v>MINI North Scottsdale</v>
      </c>
      <c r="AB46" s="406">
        <f t="shared" si="11"/>
        <v>1.4516129032258065</v>
      </c>
      <c r="AC46" s="406">
        <f t="shared" si="12"/>
        <v>11.25</v>
      </c>
      <c r="AD46" s="412">
        <f t="shared" si="4"/>
        <v>1.75</v>
      </c>
      <c r="AE46" s="413">
        <f t="shared" si="5"/>
        <v>1</v>
      </c>
      <c r="AF46" s="406">
        <f t="shared" si="6"/>
        <v>0.13793103448275862</v>
      </c>
      <c r="AG46" s="406">
        <f t="shared" si="7"/>
        <v>0.13636363636363635</v>
      </c>
      <c r="AH46" s="406">
        <f t="shared" si="8"/>
        <v>0.5</v>
      </c>
      <c r="AI46" s="406">
        <f t="shared" si="9"/>
        <v>0.97727272727272729</v>
      </c>
      <c r="AJ46" s="406">
        <f t="shared" si="10"/>
        <v>0.73913043478260865</v>
      </c>
    </row>
    <row r="47" spans="1:36" x14ac:dyDescent="0.35">
      <c r="A47" s="57">
        <v>41</v>
      </c>
      <c r="B47" s="3" t="str">
        <f>IF($A47&gt;KEY!$B$2,"",IFERROR(VLOOKUP($A47,KEY!$A$5:$D$74,4,FALSE),""))</f>
        <v>Texas</v>
      </c>
      <c r="C47" s="160">
        <f t="shared" si="0"/>
        <v>45992</v>
      </c>
      <c r="E47" s="3" t="str">
        <f>IF($A47&gt;KEY!$B$2,"",IFERROR(VLOOKUP($A47,KEY!$A$5:$B$74,2,FALSE),""))</f>
        <v>MINI of Austin</v>
      </c>
      <c r="F47" s="205">
        <f>IF($C47="","",SUMIFS(INP_PRODUCERS!$E$5:$E$2383,INP_PRODUCERS!$D$5:$D$2383,$E47,INP_PRODUCERS!$B$5:$B$2383,$C47))</f>
        <v>4</v>
      </c>
      <c r="G47" s="206">
        <f>IF($C47="","",SUMIFS(INP_PRODUCERS!$E$5:$E$2383,INP_PRODUCERS!$D$5:$D$2383,$E47,INP_PRODUCERS!$C$5:$C$2383,VLOOKUP($C47,KEY!$AE$19:$AH$60,3,FALSE)))</f>
        <v>12</v>
      </c>
      <c r="H47" s="207">
        <f>IF($C47="","",SUMIFS(INP_TRNGATT!$D$5:$D$1051,INP_TRNGATT!$C$5:$C$1051,$E47,INP_TRNGATT!$B$5:$B$1051,VLOOKUP($C47,KEY!$AE$19:$AH$60,3,FALSE)))</f>
        <v>11</v>
      </c>
      <c r="I47" s="208">
        <f>IF($C47="","",SUMIFS(INP_DATA!E$5:E$3027,INP_DATA!$B$5:$B$3027,$C47,INP_DATA!$D$5:$D$3027,$E47))</f>
        <v>9</v>
      </c>
      <c r="J47" s="99">
        <f>IF($C47="","",IF(COUNTIFS(INP_MYSSHP!$B$5:$B$985,VLOOKUP($C47,KEY!$AE$19:$AH$60,3,FALSE),INP_MYSSHP!$C$5:$C$985,$E47)=0,"N/A",SUMIFS(INP_MYSSHP!$D$5:$D$2349,INP_MYSSHP!$C$5:$C$2349,$E47,INP_MYSSHP!$B$5:$B$2349,VLOOKUP($C47,KEY!$AE$19:$AH$60,3,FALSE))))</f>
        <v>1</v>
      </c>
      <c r="K47" s="169">
        <f>IF($C47="","",SUMIFS(INP_DATA!F$5:F$3027,INP_DATA!$B$5:$B$3027,$C47,INP_DATA!$D$5:$D$3027,$E47))</f>
        <v>38</v>
      </c>
      <c r="L47" s="169">
        <f>IF($C47="","",SUMIFS(INP_DATA!G$5:G$3027,INP_DATA!$B$5:$B$3027,$C47,INP_DATA!$D$5:$D$3027,$E47))</f>
        <v>44</v>
      </c>
      <c r="M47" s="100">
        <f>IF($C47="","",SUMIFS(INP_DATA!H$5:H$3027,INP_DATA!$B$5:$B$3027,$C47,INP_DATA!$D$5:$D$3027,$E47))</f>
        <v>69</v>
      </c>
      <c r="N47" s="100">
        <f>IF($C47="","",SUMIFS(INP_DATA!I$5:I$3027,INP_DATA!$B$5:$B$3027,$C47,INP_DATA!$D$5:$D$3027,$E47))</f>
        <v>12</v>
      </c>
      <c r="O47" s="100">
        <f>IF($C47="","",SUMIFS(INP_DATA!J$5:J$3027,INP_DATA!$B$5:$B$3027,$C47,INP_DATA!$D$5:$D$3027,$E47))</f>
        <v>13</v>
      </c>
      <c r="P47" s="100">
        <f>IF($C47="","",SUMIFS(INP_DATA!K$5:K$3027,INP_DATA!$B$5:$B$3027,$C47,INP_DATA!$D$5:$D$3027,$E47))</f>
        <v>3</v>
      </c>
      <c r="Q47" s="100">
        <f>IF($C47="","",SUMIFS(INP_DATA!L$5:L$3027,INP_DATA!$B$5:$B$3027,$C47,INP_DATA!$D$5:$D$3027,$E47))</f>
        <v>73</v>
      </c>
      <c r="R47" s="100">
        <f>IF($C47="","",SUMIFS(INP_DATA!M$5:M$3027,INP_DATA!$B$5:$B$3027,$C47,INP_DATA!$D$5:$D$3027,$E47))</f>
        <v>40</v>
      </c>
      <c r="S47" s="100">
        <f>IF($C47="","",SUMIFS(INP_DATA!N$5:N$3027,INP_DATA!$B$5:$B$3027,$C47,INP_DATA!$D$5:$D$3027,$E47))</f>
        <v>38</v>
      </c>
      <c r="T47" s="101">
        <f>IF($C47="","",SUMIFS(INP_DATA!O$5:O$3027,INP_DATA!$B$5:$B$3027,$C47,INP_DATA!$D$5:$D$3027,$E47))</f>
        <v>88</v>
      </c>
      <c r="U47" s="102">
        <f>IF($C47="","",SUMIFS(INP_DATA!P$5:P$3027,INP_DATA!$B$5:$B$3027,$C47,INP_DATA!$D$5:$D$3027,$E47))</f>
        <v>7</v>
      </c>
      <c r="V47" s="102">
        <f>IF($C47="","",SUMIFS(INP_DATA!Q$5:Q$3027,INP_DATA!$B$5:$B$3027,$C47,INP_DATA!$D$5:$D$3027,$E47))</f>
        <v>5</v>
      </c>
      <c r="W47" s="109"/>
      <c r="X47" s="203">
        <f>COUNTIFS(INP_DATA!$R$5:$R$3027,X$6,INP_DATA!$D$5:$D$3027,$E47,INP_DATA!$B$5:$B$3027,$C47)</f>
        <v>0</v>
      </c>
      <c r="Y47" s="204">
        <f>COUNTIFS(INP_DATA!$R$5:$R$3027,Y$6,INP_DATA!$D$5:$D$3027,$E47,INP_DATA!$B$5:$B$3027,$C47)</f>
        <v>0</v>
      </c>
      <c r="AA47" s="407" t="str">
        <f t="shared" si="3"/>
        <v>MINI of Austin</v>
      </c>
      <c r="AB47" s="406">
        <f t="shared" si="11"/>
        <v>0.86363636363636365</v>
      </c>
      <c r="AC47" s="406">
        <f t="shared" si="12"/>
        <v>2.75</v>
      </c>
      <c r="AD47" s="412">
        <f t="shared" si="4"/>
        <v>2.25</v>
      </c>
      <c r="AE47" s="413">
        <f t="shared" si="5"/>
        <v>1</v>
      </c>
      <c r="AF47" s="406">
        <f t="shared" si="6"/>
        <v>0.17391304347826086</v>
      </c>
      <c r="AG47" s="406">
        <f t="shared" si="7"/>
        <v>0.23076923076923078</v>
      </c>
      <c r="AH47" s="406">
        <f t="shared" si="8"/>
        <v>0.7142857142857143</v>
      </c>
      <c r="AI47" s="406">
        <f t="shared" si="9"/>
        <v>0.82954545454545459</v>
      </c>
      <c r="AJ47" s="406">
        <f t="shared" si="10"/>
        <v>1.0526315789473684</v>
      </c>
    </row>
    <row r="48" spans="1:36" x14ac:dyDescent="0.35">
      <c r="A48" s="57">
        <v>42</v>
      </c>
      <c r="B48" s="3" t="str">
        <f>IF($A48&gt;KEY!$B$2,"",IFERROR(VLOOKUP($A48,KEY!$A$5:$D$74,4,FALSE),""))</f>
        <v>Northern California</v>
      </c>
      <c r="C48" s="160">
        <f t="shared" si="0"/>
        <v>45992</v>
      </c>
      <c r="E48" s="3" t="str">
        <f>IF($A48&gt;KEY!$B$2,"",IFERROR(VLOOKUP($A48,KEY!$A$5:$B$74,2,FALSE),""))</f>
        <v>MINI of Marin</v>
      </c>
      <c r="F48" s="205">
        <f>IF($C48="","",SUMIFS(INP_PRODUCERS!$E$5:$E$2383,INP_PRODUCERS!$D$5:$D$2383,$E48,INP_PRODUCERS!$B$5:$B$2383,$C48))</f>
        <v>4</v>
      </c>
      <c r="G48" s="206">
        <f>IF($C48="","",SUMIFS(INP_PRODUCERS!$E$5:$E$2383,INP_PRODUCERS!$D$5:$D$2383,$E48,INP_PRODUCERS!$C$5:$C$2383,VLOOKUP($C48,KEY!$AE$19:$AH$60,3,FALSE)))</f>
        <v>12</v>
      </c>
      <c r="H48" s="207">
        <f>IF($C48="","",SUMIFS(INP_TRNGATT!$D$5:$D$1051,INP_TRNGATT!$C$5:$C$1051,$E48,INP_TRNGATT!$B$5:$B$1051,VLOOKUP($C48,KEY!$AE$19:$AH$60,3,FALSE)))</f>
        <v>19</v>
      </c>
      <c r="I48" s="208">
        <f>IF($C48="","",SUMIFS(INP_DATA!E$5:E$3027,INP_DATA!$B$5:$B$3027,$C48,INP_DATA!$D$5:$D$3027,$E48))</f>
        <v>10</v>
      </c>
      <c r="J48" s="99">
        <f>IF($C48="","",IF(COUNTIFS(INP_MYSSHP!$B$5:$B$985,VLOOKUP($C48,KEY!$AE$19:$AH$60,3,FALSE),INP_MYSSHP!$C$5:$C$985,$E48)=0,"N/A",SUMIFS(INP_MYSSHP!$D$5:$D$2349,INP_MYSSHP!$C$5:$C$2349,$E48,INP_MYSSHP!$B$5:$B$2349,VLOOKUP($C48,KEY!$AE$19:$AH$60,3,FALSE))))</f>
        <v>0.375</v>
      </c>
      <c r="K48" s="169">
        <f>IF($C48="","",SUMIFS(INP_DATA!F$5:F$3027,INP_DATA!$B$5:$B$3027,$C48,INP_DATA!$D$5:$D$3027,$E48))</f>
        <v>40</v>
      </c>
      <c r="L48" s="169">
        <f>IF($C48="","",SUMIFS(INP_DATA!G$5:G$3027,INP_DATA!$B$5:$B$3027,$C48,INP_DATA!$D$5:$D$3027,$E48))</f>
        <v>49</v>
      </c>
      <c r="M48" s="100">
        <f>IF($C48="","",SUMIFS(INP_DATA!H$5:H$3027,INP_DATA!$B$5:$B$3027,$C48,INP_DATA!$D$5:$D$3027,$E48))</f>
        <v>110</v>
      </c>
      <c r="N48" s="100">
        <f>IF($C48="","",SUMIFS(INP_DATA!I$5:I$3027,INP_DATA!$B$5:$B$3027,$C48,INP_DATA!$D$5:$D$3027,$E48))</f>
        <v>13</v>
      </c>
      <c r="O48" s="100">
        <f>IF($C48="","",SUMIFS(INP_DATA!J$5:J$3027,INP_DATA!$B$5:$B$3027,$C48,INP_DATA!$D$5:$D$3027,$E48))</f>
        <v>34</v>
      </c>
      <c r="P48" s="100">
        <f>IF($C48="","",SUMIFS(INP_DATA!K$5:K$3027,INP_DATA!$B$5:$B$3027,$C48,INP_DATA!$D$5:$D$3027,$E48))</f>
        <v>4</v>
      </c>
      <c r="Q48" s="100">
        <f>IF($C48="","",SUMIFS(INP_DATA!L$5:L$3027,INP_DATA!$B$5:$B$3027,$C48,INP_DATA!$D$5:$D$3027,$E48))</f>
        <v>76</v>
      </c>
      <c r="R48" s="100">
        <f>IF($C48="","",SUMIFS(INP_DATA!M$5:M$3027,INP_DATA!$B$5:$B$3027,$C48,INP_DATA!$D$5:$D$3027,$E48))</f>
        <v>31</v>
      </c>
      <c r="S48" s="100">
        <f>IF($C48="","",SUMIFS(INP_DATA!N$5:N$3027,INP_DATA!$B$5:$B$3027,$C48,INP_DATA!$D$5:$D$3027,$E48))</f>
        <v>40</v>
      </c>
      <c r="T48" s="101">
        <f>IF($C48="","",SUMIFS(INP_DATA!O$5:O$3027,INP_DATA!$B$5:$B$3027,$C48,INP_DATA!$D$5:$D$3027,$E48))</f>
        <v>88</v>
      </c>
      <c r="U48" s="102">
        <f>IF($C48="","",SUMIFS(INP_DATA!P$5:P$3027,INP_DATA!$B$5:$B$3027,$C48,INP_DATA!$D$5:$D$3027,$E48))</f>
        <v>10</v>
      </c>
      <c r="V48" s="102">
        <f>IF($C48="","",SUMIFS(INP_DATA!Q$5:Q$3027,INP_DATA!$B$5:$B$3027,$C48,INP_DATA!$D$5:$D$3027,$E48))</f>
        <v>5</v>
      </c>
      <c r="W48" s="109"/>
      <c r="X48" s="203">
        <f>COUNTIFS(INP_DATA!$R$5:$R$3027,X$6,INP_DATA!$D$5:$D$3027,$E48,INP_DATA!$B$5:$B$3027,$C48)</f>
        <v>0</v>
      </c>
      <c r="Y48" s="204">
        <f>COUNTIFS(INP_DATA!$R$5:$R$3027,Y$6,INP_DATA!$D$5:$D$3027,$E48,INP_DATA!$B$5:$B$3027,$C48)</f>
        <v>0</v>
      </c>
      <c r="AA48" s="407" t="str">
        <f t="shared" si="3"/>
        <v>MINI of Marin</v>
      </c>
      <c r="AB48" s="406">
        <f t="shared" si="11"/>
        <v>0.81632653061224492</v>
      </c>
      <c r="AC48" s="406">
        <f t="shared" si="12"/>
        <v>4.75</v>
      </c>
      <c r="AD48" s="412">
        <f t="shared" si="4"/>
        <v>2.5</v>
      </c>
      <c r="AE48" s="413">
        <f t="shared" si="5"/>
        <v>0.375</v>
      </c>
      <c r="AF48" s="406">
        <f t="shared" si="6"/>
        <v>0.11818181818181818</v>
      </c>
      <c r="AG48" s="406">
        <f t="shared" si="7"/>
        <v>0.11764705882352941</v>
      </c>
      <c r="AH48" s="406">
        <f t="shared" si="8"/>
        <v>0.5</v>
      </c>
      <c r="AI48" s="406">
        <f t="shared" si="9"/>
        <v>0.86363636363636365</v>
      </c>
      <c r="AJ48" s="406">
        <f t="shared" si="10"/>
        <v>0.77500000000000002</v>
      </c>
    </row>
    <row r="49" spans="1:36" x14ac:dyDescent="0.35">
      <c r="A49" s="57">
        <v>43</v>
      </c>
      <c r="B49" s="3" t="str">
        <f>IF($A49&gt;KEY!$B$2,"",IFERROR(VLOOKUP($A49,KEY!$A$5:$D$74,4,FALSE),""))</f>
        <v>Orange County</v>
      </c>
      <c r="C49" s="160">
        <f t="shared" si="0"/>
        <v>45992</v>
      </c>
      <c r="E49" s="3" t="str">
        <f>IF($A49&gt;KEY!$B$2,"",IFERROR(VLOOKUP($A49,KEY!$A$5:$B$74,2,FALSE),""))</f>
        <v>MINI of Ontario</v>
      </c>
      <c r="F49" s="205">
        <f>IF($C49="","",SUMIFS(INP_PRODUCERS!$E$5:$E$2383,INP_PRODUCERS!$D$5:$D$2383,$E49,INP_PRODUCERS!$B$5:$B$2383,$C49))</f>
        <v>3</v>
      </c>
      <c r="G49" s="206">
        <f>IF($C49="","",SUMIFS(INP_PRODUCERS!$E$5:$E$2383,INP_PRODUCERS!$D$5:$D$2383,$E49,INP_PRODUCERS!$C$5:$C$2383,VLOOKUP($C49,KEY!$AE$19:$AH$60,3,FALSE)))</f>
        <v>9</v>
      </c>
      <c r="H49" s="207">
        <f>IF($C49="","",SUMIFS(INP_TRNGATT!$D$5:$D$1051,INP_TRNGATT!$C$5:$C$1051,$E49,INP_TRNGATT!$B$5:$B$1051,VLOOKUP($C49,KEY!$AE$19:$AH$60,3,FALSE)))</f>
        <v>9</v>
      </c>
      <c r="I49" s="208">
        <f>IF($C49="","",SUMIFS(INP_DATA!E$5:E$3027,INP_DATA!$B$5:$B$3027,$C49,INP_DATA!$D$5:$D$3027,$E49))</f>
        <v>2</v>
      </c>
      <c r="J49" s="99">
        <f>IF($C49="","",IF(COUNTIFS(INP_MYSSHP!$B$5:$B$985,VLOOKUP($C49,KEY!$AE$19:$AH$60,3,FALSE),INP_MYSSHP!$C$5:$C$985,$E49)=0,"N/A",SUMIFS(INP_MYSSHP!$D$5:$D$2349,INP_MYSSHP!$C$5:$C$2349,$E49,INP_MYSSHP!$B$5:$B$2349,VLOOKUP($C49,KEY!$AE$19:$AH$60,3,FALSE))))</f>
        <v>0.875</v>
      </c>
      <c r="K49" s="169">
        <f>IF($C49="","",SUMIFS(INP_DATA!F$5:F$3027,INP_DATA!$B$5:$B$3027,$C49,INP_DATA!$D$5:$D$3027,$E49))</f>
        <v>0</v>
      </c>
      <c r="L49" s="169">
        <f>IF($C49="","",SUMIFS(INP_DATA!G$5:G$3027,INP_DATA!$B$5:$B$3027,$C49,INP_DATA!$D$5:$D$3027,$E49))</f>
        <v>0</v>
      </c>
      <c r="M49" s="100">
        <f>IF($C49="","",SUMIFS(INP_DATA!H$5:H$3027,INP_DATA!$B$5:$B$3027,$C49,INP_DATA!$D$5:$D$3027,$E49))</f>
        <v>43</v>
      </c>
      <c r="N49" s="100">
        <f>IF($C49="","",SUMIFS(INP_DATA!I$5:I$3027,INP_DATA!$B$5:$B$3027,$C49,INP_DATA!$D$5:$D$3027,$E49))</f>
        <v>9</v>
      </c>
      <c r="O49" s="100">
        <f>IF($C49="","",SUMIFS(INP_DATA!J$5:J$3027,INP_DATA!$B$5:$B$3027,$C49,INP_DATA!$D$5:$D$3027,$E49))</f>
        <v>15</v>
      </c>
      <c r="P49" s="100">
        <f>IF($C49="","",SUMIFS(INP_DATA!K$5:K$3027,INP_DATA!$B$5:$B$3027,$C49,INP_DATA!$D$5:$D$3027,$E49))</f>
        <v>4</v>
      </c>
      <c r="Q49" s="100">
        <f>IF($C49="","",SUMIFS(INP_DATA!L$5:L$3027,INP_DATA!$B$5:$B$3027,$C49,INP_DATA!$D$5:$D$3027,$E49))</f>
        <v>44</v>
      </c>
      <c r="R49" s="100">
        <f>IF($C49="","",SUMIFS(INP_DATA!M$5:M$3027,INP_DATA!$B$5:$B$3027,$C49,INP_DATA!$D$5:$D$3027,$E49))</f>
        <v>14</v>
      </c>
      <c r="S49" s="100">
        <f>IF($C49="","",SUMIFS(INP_DATA!N$5:N$3027,INP_DATA!$B$5:$B$3027,$C49,INP_DATA!$D$5:$D$3027,$E49))</f>
        <v>27</v>
      </c>
      <c r="T49" s="101">
        <f>IF($C49="","",SUMIFS(INP_DATA!O$5:O$3027,INP_DATA!$B$5:$B$3027,$C49,INP_DATA!$D$5:$D$3027,$E49))</f>
        <v>66</v>
      </c>
      <c r="U49" s="102">
        <f>IF($C49="","",SUMIFS(INP_DATA!P$5:P$3027,INP_DATA!$B$5:$B$3027,$C49,INP_DATA!$D$5:$D$3027,$E49))</f>
        <v>0</v>
      </c>
      <c r="V49" s="102">
        <f>IF($C49="","",SUMIFS(INP_DATA!Q$5:Q$3027,INP_DATA!$B$5:$B$3027,$C49,INP_DATA!$D$5:$D$3027,$E49))</f>
        <v>0</v>
      </c>
      <c r="W49" s="109"/>
      <c r="X49" s="203">
        <f>COUNTIFS(INP_DATA!$R$5:$R$3027,X$6,INP_DATA!$D$5:$D$3027,$E49,INP_DATA!$B$5:$B$3027,$C49)</f>
        <v>0</v>
      </c>
      <c r="Y49" s="204">
        <f>COUNTIFS(INP_DATA!$R$5:$R$3027,Y$6,INP_DATA!$D$5:$D$3027,$E49,INP_DATA!$B$5:$B$3027,$C49)</f>
        <v>0</v>
      </c>
      <c r="AA49" s="407" t="str">
        <f t="shared" si="3"/>
        <v>MINI of Ontario</v>
      </c>
      <c r="AB49" s="406" t="str">
        <f t="shared" si="11"/>
        <v>N/A</v>
      </c>
      <c r="AC49" s="406">
        <f t="shared" si="12"/>
        <v>3</v>
      </c>
      <c r="AD49" s="412">
        <f t="shared" si="4"/>
        <v>0.66666666666666663</v>
      </c>
      <c r="AE49" s="413">
        <f t="shared" si="5"/>
        <v>0.875</v>
      </c>
      <c r="AF49" s="406">
        <f t="shared" si="6"/>
        <v>0.20930232558139536</v>
      </c>
      <c r="AG49" s="406">
        <f t="shared" si="7"/>
        <v>0.26666666666666666</v>
      </c>
      <c r="AH49" s="406" t="str">
        <f t="shared" si="8"/>
        <v>N/A</v>
      </c>
      <c r="AI49" s="406">
        <f t="shared" si="9"/>
        <v>0.66666666666666663</v>
      </c>
      <c r="AJ49" s="406">
        <f t="shared" si="10"/>
        <v>0.51851851851851849</v>
      </c>
    </row>
    <row r="50" spans="1:36" x14ac:dyDescent="0.35">
      <c r="A50" s="57">
        <v>44</v>
      </c>
      <c r="B50" s="3" t="str">
        <f>IF($A50&gt;KEY!$B$2,"",IFERROR(VLOOKUP($A50,KEY!$A$5:$D$74,4,FALSE),""))</f>
        <v>Southern California</v>
      </c>
      <c r="C50" s="160">
        <f t="shared" si="0"/>
        <v>45992</v>
      </c>
      <c r="E50" s="3" t="str">
        <f>IF($A50&gt;KEY!$B$2,"",IFERROR(VLOOKUP($A50,KEY!$A$5:$B$74,2,FALSE),""))</f>
        <v>MINI of San Diego</v>
      </c>
      <c r="F50" s="205">
        <f>IF($C50="","",SUMIFS(INP_PRODUCERS!$E$5:$E$2383,INP_PRODUCERS!$D$5:$D$2383,$E50,INP_PRODUCERS!$B$5:$B$2383,$C50))</f>
        <v>4</v>
      </c>
      <c r="G50" s="206">
        <f>IF($C50="","",SUMIFS(INP_PRODUCERS!$E$5:$E$2383,INP_PRODUCERS!$D$5:$D$2383,$E50,INP_PRODUCERS!$C$5:$C$2383,VLOOKUP($C50,KEY!$AE$19:$AH$60,3,FALSE)))</f>
        <v>11</v>
      </c>
      <c r="H50" s="207">
        <f>IF($C50="","",SUMIFS(INP_TRNGATT!$D$5:$D$1051,INP_TRNGATT!$C$5:$C$1051,$E50,INP_TRNGATT!$B$5:$B$1051,VLOOKUP($C50,KEY!$AE$19:$AH$60,3,FALSE)))</f>
        <v>24</v>
      </c>
      <c r="I50" s="208">
        <f>IF($C50="","",SUMIFS(INP_DATA!E$5:E$3027,INP_DATA!$B$5:$B$3027,$C50,INP_DATA!$D$5:$D$3027,$E50))</f>
        <v>16</v>
      </c>
      <c r="J50" s="99">
        <f>IF($C50="","",IF(COUNTIFS(INP_MYSSHP!$B$5:$B$985,VLOOKUP($C50,KEY!$AE$19:$AH$60,3,FALSE),INP_MYSSHP!$C$5:$C$985,$E50)=0,"N/A",SUMIFS(INP_MYSSHP!$D$5:$D$2349,INP_MYSSHP!$C$5:$C$2349,$E50,INP_MYSSHP!$B$5:$B$2349,VLOOKUP($C50,KEY!$AE$19:$AH$60,3,FALSE))))</f>
        <v>1</v>
      </c>
      <c r="K50" s="169">
        <f>IF($C50="","",SUMIFS(INP_DATA!F$5:F$3027,INP_DATA!$B$5:$B$3027,$C50,INP_DATA!$D$5:$D$3027,$E50))</f>
        <v>59</v>
      </c>
      <c r="L50" s="169">
        <f>IF($C50="","",SUMIFS(INP_DATA!G$5:G$3027,INP_DATA!$B$5:$B$3027,$C50,INP_DATA!$D$5:$D$3027,$E50))</f>
        <v>52</v>
      </c>
      <c r="M50" s="100">
        <f>IF($C50="","",SUMIFS(INP_DATA!H$5:H$3027,INP_DATA!$B$5:$B$3027,$C50,INP_DATA!$D$5:$D$3027,$E50))</f>
        <v>85</v>
      </c>
      <c r="N50" s="100">
        <f>IF($C50="","",SUMIFS(INP_DATA!I$5:I$3027,INP_DATA!$B$5:$B$3027,$C50,INP_DATA!$D$5:$D$3027,$E50))</f>
        <v>17</v>
      </c>
      <c r="O50" s="100">
        <f>IF($C50="","",SUMIFS(INP_DATA!J$5:J$3027,INP_DATA!$B$5:$B$3027,$C50,INP_DATA!$D$5:$D$3027,$E50))</f>
        <v>16</v>
      </c>
      <c r="P50" s="100">
        <f>IF($C50="","",SUMIFS(INP_DATA!K$5:K$3027,INP_DATA!$B$5:$B$3027,$C50,INP_DATA!$D$5:$D$3027,$E50))</f>
        <v>4</v>
      </c>
      <c r="Q50" s="100">
        <f>IF($C50="","",SUMIFS(INP_DATA!L$5:L$3027,INP_DATA!$B$5:$B$3027,$C50,INP_DATA!$D$5:$D$3027,$E50))</f>
        <v>86</v>
      </c>
      <c r="R50" s="100">
        <f>IF($C50="","",SUMIFS(INP_DATA!M$5:M$3027,INP_DATA!$B$5:$B$3027,$C50,INP_DATA!$D$5:$D$3027,$E50))</f>
        <v>34</v>
      </c>
      <c r="S50" s="100">
        <f>IF($C50="","",SUMIFS(INP_DATA!N$5:N$3027,INP_DATA!$B$5:$B$3027,$C50,INP_DATA!$D$5:$D$3027,$E50))</f>
        <v>59</v>
      </c>
      <c r="T50" s="101">
        <f>IF($C50="","",SUMIFS(INP_DATA!O$5:O$3027,INP_DATA!$B$5:$B$3027,$C50,INP_DATA!$D$5:$D$3027,$E50))</f>
        <v>88</v>
      </c>
      <c r="U50" s="102">
        <f>IF($C50="","",SUMIFS(INP_DATA!P$5:P$3027,INP_DATA!$B$5:$B$3027,$C50,INP_DATA!$D$5:$D$3027,$E50))</f>
        <v>10</v>
      </c>
      <c r="V50" s="102">
        <f>IF($C50="","",SUMIFS(INP_DATA!Q$5:Q$3027,INP_DATA!$B$5:$B$3027,$C50,INP_DATA!$D$5:$D$3027,$E50))</f>
        <v>5</v>
      </c>
      <c r="W50" s="109"/>
      <c r="X50" s="203">
        <f>COUNTIFS(INP_DATA!$R$5:$R$3027,X$6,INP_DATA!$D$5:$D$3027,$E50,INP_DATA!$B$5:$B$3027,$C50)</f>
        <v>0</v>
      </c>
      <c r="Y50" s="204">
        <f>COUNTIFS(INP_DATA!$R$5:$R$3027,Y$6,INP_DATA!$D$5:$D$3027,$E50,INP_DATA!$B$5:$B$3027,$C50)</f>
        <v>0</v>
      </c>
      <c r="AA50" s="407" t="str">
        <f t="shared" si="3"/>
        <v>MINI of San Diego</v>
      </c>
      <c r="AB50" s="406">
        <f t="shared" si="11"/>
        <v>1.1346153846153846</v>
      </c>
      <c r="AC50" s="406">
        <f t="shared" si="12"/>
        <v>6.5454545454545459</v>
      </c>
      <c r="AD50" s="412">
        <f t="shared" si="4"/>
        <v>4</v>
      </c>
      <c r="AE50" s="413">
        <f t="shared" si="5"/>
        <v>1</v>
      </c>
      <c r="AF50" s="406">
        <f t="shared" si="6"/>
        <v>0.2</v>
      </c>
      <c r="AG50" s="406">
        <f t="shared" si="7"/>
        <v>0.25</v>
      </c>
      <c r="AH50" s="406">
        <f t="shared" si="8"/>
        <v>0.5</v>
      </c>
      <c r="AI50" s="406">
        <f t="shared" si="9"/>
        <v>0.97727272727272729</v>
      </c>
      <c r="AJ50" s="406">
        <f t="shared" si="10"/>
        <v>0.57627118644067798</v>
      </c>
    </row>
    <row r="51" spans="1:36" x14ac:dyDescent="0.35">
      <c r="A51" s="57">
        <v>45</v>
      </c>
      <c r="B51" s="3" t="str">
        <f>IF($A51&gt;KEY!$B$2,"",IFERROR(VLOOKUP($A51,KEY!$A$5:$D$74,4,FALSE),""))</f>
        <v>Arizona</v>
      </c>
      <c r="C51" s="160">
        <f t="shared" si="0"/>
        <v>45992</v>
      </c>
      <c r="E51" s="3" t="str">
        <f>IF($A51&gt;KEY!$B$2,"",IFERROR(VLOOKUP($A51,KEY!$A$5:$B$74,2,FALSE),""))</f>
        <v>MINI of Tempe</v>
      </c>
      <c r="F51" s="205">
        <f>IF($C51="","",SUMIFS(INP_PRODUCERS!$E$5:$E$2383,INP_PRODUCERS!$D$5:$D$2383,$E51,INP_PRODUCERS!$B$5:$B$2383,$C51))</f>
        <v>4</v>
      </c>
      <c r="G51" s="206">
        <f>IF($C51="","",SUMIFS(INP_PRODUCERS!$E$5:$E$2383,INP_PRODUCERS!$D$5:$D$2383,$E51,INP_PRODUCERS!$C$5:$C$2383,VLOOKUP($C51,KEY!$AE$19:$AH$60,3,FALSE)))</f>
        <v>12</v>
      </c>
      <c r="H51" s="207">
        <f>IF($C51="","",SUMIFS(INP_TRNGATT!$D$5:$D$1051,INP_TRNGATT!$C$5:$C$1051,$E51,INP_TRNGATT!$B$5:$B$1051,VLOOKUP($C51,KEY!$AE$19:$AH$60,3,FALSE)))</f>
        <v>32</v>
      </c>
      <c r="I51" s="208">
        <f>IF($C51="","",SUMIFS(INP_DATA!E$5:E$3027,INP_DATA!$B$5:$B$3027,$C51,INP_DATA!$D$5:$D$3027,$E51))</f>
        <v>3</v>
      </c>
      <c r="J51" s="99">
        <f>IF($C51="","",IF(COUNTIFS(INP_MYSSHP!$B$5:$B$985,VLOOKUP($C51,KEY!$AE$19:$AH$60,3,FALSE),INP_MYSSHP!$C$5:$C$985,$E51)=0,"N/A",SUMIFS(INP_MYSSHP!$D$5:$D$2349,INP_MYSSHP!$C$5:$C$2349,$E51,INP_MYSSHP!$B$5:$B$2349,VLOOKUP($C51,KEY!$AE$19:$AH$60,3,FALSE))))</f>
        <v>1</v>
      </c>
      <c r="K51" s="169">
        <f>IF($C51="","",SUMIFS(INP_DATA!F$5:F$3027,INP_DATA!$B$5:$B$3027,$C51,INP_DATA!$D$5:$D$3027,$E51))</f>
        <v>23</v>
      </c>
      <c r="L51" s="169">
        <f>IF($C51="","",SUMIFS(INP_DATA!G$5:G$3027,INP_DATA!$B$5:$B$3027,$C51,INP_DATA!$D$5:$D$3027,$E51))</f>
        <v>45</v>
      </c>
      <c r="M51" s="100">
        <f>IF($C51="","",SUMIFS(INP_DATA!H$5:H$3027,INP_DATA!$B$5:$B$3027,$C51,INP_DATA!$D$5:$D$3027,$E51))</f>
        <v>47</v>
      </c>
      <c r="N51" s="100">
        <f>IF($C51="","",SUMIFS(INP_DATA!I$5:I$3027,INP_DATA!$B$5:$B$3027,$C51,INP_DATA!$D$5:$D$3027,$E51))</f>
        <v>8</v>
      </c>
      <c r="O51" s="100">
        <f>IF($C51="","",SUMIFS(INP_DATA!J$5:J$3027,INP_DATA!$B$5:$B$3027,$C51,INP_DATA!$D$5:$D$3027,$E51))</f>
        <v>5</v>
      </c>
      <c r="P51" s="100">
        <f>IF($C51="","",SUMIFS(INP_DATA!K$5:K$3027,INP_DATA!$B$5:$B$3027,$C51,INP_DATA!$D$5:$D$3027,$E51))</f>
        <v>2</v>
      </c>
      <c r="Q51" s="100">
        <f>IF($C51="","",SUMIFS(INP_DATA!L$5:L$3027,INP_DATA!$B$5:$B$3027,$C51,INP_DATA!$D$5:$D$3027,$E51))</f>
        <v>51</v>
      </c>
      <c r="R51" s="100">
        <f>IF($C51="","",SUMIFS(INP_DATA!M$5:M$3027,INP_DATA!$B$5:$B$3027,$C51,INP_DATA!$D$5:$D$3027,$E51))</f>
        <v>27</v>
      </c>
      <c r="S51" s="100">
        <f>IF($C51="","",SUMIFS(INP_DATA!N$5:N$3027,INP_DATA!$B$5:$B$3027,$C51,INP_DATA!$D$5:$D$3027,$E51))</f>
        <v>23</v>
      </c>
      <c r="T51" s="101">
        <f>IF($C51="","",SUMIFS(INP_DATA!O$5:O$3027,INP_DATA!$B$5:$B$3027,$C51,INP_DATA!$D$5:$D$3027,$E51))</f>
        <v>88</v>
      </c>
      <c r="U51" s="102">
        <f>IF($C51="","",SUMIFS(INP_DATA!P$5:P$3027,INP_DATA!$B$5:$B$3027,$C51,INP_DATA!$D$5:$D$3027,$E51))</f>
        <v>2</v>
      </c>
      <c r="V51" s="102">
        <f>IF($C51="","",SUMIFS(INP_DATA!Q$5:Q$3027,INP_DATA!$B$5:$B$3027,$C51,INP_DATA!$D$5:$D$3027,$E51))</f>
        <v>1</v>
      </c>
      <c r="W51" s="109"/>
      <c r="X51" s="203">
        <f>COUNTIFS(INP_DATA!$R$5:$R$3027,X$6,INP_DATA!$D$5:$D$3027,$E51,INP_DATA!$B$5:$B$3027,$C51)</f>
        <v>0</v>
      </c>
      <c r="Y51" s="204">
        <f>COUNTIFS(INP_DATA!$R$5:$R$3027,Y$6,INP_DATA!$D$5:$D$3027,$E51,INP_DATA!$B$5:$B$3027,$C51)</f>
        <v>0</v>
      </c>
      <c r="AA51" s="407" t="str">
        <f t="shared" si="3"/>
        <v>MINI of Tempe</v>
      </c>
      <c r="AB51" s="406">
        <f t="shared" si="11"/>
        <v>0.51111111111111107</v>
      </c>
      <c r="AC51" s="406">
        <f t="shared" si="12"/>
        <v>8</v>
      </c>
      <c r="AD51" s="412">
        <f t="shared" si="4"/>
        <v>0.75</v>
      </c>
      <c r="AE51" s="413">
        <f t="shared" si="5"/>
        <v>1</v>
      </c>
      <c r="AF51" s="406">
        <f t="shared" si="6"/>
        <v>0.1702127659574468</v>
      </c>
      <c r="AG51" s="406">
        <f t="shared" si="7"/>
        <v>0.4</v>
      </c>
      <c r="AH51" s="406">
        <f t="shared" si="8"/>
        <v>0.5</v>
      </c>
      <c r="AI51" s="406">
        <f t="shared" si="9"/>
        <v>0.57954545454545459</v>
      </c>
      <c r="AJ51" s="406">
        <f t="shared" si="10"/>
        <v>1.173913043478261</v>
      </c>
    </row>
    <row r="52" spans="1:36" x14ac:dyDescent="0.35">
      <c r="A52" s="57">
        <v>46</v>
      </c>
      <c r="B52" s="3" t="str">
        <f>IF($A52&gt;KEY!$B$2,"",IFERROR(VLOOKUP($A52,KEY!$A$5:$D$74,4,FALSE),""))</f>
        <v>Michigan &amp; Minnesota</v>
      </c>
      <c r="C52" s="160">
        <f t="shared" si="0"/>
        <v>45992</v>
      </c>
      <c r="E52" s="3" t="str">
        <f>IF($A52&gt;KEY!$B$2,"",IFERROR(VLOOKUP($A52,KEY!$A$5:$B$74,2,FALSE),""))</f>
        <v>Motorwerks BMW</v>
      </c>
      <c r="F52" s="205">
        <f>IF($C52="","",SUMIFS(INP_PRODUCERS!$E$5:$E$2383,INP_PRODUCERS!$D$5:$D$2383,$E52,INP_PRODUCERS!$B$5:$B$2383,$C52))</f>
        <v>18</v>
      </c>
      <c r="G52" s="206">
        <f>IF($C52="","",SUMIFS(INP_PRODUCERS!$E$5:$E$2383,INP_PRODUCERS!$D$5:$D$2383,$E52,INP_PRODUCERS!$C$5:$C$2383,VLOOKUP($C52,KEY!$AE$19:$AH$60,3,FALSE)))</f>
        <v>57</v>
      </c>
      <c r="H52" s="207">
        <f>IF($C52="","",SUMIFS(INP_TRNGATT!$D$5:$D$1051,INP_TRNGATT!$C$5:$C$1051,$E52,INP_TRNGATT!$B$5:$B$1051,VLOOKUP($C52,KEY!$AE$19:$AH$60,3,FALSE)))</f>
        <v>50</v>
      </c>
      <c r="I52" s="208">
        <f>IF($C52="","",SUMIFS(INP_DATA!E$5:E$3027,INP_DATA!$B$5:$B$3027,$C52,INP_DATA!$D$5:$D$3027,$E52))</f>
        <v>63</v>
      </c>
      <c r="J52" s="99">
        <f>IF($C52="","",IF(COUNTIFS(INP_MYSSHP!$B$5:$B$985,VLOOKUP($C52,KEY!$AE$19:$AH$60,3,FALSE),INP_MYSSHP!$C$5:$C$985,$E52)=0,"N/A",SUMIFS(INP_MYSSHP!$D$5:$D$2349,INP_MYSSHP!$C$5:$C$2349,$E52,INP_MYSSHP!$B$5:$B$2349,VLOOKUP($C52,KEY!$AE$19:$AH$60,3,FALSE))))</f>
        <v>0.625</v>
      </c>
      <c r="K52" s="169">
        <f>IF($C52="","",SUMIFS(INP_DATA!F$5:F$3027,INP_DATA!$B$5:$B$3027,$C52,INP_DATA!$D$5:$D$3027,$E52))</f>
        <v>280</v>
      </c>
      <c r="L52" s="169">
        <f>IF($C52="","",SUMIFS(INP_DATA!G$5:G$3027,INP_DATA!$B$5:$B$3027,$C52,INP_DATA!$D$5:$D$3027,$E52))</f>
        <v>323</v>
      </c>
      <c r="M52" s="100">
        <f>IF($C52="","",SUMIFS(INP_DATA!H$5:H$3027,INP_DATA!$B$5:$B$3027,$C52,INP_DATA!$D$5:$D$3027,$E52))</f>
        <v>402</v>
      </c>
      <c r="N52" s="100">
        <f>IF($C52="","",SUMIFS(INP_DATA!I$5:I$3027,INP_DATA!$B$5:$B$3027,$C52,INP_DATA!$D$5:$D$3027,$E52))</f>
        <v>79</v>
      </c>
      <c r="O52" s="100">
        <f>IF($C52="","",SUMIFS(INP_DATA!J$5:J$3027,INP_DATA!$B$5:$B$3027,$C52,INP_DATA!$D$5:$D$3027,$E52))</f>
        <v>153</v>
      </c>
      <c r="P52" s="100">
        <f>IF($C52="","",SUMIFS(INP_DATA!K$5:K$3027,INP_DATA!$B$5:$B$3027,$C52,INP_DATA!$D$5:$D$3027,$E52))</f>
        <v>45</v>
      </c>
      <c r="Q52" s="100">
        <f>IF($C52="","",SUMIFS(INP_DATA!L$5:L$3027,INP_DATA!$B$5:$B$3027,$C52,INP_DATA!$D$5:$D$3027,$E52))</f>
        <v>394</v>
      </c>
      <c r="R52" s="100">
        <f>IF($C52="","",SUMIFS(INP_DATA!M$5:M$3027,INP_DATA!$B$5:$B$3027,$C52,INP_DATA!$D$5:$D$3027,$E52))</f>
        <v>139</v>
      </c>
      <c r="S52" s="100">
        <f>IF($C52="","",SUMIFS(INP_DATA!N$5:N$3027,INP_DATA!$B$5:$B$3027,$C52,INP_DATA!$D$5:$D$3027,$E52))</f>
        <v>282</v>
      </c>
      <c r="T52" s="101">
        <f>IF($C52="","",SUMIFS(INP_DATA!O$5:O$3027,INP_DATA!$B$5:$B$3027,$C52,INP_DATA!$D$5:$D$3027,$E52))</f>
        <v>396</v>
      </c>
      <c r="U52" s="102">
        <f>IF($C52="","",SUMIFS(INP_DATA!P$5:P$3027,INP_DATA!$B$5:$B$3027,$C52,INP_DATA!$D$5:$D$3027,$E52))</f>
        <v>24</v>
      </c>
      <c r="V52" s="102">
        <f>IF($C52="","",SUMIFS(INP_DATA!Q$5:Q$3027,INP_DATA!$B$5:$B$3027,$C52,INP_DATA!$D$5:$D$3027,$E52))</f>
        <v>21</v>
      </c>
      <c r="W52" s="109"/>
      <c r="X52" s="203">
        <f>COUNTIFS(INP_DATA!$R$5:$R$3027,X$6,INP_DATA!$D$5:$D$3027,$E52,INP_DATA!$B$5:$B$3027,$C52)</f>
        <v>0</v>
      </c>
      <c r="Y52" s="204">
        <f>COUNTIFS(INP_DATA!$R$5:$R$3027,Y$6,INP_DATA!$D$5:$D$3027,$E52,INP_DATA!$B$5:$B$3027,$C52)</f>
        <v>0</v>
      </c>
      <c r="AA52" s="407" t="str">
        <f t="shared" si="3"/>
        <v>Motorwerks BMW</v>
      </c>
      <c r="AB52" s="406">
        <f t="shared" si="11"/>
        <v>0.86687306501547989</v>
      </c>
      <c r="AC52" s="406">
        <f t="shared" si="12"/>
        <v>2.6315789473684212</v>
      </c>
      <c r="AD52" s="412">
        <f t="shared" si="4"/>
        <v>3.5</v>
      </c>
      <c r="AE52" s="413">
        <f t="shared" si="5"/>
        <v>0.625</v>
      </c>
      <c r="AF52" s="406">
        <f t="shared" si="6"/>
        <v>0.19651741293532338</v>
      </c>
      <c r="AG52" s="406">
        <f t="shared" si="7"/>
        <v>0.29411764705882354</v>
      </c>
      <c r="AH52" s="406">
        <f t="shared" si="8"/>
        <v>0.875</v>
      </c>
      <c r="AI52" s="406">
        <f t="shared" si="9"/>
        <v>0.99494949494949492</v>
      </c>
      <c r="AJ52" s="406">
        <f t="shared" si="10"/>
        <v>0.49290780141843971</v>
      </c>
    </row>
    <row r="53" spans="1:36" x14ac:dyDescent="0.35">
      <c r="A53" s="57">
        <v>47</v>
      </c>
      <c r="B53" s="3" t="str">
        <f>IF($A53&gt;KEY!$B$2,"",IFERROR(VLOOKUP($A53,KEY!$A$5:$D$74,4,FALSE),""))</f>
        <v>Michigan &amp; Minnesota</v>
      </c>
      <c r="C53" s="160">
        <f t="shared" si="0"/>
        <v>45992</v>
      </c>
      <c r="E53" s="3" t="str">
        <f>IF($A53&gt;KEY!$B$2,"",IFERROR(VLOOKUP($A53,KEY!$A$5:$B$74,2,FALSE),""))</f>
        <v>Motorwerks MINI</v>
      </c>
      <c r="F53" s="205">
        <f>IF($C53="","",SUMIFS(INP_PRODUCERS!$E$5:$E$2383,INP_PRODUCERS!$D$5:$D$2383,$E53,INP_PRODUCERS!$B$5:$B$2383,$C53))</f>
        <v>5</v>
      </c>
      <c r="G53" s="206">
        <f>IF($C53="","",SUMIFS(INP_PRODUCERS!$E$5:$E$2383,INP_PRODUCERS!$D$5:$D$2383,$E53,INP_PRODUCERS!$C$5:$C$2383,VLOOKUP($C53,KEY!$AE$19:$AH$60,3,FALSE)))</f>
        <v>17</v>
      </c>
      <c r="H53" s="207">
        <f>IF($C53="","",SUMIFS(INP_TRNGATT!$D$5:$D$1051,INP_TRNGATT!$C$5:$C$1051,$E53,INP_TRNGATT!$B$5:$B$1051,VLOOKUP($C53,KEY!$AE$19:$AH$60,3,FALSE)))</f>
        <v>32</v>
      </c>
      <c r="I53" s="208">
        <f>IF($C53="","",SUMIFS(INP_DATA!E$5:E$3027,INP_DATA!$B$5:$B$3027,$C53,INP_DATA!$D$5:$D$3027,$E53))</f>
        <v>11</v>
      </c>
      <c r="J53" s="99">
        <f>IF($C53="","",IF(COUNTIFS(INP_MYSSHP!$B$5:$B$985,VLOOKUP($C53,KEY!$AE$19:$AH$60,3,FALSE),INP_MYSSHP!$C$5:$C$985,$E53)=0,"N/A",SUMIFS(INP_MYSSHP!$D$5:$D$2349,INP_MYSSHP!$C$5:$C$2349,$E53,INP_MYSSHP!$B$5:$B$2349,VLOOKUP($C53,KEY!$AE$19:$AH$60,3,FALSE))))</f>
        <v>0.875</v>
      </c>
      <c r="K53" s="169">
        <f>IF($C53="","",SUMIFS(INP_DATA!F$5:F$3027,INP_DATA!$B$5:$B$3027,$C53,INP_DATA!$D$5:$D$3027,$E53))</f>
        <v>65</v>
      </c>
      <c r="L53" s="169">
        <f>IF($C53="","",SUMIFS(INP_DATA!G$5:G$3027,INP_DATA!$B$5:$B$3027,$C53,INP_DATA!$D$5:$D$3027,$E53))</f>
        <v>48</v>
      </c>
      <c r="M53" s="100">
        <f>IF($C53="","",SUMIFS(INP_DATA!H$5:H$3027,INP_DATA!$B$5:$B$3027,$C53,INP_DATA!$D$5:$D$3027,$E53))</f>
        <v>123</v>
      </c>
      <c r="N53" s="100">
        <f>IF($C53="","",SUMIFS(INP_DATA!I$5:I$3027,INP_DATA!$B$5:$B$3027,$C53,INP_DATA!$D$5:$D$3027,$E53))</f>
        <v>22</v>
      </c>
      <c r="O53" s="100">
        <f>IF($C53="","",SUMIFS(INP_DATA!J$5:J$3027,INP_DATA!$B$5:$B$3027,$C53,INP_DATA!$D$5:$D$3027,$E53))</f>
        <v>28</v>
      </c>
      <c r="P53" s="100">
        <f>IF($C53="","",SUMIFS(INP_DATA!K$5:K$3027,INP_DATA!$B$5:$B$3027,$C53,INP_DATA!$D$5:$D$3027,$E53))</f>
        <v>8</v>
      </c>
      <c r="Q53" s="100">
        <f>IF($C53="","",SUMIFS(INP_DATA!L$5:L$3027,INP_DATA!$B$5:$B$3027,$C53,INP_DATA!$D$5:$D$3027,$E53))</f>
        <v>90</v>
      </c>
      <c r="R53" s="100">
        <f>IF($C53="","",SUMIFS(INP_DATA!M$5:M$3027,INP_DATA!$B$5:$B$3027,$C53,INP_DATA!$D$5:$D$3027,$E53))</f>
        <v>40</v>
      </c>
      <c r="S53" s="100">
        <f>IF($C53="","",SUMIFS(INP_DATA!N$5:N$3027,INP_DATA!$B$5:$B$3027,$C53,INP_DATA!$D$5:$D$3027,$E53))</f>
        <v>67</v>
      </c>
      <c r="T53" s="101">
        <f>IF($C53="","",SUMIFS(INP_DATA!O$5:O$3027,INP_DATA!$B$5:$B$3027,$C53,INP_DATA!$D$5:$D$3027,$E53))</f>
        <v>110</v>
      </c>
      <c r="U53" s="102">
        <f>IF($C53="","",SUMIFS(INP_DATA!P$5:P$3027,INP_DATA!$B$5:$B$3027,$C53,INP_DATA!$D$5:$D$3027,$E53))</f>
        <v>1</v>
      </c>
      <c r="V53" s="102">
        <f>IF($C53="","",SUMIFS(INP_DATA!Q$5:Q$3027,INP_DATA!$B$5:$B$3027,$C53,INP_DATA!$D$5:$D$3027,$E53))</f>
        <v>0</v>
      </c>
      <c r="W53" s="109"/>
      <c r="X53" s="203">
        <f>COUNTIFS(INP_DATA!$R$5:$R$3027,X$6,INP_DATA!$D$5:$D$3027,$E53,INP_DATA!$B$5:$B$3027,$C53)</f>
        <v>0</v>
      </c>
      <c r="Y53" s="204">
        <f>COUNTIFS(INP_DATA!$R$5:$R$3027,Y$6,INP_DATA!$D$5:$D$3027,$E53,INP_DATA!$B$5:$B$3027,$C53)</f>
        <v>0</v>
      </c>
      <c r="AA53" s="407" t="str">
        <f t="shared" si="3"/>
        <v>Motorwerks MINI</v>
      </c>
      <c r="AB53" s="406">
        <f t="shared" si="11"/>
        <v>1.3541666666666667</v>
      </c>
      <c r="AC53" s="406">
        <f t="shared" si="12"/>
        <v>5.6470588235294112</v>
      </c>
      <c r="AD53" s="412">
        <f t="shared" si="4"/>
        <v>2.2000000000000002</v>
      </c>
      <c r="AE53" s="413">
        <f t="shared" si="5"/>
        <v>0.875</v>
      </c>
      <c r="AF53" s="406">
        <f t="shared" si="6"/>
        <v>0.17886178861788618</v>
      </c>
      <c r="AG53" s="406">
        <f t="shared" si="7"/>
        <v>0.2857142857142857</v>
      </c>
      <c r="AH53" s="406">
        <f t="shared" si="8"/>
        <v>0</v>
      </c>
      <c r="AI53" s="406">
        <f t="shared" si="9"/>
        <v>0.81818181818181823</v>
      </c>
      <c r="AJ53" s="406">
        <f t="shared" si="10"/>
        <v>0.59701492537313428</v>
      </c>
    </row>
    <row r="54" spans="1:36" x14ac:dyDescent="0.35">
      <c r="A54" s="57">
        <v>48</v>
      </c>
      <c r="B54" s="3" t="str">
        <f>IF($A54&gt;KEY!$B$2,"",IFERROR(VLOOKUP($A54,KEY!$A$5:$D$74,4,FALSE),""))</f>
        <v>Indiana</v>
      </c>
      <c r="C54" s="160">
        <f t="shared" ref="C54:C76" si="22">$F$4</f>
        <v>45992</v>
      </c>
      <c r="E54" s="3" t="str">
        <f>IF($A54&gt;KEY!$B$2,"",IFERROR(VLOOKUP($A54,KEY!$A$5:$B$74,2,FALSE),""))</f>
        <v>Penske Chevrolet</v>
      </c>
      <c r="F54" s="205">
        <f>IF($C54="","",SUMIFS(INP_PRODUCERS!$E$5:$E$2383,INP_PRODUCERS!$D$5:$D$2383,$E54,INP_PRODUCERS!$B$5:$B$2383,$C54))</f>
        <v>10</v>
      </c>
      <c r="G54" s="206">
        <f>IF($C54="","",SUMIFS(INP_PRODUCERS!$E$5:$E$2383,INP_PRODUCERS!$D$5:$D$2383,$E54,INP_PRODUCERS!$C$5:$C$2383,VLOOKUP($C54,KEY!$AE$19:$AH$60,3,FALSE)))</f>
        <v>33</v>
      </c>
      <c r="H54" s="207">
        <f>IF($C54="","",SUMIFS(INP_TRNGATT!$D$5:$D$1051,INP_TRNGATT!$C$5:$C$1051,$E54,INP_TRNGATT!$B$5:$B$1051,VLOOKUP($C54,KEY!$AE$19:$AH$60,3,FALSE)))</f>
        <v>18</v>
      </c>
      <c r="I54" s="208">
        <f>IF($C54="","",SUMIFS(INP_DATA!E$5:E$3027,INP_DATA!$B$5:$B$3027,$C54,INP_DATA!$D$5:$D$3027,$E54))</f>
        <v>8</v>
      </c>
      <c r="J54" s="99">
        <f>IF($C54="","",IF(COUNTIFS(INP_MYSSHP!$B$5:$B$985,VLOOKUP($C54,KEY!$AE$19:$AH$60,3,FALSE),INP_MYSSHP!$C$5:$C$985,$E54)=0,"N/A",SUMIFS(INP_MYSSHP!$D$5:$D$2349,INP_MYSSHP!$C$5:$C$2349,$E54,INP_MYSSHP!$B$5:$B$2349,VLOOKUP($C54,KEY!$AE$19:$AH$60,3,FALSE))))</f>
        <v>0.875</v>
      </c>
      <c r="K54" s="169">
        <f>IF($C54="","",SUMIFS(INP_DATA!F$5:F$3027,INP_DATA!$B$5:$B$3027,$C54,INP_DATA!$D$5:$D$3027,$E54))</f>
        <v>110</v>
      </c>
      <c r="L54" s="169">
        <f>IF($C54="","",SUMIFS(INP_DATA!G$5:G$3027,INP_DATA!$B$5:$B$3027,$C54,INP_DATA!$D$5:$D$3027,$E54))</f>
        <v>139</v>
      </c>
      <c r="M54" s="100">
        <f>IF($C54="","",SUMIFS(INP_DATA!H$5:H$3027,INP_DATA!$B$5:$B$3027,$C54,INP_DATA!$D$5:$D$3027,$E54))</f>
        <v>228</v>
      </c>
      <c r="N54" s="100">
        <f>IF($C54="","",SUMIFS(INP_DATA!I$5:I$3027,INP_DATA!$B$5:$B$3027,$C54,INP_DATA!$D$5:$D$3027,$E54))</f>
        <v>43</v>
      </c>
      <c r="O54" s="100">
        <f>IF($C54="","",SUMIFS(INP_DATA!J$5:J$3027,INP_DATA!$B$5:$B$3027,$C54,INP_DATA!$D$5:$D$3027,$E54))</f>
        <v>106</v>
      </c>
      <c r="P54" s="100">
        <f>IF($C54="","",SUMIFS(INP_DATA!K$5:K$3027,INP_DATA!$B$5:$B$3027,$C54,INP_DATA!$D$5:$D$3027,$E54))</f>
        <v>18</v>
      </c>
      <c r="Q54" s="100">
        <f>IF($C54="","",SUMIFS(INP_DATA!L$5:L$3027,INP_DATA!$B$5:$B$3027,$C54,INP_DATA!$D$5:$D$3027,$E54))</f>
        <v>160</v>
      </c>
      <c r="R54" s="100">
        <f>IF($C54="","",SUMIFS(INP_DATA!M$5:M$3027,INP_DATA!$B$5:$B$3027,$C54,INP_DATA!$D$5:$D$3027,$E54))</f>
        <v>51</v>
      </c>
      <c r="S54" s="100">
        <f>IF($C54="","",SUMIFS(INP_DATA!N$5:N$3027,INP_DATA!$B$5:$B$3027,$C54,INP_DATA!$D$5:$D$3027,$E54))</f>
        <v>112</v>
      </c>
      <c r="T54" s="101">
        <f>IF($C54="","",SUMIFS(INP_DATA!O$5:O$3027,INP_DATA!$B$5:$B$3027,$C54,INP_DATA!$D$5:$D$3027,$E54))</f>
        <v>220</v>
      </c>
      <c r="U54" s="102">
        <f>IF($C54="","",SUMIFS(INP_DATA!P$5:P$3027,INP_DATA!$B$5:$B$3027,$C54,INP_DATA!$D$5:$D$3027,$E54))</f>
        <v>11</v>
      </c>
      <c r="V54" s="102">
        <f>IF($C54="","",SUMIFS(INP_DATA!Q$5:Q$3027,INP_DATA!$B$5:$B$3027,$C54,INP_DATA!$D$5:$D$3027,$E54))</f>
        <v>6</v>
      </c>
      <c r="W54" s="109"/>
      <c r="X54" s="203">
        <f>COUNTIFS(INP_DATA!$R$5:$R$3027,X$6,INP_DATA!$D$5:$D$3027,$E54,INP_DATA!$B$5:$B$3027,$C54)</f>
        <v>0</v>
      </c>
      <c r="Y54" s="204">
        <f>COUNTIFS(INP_DATA!$R$5:$R$3027,Y$6,INP_DATA!$D$5:$D$3027,$E54,INP_DATA!$B$5:$B$3027,$C54)</f>
        <v>0</v>
      </c>
      <c r="AA54" s="407" t="str">
        <f t="shared" si="3"/>
        <v>Penske Chevrolet</v>
      </c>
      <c r="AB54" s="406">
        <f t="shared" si="11"/>
        <v>0.79136690647482011</v>
      </c>
      <c r="AC54" s="406">
        <f t="shared" si="12"/>
        <v>1.6363636363636365</v>
      </c>
      <c r="AD54" s="412">
        <f t="shared" si="4"/>
        <v>0.8</v>
      </c>
      <c r="AE54" s="413">
        <f t="shared" si="5"/>
        <v>0.875</v>
      </c>
      <c r="AF54" s="406">
        <f t="shared" si="6"/>
        <v>0.18859649122807018</v>
      </c>
      <c r="AG54" s="406">
        <f t="shared" si="7"/>
        <v>0.16981132075471697</v>
      </c>
      <c r="AH54" s="406">
        <f t="shared" si="8"/>
        <v>0.54545454545454541</v>
      </c>
      <c r="AI54" s="406">
        <f t="shared" si="9"/>
        <v>0.72727272727272729</v>
      </c>
      <c r="AJ54" s="406">
        <f t="shared" si="10"/>
        <v>0.45535714285714285</v>
      </c>
    </row>
    <row r="55" spans="1:36" x14ac:dyDescent="0.35">
      <c r="A55" s="57">
        <v>49</v>
      </c>
      <c r="B55" s="3" t="str">
        <f>IF($A55&gt;KEY!$B$2,"",IFERROR(VLOOKUP($A55,KEY!$A$5:$D$74,4,FALSE),""))</f>
        <v>Indiana</v>
      </c>
      <c r="C55" s="160">
        <f t="shared" si="22"/>
        <v>45992</v>
      </c>
      <c r="E55" s="3" t="str">
        <f>IF($A55&gt;KEY!$B$2,"",IFERROR(VLOOKUP($A55,KEY!$A$5:$B$74,2,FALSE),""))</f>
        <v>Penske Honda</v>
      </c>
      <c r="F55" s="205">
        <f>IF($C55="","",SUMIFS(INP_PRODUCERS!$E$5:$E$2383,INP_PRODUCERS!$D$5:$D$2383,$E55,INP_PRODUCERS!$B$5:$B$2383,$C55))</f>
        <v>25</v>
      </c>
      <c r="G55" s="206">
        <f>IF($C55="","",SUMIFS(INP_PRODUCERS!$E$5:$E$2383,INP_PRODUCERS!$D$5:$D$2383,$E55,INP_PRODUCERS!$C$5:$C$2383,VLOOKUP($C55,KEY!$AE$19:$AH$60,3,FALSE)))</f>
        <v>78</v>
      </c>
      <c r="H55" s="207">
        <f>IF($C55="","",SUMIFS(INP_TRNGATT!$D$5:$D$1051,INP_TRNGATT!$C$5:$C$1051,$E55,INP_TRNGATT!$B$5:$B$1051,VLOOKUP($C55,KEY!$AE$19:$AH$60,3,FALSE)))</f>
        <v>7</v>
      </c>
      <c r="I55" s="208">
        <f>IF($C55="","",SUMIFS(INP_DATA!E$5:E$3027,INP_DATA!$B$5:$B$3027,$C55,INP_DATA!$D$5:$D$3027,$E55))</f>
        <v>13</v>
      </c>
      <c r="J55" s="99">
        <f>IF($C55="","",IF(COUNTIFS(INP_MYSSHP!$B$5:$B$985,VLOOKUP($C55,KEY!$AE$19:$AH$60,3,FALSE),INP_MYSSHP!$C$5:$C$985,$E55)=0,"N/A",SUMIFS(INP_MYSSHP!$D$5:$D$2349,INP_MYSSHP!$C$5:$C$2349,$E55,INP_MYSSHP!$B$5:$B$2349,VLOOKUP($C55,KEY!$AE$19:$AH$60,3,FALSE))))</f>
        <v>0.625</v>
      </c>
      <c r="K55" s="169">
        <f>IF($C55="","",SUMIFS(INP_DATA!F$5:F$3027,INP_DATA!$B$5:$B$3027,$C55,INP_DATA!$D$5:$D$3027,$E55))</f>
        <v>430</v>
      </c>
      <c r="L55" s="169">
        <f>IF($C55="","",SUMIFS(INP_DATA!G$5:G$3027,INP_DATA!$B$5:$B$3027,$C55,INP_DATA!$D$5:$D$3027,$E55))</f>
        <v>498</v>
      </c>
      <c r="M55" s="100">
        <f>IF($C55="","",SUMIFS(INP_DATA!H$5:H$3027,INP_DATA!$B$5:$B$3027,$C55,INP_DATA!$D$5:$D$3027,$E55))</f>
        <v>599</v>
      </c>
      <c r="N55" s="100">
        <f>IF($C55="","",SUMIFS(INP_DATA!I$5:I$3027,INP_DATA!$B$5:$B$3027,$C55,INP_DATA!$D$5:$D$3027,$E55))</f>
        <v>115</v>
      </c>
      <c r="O55" s="100">
        <f>IF($C55="","",SUMIFS(INP_DATA!J$5:J$3027,INP_DATA!$B$5:$B$3027,$C55,INP_DATA!$D$5:$D$3027,$E55))</f>
        <v>298</v>
      </c>
      <c r="P55" s="100">
        <f>IF($C55="","",SUMIFS(INP_DATA!K$5:K$3027,INP_DATA!$B$5:$B$3027,$C55,INP_DATA!$D$5:$D$3027,$E55))</f>
        <v>80</v>
      </c>
      <c r="Q55" s="100">
        <f>IF($C55="","",SUMIFS(INP_DATA!L$5:L$3027,INP_DATA!$B$5:$B$3027,$C55,INP_DATA!$D$5:$D$3027,$E55))</f>
        <v>416</v>
      </c>
      <c r="R55" s="100">
        <f>IF($C55="","",SUMIFS(INP_DATA!M$5:M$3027,INP_DATA!$B$5:$B$3027,$C55,INP_DATA!$D$5:$D$3027,$E55))</f>
        <v>206</v>
      </c>
      <c r="S55" s="100">
        <f>IF($C55="","",SUMIFS(INP_DATA!N$5:N$3027,INP_DATA!$B$5:$B$3027,$C55,INP_DATA!$D$5:$D$3027,$E55))</f>
        <v>433</v>
      </c>
      <c r="T55" s="101">
        <f>IF($C55="","",SUMIFS(INP_DATA!O$5:O$3027,INP_DATA!$B$5:$B$3027,$C55,INP_DATA!$D$5:$D$3027,$E55))</f>
        <v>550</v>
      </c>
      <c r="U55" s="102">
        <f>IF($C55="","",SUMIFS(INP_DATA!P$5:P$3027,INP_DATA!$B$5:$B$3027,$C55,INP_DATA!$D$5:$D$3027,$E55))</f>
        <v>70</v>
      </c>
      <c r="V55" s="102">
        <f>IF($C55="","",SUMIFS(INP_DATA!Q$5:Q$3027,INP_DATA!$B$5:$B$3027,$C55,INP_DATA!$D$5:$D$3027,$E55))</f>
        <v>44</v>
      </c>
      <c r="W55" s="109"/>
      <c r="X55" s="203">
        <f>COUNTIFS(INP_DATA!$R$5:$R$3027,X$6,INP_DATA!$D$5:$D$3027,$E55,INP_DATA!$B$5:$B$3027,$C55)</f>
        <v>0</v>
      </c>
      <c r="Y55" s="204">
        <f>COUNTIFS(INP_DATA!$R$5:$R$3027,Y$6,INP_DATA!$D$5:$D$3027,$E55,INP_DATA!$B$5:$B$3027,$C55)</f>
        <v>0</v>
      </c>
      <c r="AA55" s="407" t="str">
        <f t="shared" si="3"/>
        <v>Penske Honda</v>
      </c>
      <c r="AB55" s="406">
        <f t="shared" si="11"/>
        <v>0.86345381526104414</v>
      </c>
      <c r="AC55" s="406">
        <f t="shared" si="12"/>
        <v>0.26923076923076922</v>
      </c>
      <c r="AD55" s="412">
        <f t="shared" si="4"/>
        <v>0.52</v>
      </c>
      <c r="AE55" s="413">
        <f t="shared" si="5"/>
        <v>0.625</v>
      </c>
      <c r="AF55" s="406">
        <f t="shared" si="6"/>
        <v>0.19198664440734559</v>
      </c>
      <c r="AG55" s="406">
        <f t="shared" si="7"/>
        <v>0.26845637583892618</v>
      </c>
      <c r="AH55" s="406">
        <f t="shared" si="8"/>
        <v>0.62857142857142856</v>
      </c>
      <c r="AI55" s="406">
        <f t="shared" si="9"/>
        <v>0.75636363636363635</v>
      </c>
      <c r="AJ55" s="406">
        <f t="shared" si="10"/>
        <v>0.47575057736720555</v>
      </c>
    </row>
    <row r="56" spans="1:36" x14ac:dyDescent="0.35">
      <c r="A56" s="57">
        <v>50</v>
      </c>
      <c r="B56" s="3" t="str">
        <f>IF($A56&gt;KEY!$B$2,"",IFERROR(VLOOKUP($A56,KEY!$A$5:$D$74,4,FALSE),""))</f>
        <v>Northern California</v>
      </c>
      <c r="C56" s="160">
        <f t="shared" si="22"/>
        <v>45992</v>
      </c>
      <c r="E56" s="3" t="str">
        <f>IF($A56&gt;KEY!$B$2,"",IFERROR(VLOOKUP($A56,KEY!$A$5:$B$74,2,FALSE),""))</f>
        <v>Peter Pan BMW</v>
      </c>
      <c r="F56" s="205">
        <f>IF($C56="","",SUMIFS(INP_PRODUCERS!$E$5:$E$2383,INP_PRODUCERS!$D$5:$D$2383,$E56,INP_PRODUCERS!$B$5:$B$2383,$C56))</f>
        <v>13</v>
      </c>
      <c r="G56" s="206">
        <f>IF($C56="","",SUMIFS(INP_PRODUCERS!$E$5:$E$2383,INP_PRODUCERS!$D$5:$D$2383,$E56,INP_PRODUCERS!$C$5:$C$2383,VLOOKUP($C56,KEY!$AE$19:$AH$60,3,FALSE)))</f>
        <v>37</v>
      </c>
      <c r="H56" s="207">
        <f>IF($C56="","",SUMIFS(INP_TRNGATT!$D$5:$D$1051,INP_TRNGATT!$C$5:$C$1051,$E56,INP_TRNGATT!$B$5:$B$1051,VLOOKUP($C56,KEY!$AE$19:$AH$60,3,FALSE)))</f>
        <v>24</v>
      </c>
      <c r="I56" s="208">
        <f>IF($C56="","",SUMIFS(INP_DATA!E$5:E$3027,INP_DATA!$B$5:$B$3027,$C56,INP_DATA!$D$5:$D$3027,$E56))</f>
        <v>55</v>
      </c>
      <c r="J56" s="99">
        <f>IF($C56="","",IF(COUNTIFS(INP_MYSSHP!$B$5:$B$985,VLOOKUP($C56,KEY!$AE$19:$AH$60,3,FALSE),INP_MYSSHP!$C$5:$C$985,$E56)=0,"N/A",SUMIFS(INP_MYSSHP!$D$5:$D$2349,INP_MYSSHP!$C$5:$C$2349,$E56,INP_MYSSHP!$B$5:$B$2349,VLOOKUP($C56,KEY!$AE$19:$AH$60,3,FALSE))))</f>
        <v>0.625</v>
      </c>
      <c r="K56" s="169">
        <f>IF($C56="","",SUMIFS(INP_DATA!F$5:F$3027,INP_DATA!$B$5:$B$3027,$C56,INP_DATA!$D$5:$D$3027,$E56))</f>
        <v>230</v>
      </c>
      <c r="L56" s="169">
        <f>IF($C56="","",SUMIFS(INP_DATA!G$5:G$3027,INP_DATA!$B$5:$B$3027,$C56,INP_DATA!$D$5:$D$3027,$E56))</f>
        <v>244</v>
      </c>
      <c r="M56" s="100">
        <f>IF($C56="","",SUMIFS(INP_DATA!H$5:H$3027,INP_DATA!$B$5:$B$3027,$C56,INP_DATA!$D$5:$D$3027,$E56))</f>
        <v>378</v>
      </c>
      <c r="N56" s="100">
        <f>IF($C56="","",SUMIFS(INP_DATA!I$5:I$3027,INP_DATA!$B$5:$B$3027,$C56,INP_DATA!$D$5:$D$3027,$E56))</f>
        <v>82</v>
      </c>
      <c r="O56" s="100">
        <f>IF($C56="","",SUMIFS(INP_DATA!J$5:J$3027,INP_DATA!$B$5:$B$3027,$C56,INP_DATA!$D$5:$D$3027,$E56))</f>
        <v>173</v>
      </c>
      <c r="P56" s="100">
        <f>IF($C56="","",SUMIFS(INP_DATA!K$5:K$3027,INP_DATA!$B$5:$B$3027,$C56,INP_DATA!$D$5:$D$3027,$E56))</f>
        <v>54</v>
      </c>
      <c r="Q56" s="100">
        <f>IF($C56="","",SUMIFS(INP_DATA!L$5:L$3027,INP_DATA!$B$5:$B$3027,$C56,INP_DATA!$D$5:$D$3027,$E56))</f>
        <v>447</v>
      </c>
      <c r="R56" s="100">
        <f>IF($C56="","",SUMIFS(INP_DATA!M$5:M$3027,INP_DATA!$B$5:$B$3027,$C56,INP_DATA!$D$5:$D$3027,$E56))</f>
        <v>187</v>
      </c>
      <c r="S56" s="100">
        <f>IF($C56="","",SUMIFS(INP_DATA!N$5:N$3027,INP_DATA!$B$5:$B$3027,$C56,INP_DATA!$D$5:$D$3027,$E56))</f>
        <v>229</v>
      </c>
      <c r="T56" s="101">
        <f>IF($C56="","",SUMIFS(INP_DATA!O$5:O$3027,INP_DATA!$B$5:$B$3027,$C56,INP_DATA!$D$5:$D$3027,$E56))</f>
        <v>286</v>
      </c>
      <c r="U56" s="102">
        <f>IF($C56="","",SUMIFS(INP_DATA!P$5:P$3027,INP_DATA!$B$5:$B$3027,$C56,INP_DATA!$D$5:$D$3027,$E56))</f>
        <v>74</v>
      </c>
      <c r="V56" s="102">
        <f>IF($C56="","",SUMIFS(INP_DATA!Q$5:Q$3027,INP_DATA!$B$5:$B$3027,$C56,INP_DATA!$D$5:$D$3027,$E56))</f>
        <v>52</v>
      </c>
      <c r="W56" s="109"/>
      <c r="X56" s="203">
        <f>COUNTIFS(INP_DATA!$R$5:$R$3027,X$6,INP_DATA!$D$5:$D$3027,$E56,INP_DATA!$B$5:$B$3027,$C56)</f>
        <v>0</v>
      </c>
      <c r="Y56" s="204">
        <f>COUNTIFS(INP_DATA!$R$5:$R$3027,Y$6,INP_DATA!$D$5:$D$3027,$E56,INP_DATA!$B$5:$B$3027,$C56)</f>
        <v>0</v>
      </c>
      <c r="AA56" s="407" t="str">
        <f t="shared" si="3"/>
        <v>Peter Pan BMW</v>
      </c>
      <c r="AB56" s="406">
        <f t="shared" si="11"/>
        <v>0.94262295081967218</v>
      </c>
      <c r="AC56" s="406">
        <f t="shared" si="12"/>
        <v>1.9459459459459458</v>
      </c>
      <c r="AD56" s="412">
        <f t="shared" si="4"/>
        <v>4.2307692307692308</v>
      </c>
      <c r="AE56" s="413">
        <f t="shared" si="5"/>
        <v>0.625</v>
      </c>
      <c r="AF56" s="406">
        <f t="shared" si="6"/>
        <v>0.21693121693121692</v>
      </c>
      <c r="AG56" s="406">
        <f t="shared" si="7"/>
        <v>0.31213872832369943</v>
      </c>
      <c r="AH56" s="406">
        <f t="shared" si="8"/>
        <v>0.70270270270270274</v>
      </c>
      <c r="AI56" s="406">
        <f t="shared" si="9"/>
        <v>1.5629370629370629</v>
      </c>
      <c r="AJ56" s="406">
        <f t="shared" si="10"/>
        <v>0.81659388646288211</v>
      </c>
    </row>
    <row r="57" spans="1:36" x14ac:dyDescent="0.35">
      <c r="A57" s="57">
        <v>51</v>
      </c>
      <c r="B57" s="3" t="str">
        <f>IF($A57&gt;KEY!$B$2,"",IFERROR(VLOOKUP($A57,KEY!$A$5:$D$74,4,FALSE),""))</f>
        <v>Arizona</v>
      </c>
      <c r="C57" s="160">
        <f t="shared" si="22"/>
        <v>45992</v>
      </c>
      <c r="E57" s="3" t="str">
        <f>IF($A57&gt;KEY!$B$2,"",IFERROR(VLOOKUP($A57,KEY!$A$5:$B$74,2,FALSE),""))</f>
        <v>Porsche North Scottsdale</v>
      </c>
      <c r="F57" s="205">
        <f>IF($C57="","",SUMIFS(INP_PRODUCERS!$E$5:$E$2383,INP_PRODUCERS!$D$5:$D$2383,$E57,INP_PRODUCERS!$B$5:$B$2383,$C57))</f>
        <v>12</v>
      </c>
      <c r="G57" s="206">
        <f>IF($C57="","",SUMIFS(INP_PRODUCERS!$E$5:$E$2383,INP_PRODUCERS!$D$5:$D$2383,$E57,INP_PRODUCERS!$C$5:$C$2383,VLOOKUP($C57,KEY!$AE$19:$AH$60,3,FALSE)))</f>
        <v>41</v>
      </c>
      <c r="H57" s="207">
        <f>IF($C57="","",SUMIFS(INP_TRNGATT!$D$5:$D$1051,INP_TRNGATT!$C$5:$C$1051,$E57,INP_TRNGATT!$B$5:$B$1051,VLOOKUP($C57,KEY!$AE$19:$AH$60,3,FALSE)))</f>
        <v>39</v>
      </c>
      <c r="I57" s="208">
        <f>IF($C57="","",SUMIFS(INP_DATA!E$5:E$3027,INP_DATA!$B$5:$B$3027,$C57,INP_DATA!$D$5:$D$3027,$E57))</f>
        <v>54</v>
      </c>
      <c r="J57" s="99">
        <f>IF($C57="","",IF(COUNTIFS(INP_MYSSHP!$B$5:$B$985,VLOOKUP($C57,KEY!$AE$19:$AH$60,3,FALSE),INP_MYSSHP!$C$5:$C$985,$E57)=0,"N/A",SUMIFS(INP_MYSSHP!$D$5:$D$2349,INP_MYSSHP!$C$5:$C$2349,$E57,INP_MYSSHP!$B$5:$B$2349,VLOOKUP($C57,KEY!$AE$19:$AH$60,3,FALSE))))</f>
        <v>1</v>
      </c>
      <c r="K57" s="169">
        <f>IF($C57="","",SUMIFS(INP_DATA!F$5:F$3027,INP_DATA!$B$5:$B$3027,$C57,INP_DATA!$D$5:$D$3027,$E57))</f>
        <v>160</v>
      </c>
      <c r="L57" s="169">
        <f>IF($C57="","",SUMIFS(INP_DATA!G$5:G$3027,INP_DATA!$B$5:$B$3027,$C57,INP_DATA!$D$5:$D$3027,$E57))</f>
        <v>136</v>
      </c>
      <c r="M57" s="100">
        <f>IF($C57="","",SUMIFS(INP_DATA!H$5:H$3027,INP_DATA!$B$5:$B$3027,$C57,INP_DATA!$D$5:$D$3027,$E57))</f>
        <v>191</v>
      </c>
      <c r="N57" s="100">
        <f>IF($C57="","",SUMIFS(INP_DATA!I$5:I$3027,INP_DATA!$B$5:$B$3027,$C57,INP_DATA!$D$5:$D$3027,$E57))</f>
        <v>33</v>
      </c>
      <c r="O57" s="100">
        <f>IF($C57="","",SUMIFS(INP_DATA!J$5:J$3027,INP_DATA!$B$5:$B$3027,$C57,INP_DATA!$D$5:$D$3027,$E57))</f>
        <v>103</v>
      </c>
      <c r="P57" s="100">
        <f>IF($C57="","",SUMIFS(INP_DATA!K$5:K$3027,INP_DATA!$B$5:$B$3027,$C57,INP_DATA!$D$5:$D$3027,$E57))</f>
        <v>16</v>
      </c>
      <c r="Q57" s="100">
        <f>IF($C57="","",SUMIFS(INP_DATA!L$5:L$3027,INP_DATA!$B$5:$B$3027,$C57,INP_DATA!$D$5:$D$3027,$E57))</f>
        <v>371</v>
      </c>
      <c r="R57" s="100">
        <f>IF($C57="","",SUMIFS(INP_DATA!M$5:M$3027,INP_DATA!$B$5:$B$3027,$C57,INP_DATA!$D$5:$D$3027,$E57))</f>
        <v>99</v>
      </c>
      <c r="S57" s="100">
        <f>IF($C57="","",SUMIFS(INP_DATA!N$5:N$3027,INP_DATA!$B$5:$B$3027,$C57,INP_DATA!$D$5:$D$3027,$E57))</f>
        <v>159</v>
      </c>
      <c r="T57" s="101">
        <f>IF($C57="","",SUMIFS(INP_DATA!O$5:O$3027,INP_DATA!$B$5:$B$3027,$C57,INP_DATA!$D$5:$D$3027,$E57))</f>
        <v>264</v>
      </c>
      <c r="U57" s="102">
        <f>IF($C57="","",SUMIFS(INP_DATA!P$5:P$3027,INP_DATA!$B$5:$B$3027,$C57,INP_DATA!$D$5:$D$3027,$E57))</f>
        <v>4</v>
      </c>
      <c r="V57" s="102">
        <f>IF($C57="","",SUMIFS(INP_DATA!Q$5:Q$3027,INP_DATA!$B$5:$B$3027,$C57,INP_DATA!$D$5:$D$3027,$E57))</f>
        <v>3</v>
      </c>
      <c r="W57" s="109"/>
      <c r="X57" s="203">
        <f>COUNTIFS(INP_DATA!$R$5:$R$3027,X$6,INP_DATA!$D$5:$D$3027,$E57,INP_DATA!$B$5:$B$3027,$C57)</f>
        <v>0</v>
      </c>
      <c r="Y57" s="204">
        <f>COUNTIFS(INP_DATA!$R$5:$R$3027,Y$6,INP_DATA!$D$5:$D$3027,$E57,INP_DATA!$B$5:$B$3027,$C57)</f>
        <v>0</v>
      </c>
      <c r="AA57" s="407" t="str">
        <f t="shared" si="3"/>
        <v>Porsche North Scottsdale</v>
      </c>
      <c r="AB57" s="406">
        <f t="shared" si="11"/>
        <v>1.1764705882352942</v>
      </c>
      <c r="AC57" s="406">
        <f t="shared" si="12"/>
        <v>2.8536585365853662</v>
      </c>
      <c r="AD57" s="412">
        <f t="shared" si="4"/>
        <v>4.5</v>
      </c>
      <c r="AE57" s="413">
        <f t="shared" si="5"/>
        <v>1</v>
      </c>
      <c r="AF57" s="406">
        <f t="shared" si="6"/>
        <v>0.17277486910994763</v>
      </c>
      <c r="AG57" s="406">
        <f t="shared" si="7"/>
        <v>0.1553398058252427</v>
      </c>
      <c r="AH57" s="406">
        <f t="shared" si="8"/>
        <v>0.75</v>
      </c>
      <c r="AI57" s="406">
        <f t="shared" si="9"/>
        <v>1.4053030303030303</v>
      </c>
      <c r="AJ57" s="406">
        <f t="shared" si="10"/>
        <v>0.62264150943396224</v>
      </c>
    </row>
    <row r="58" spans="1:36" x14ac:dyDescent="0.35">
      <c r="A58" s="57">
        <v>52</v>
      </c>
      <c r="B58" s="3" t="str">
        <f>IF($A58&gt;KEY!$B$2,"",IFERROR(VLOOKUP($A58,KEY!$A$5:$D$74,4,FALSE),""))</f>
        <v>Northern California</v>
      </c>
      <c r="C58" s="160">
        <f t="shared" si="22"/>
        <v>45992</v>
      </c>
      <c r="E58" s="3" t="str">
        <f>IF($A58&gt;KEY!$B$2,"",IFERROR(VLOOKUP($A58,KEY!$A$5:$B$74,2,FALSE),""))</f>
        <v>Porsche Stevens Creek</v>
      </c>
      <c r="F58" s="205">
        <f>IF($C58="","",SUMIFS(INP_PRODUCERS!$E$5:$E$2383,INP_PRODUCERS!$D$5:$D$2383,$E58,INP_PRODUCERS!$B$5:$B$2383,$C58))</f>
        <v>9</v>
      </c>
      <c r="G58" s="206">
        <f>IF($C58="","",SUMIFS(INP_PRODUCERS!$E$5:$E$2383,INP_PRODUCERS!$D$5:$D$2383,$E58,INP_PRODUCERS!$C$5:$C$2383,VLOOKUP($C58,KEY!$AE$19:$AH$60,3,FALSE)))</f>
        <v>28</v>
      </c>
      <c r="H58" s="207">
        <f>IF($C58="","",SUMIFS(INP_TRNGATT!$D$5:$D$1051,INP_TRNGATT!$C$5:$C$1051,$E58,INP_TRNGATT!$B$5:$B$1051,VLOOKUP($C58,KEY!$AE$19:$AH$60,3,FALSE)))</f>
        <v>18</v>
      </c>
      <c r="I58" s="208">
        <f>IF($C58="","",SUMIFS(INP_DATA!E$5:E$3027,INP_DATA!$B$5:$B$3027,$C58,INP_DATA!$D$5:$D$3027,$E58))</f>
        <v>34</v>
      </c>
      <c r="J58" s="99">
        <f>IF($C58="","",IF(COUNTIFS(INP_MYSSHP!$B$5:$B$985,VLOOKUP($C58,KEY!$AE$19:$AH$60,3,FALSE),INP_MYSSHP!$C$5:$C$985,$E58)=0,"N/A",SUMIFS(INP_MYSSHP!$D$5:$D$2349,INP_MYSSHP!$C$5:$C$2349,$E58,INP_MYSSHP!$B$5:$B$2349,VLOOKUP($C58,KEY!$AE$19:$AH$60,3,FALSE))))</f>
        <v>0.875</v>
      </c>
      <c r="K58" s="169">
        <f>IF($C58="","",SUMIFS(INP_DATA!F$5:F$3027,INP_DATA!$B$5:$B$3027,$C58,INP_DATA!$D$5:$D$3027,$E58))</f>
        <v>145</v>
      </c>
      <c r="L58" s="169">
        <f>IF($C58="","",SUMIFS(INP_DATA!G$5:G$3027,INP_DATA!$B$5:$B$3027,$C58,INP_DATA!$D$5:$D$3027,$E58))</f>
        <v>138</v>
      </c>
      <c r="M58" s="100">
        <f>IF($C58="","",SUMIFS(INP_DATA!H$5:H$3027,INP_DATA!$B$5:$B$3027,$C58,INP_DATA!$D$5:$D$3027,$E58))</f>
        <v>364</v>
      </c>
      <c r="N58" s="100">
        <f>IF($C58="","",SUMIFS(INP_DATA!I$5:I$3027,INP_DATA!$B$5:$B$3027,$C58,INP_DATA!$D$5:$D$3027,$E58))</f>
        <v>53</v>
      </c>
      <c r="O58" s="100">
        <f>IF($C58="","",SUMIFS(INP_DATA!J$5:J$3027,INP_DATA!$B$5:$B$3027,$C58,INP_DATA!$D$5:$D$3027,$E58))</f>
        <v>175</v>
      </c>
      <c r="P58" s="100">
        <f>IF($C58="","",SUMIFS(INP_DATA!K$5:K$3027,INP_DATA!$B$5:$B$3027,$C58,INP_DATA!$D$5:$D$3027,$E58))</f>
        <v>38</v>
      </c>
      <c r="Q58" s="100">
        <f>IF($C58="","",SUMIFS(INP_DATA!L$5:L$3027,INP_DATA!$B$5:$B$3027,$C58,INP_DATA!$D$5:$D$3027,$E58))</f>
        <v>286</v>
      </c>
      <c r="R58" s="100">
        <f>IF($C58="","",SUMIFS(INP_DATA!M$5:M$3027,INP_DATA!$B$5:$B$3027,$C58,INP_DATA!$D$5:$D$3027,$E58))</f>
        <v>81</v>
      </c>
      <c r="S58" s="100">
        <f>IF($C58="","",SUMIFS(INP_DATA!N$5:N$3027,INP_DATA!$B$5:$B$3027,$C58,INP_DATA!$D$5:$D$3027,$E58))</f>
        <v>147</v>
      </c>
      <c r="T58" s="101">
        <f>IF($C58="","",SUMIFS(INP_DATA!O$5:O$3027,INP_DATA!$B$5:$B$3027,$C58,INP_DATA!$D$5:$D$3027,$E58))</f>
        <v>198</v>
      </c>
      <c r="U58" s="102">
        <f>IF($C58="","",SUMIFS(INP_DATA!P$5:P$3027,INP_DATA!$B$5:$B$3027,$C58,INP_DATA!$D$5:$D$3027,$E58))</f>
        <v>9</v>
      </c>
      <c r="V58" s="102">
        <f>IF($C58="","",SUMIFS(INP_DATA!Q$5:Q$3027,INP_DATA!$B$5:$B$3027,$C58,INP_DATA!$D$5:$D$3027,$E58))</f>
        <v>6</v>
      </c>
      <c r="W58" s="109"/>
      <c r="X58" s="203">
        <f>COUNTIFS(INP_DATA!$R$5:$R$3027,X$6,INP_DATA!$D$5:$D$3027,$E58,INP_DATA!$B$5:$B$3027,$C58)</f>
        <v>0</v>
      </c>
      <c r="Y58" s="204">
        <f>COUNTIFS(INP_DATA!$R$5:$R$3027,Y$6,INP_DATA!$D$5:$D$3027,$E58,INP_DATA!$B$5:$B$3027,$C58)</f>
        <v>0</v>
      </c>
      <c r="AA58" s="407" t="str">
        <f t="shared" si="3"/>
        <v>Porsche Stevens Creek</v>
      </c>
      <c r="AB58" s="406">
        <f t="shared" si="11"/>
        <v>1.0507246376811594</v>
      </c>
      <c r="AC58" s="406">
        <f t="shared" si="12"/>
        <v>1.9285714285714284</v>
      </c>
      <c r="AD58" s="412">
        <f t="shared" si="4"/>
        <v>3.7777777777777777</v>
      </c>
      <c r="AE58" s="413">
        <f t="shared" si="5"/>
        <v>0.875</v>
      </c>
      <c r="AF58" s="406">
        <f t="shared" si="6"/>
        <v>0.14560439560439561</v>
      </c>
      <c r="AG58" s="406">
        <f t="shared" si="7"/>
        <v>0.21714285714285714</v>
      </c>
      <c r="AH58" s="406">
        <f t="shared" si="8"/>
        <v>0.66666666666666663</v>
      </c>
      <c r="AI58" s="406">
        <f t="shared" si="9"/>
        <v>1.4444444444444444</v>
      </c>
      <c r="AJ58" s="406">
        <f t="shared" si="10"/>
        <v>0.55102040816326525</v>
      </c>
    </row>
    <row r="59" spans="1:36" x14ac:dyDescent="0.35">
      <c r="A59" s="57">
        <v>53</v>
      </c>
      <c r="B59" s="3" t="str">
        <f>IF($A59&gt;KEY!$B$2,"",IFERROR(VLOOKUP($A59,KEY!$A$5:$D$74,4,FALSE),""))</f>
        <v>Texas</v>
      </c>
      <c r="C59" s="160">
        <f t="shared" si="22"/>
        <v>45992</v>
      </c>
      <c r="E59" s="3" t="str">
        <f>IF($A59&gt;KEY!$B$2,"",IFERROR(VLOOKUP($A59,KEY!$A$5:$B$74,2,FALSE),""))</f>
        <v>Round Rock Honda</v>
      </c>
      <c r="F59" s="205">
        <f>IF($C59="","",SUMIFS(INP_PRODUCERS!$E$5:$E$2383,INP_PRODUCERS!$D$5:$D$2383,$E59,INP_PRODUCERS!$B$5:$B$2383,$C59))</f>
        <v>23</v>
      </c>
      <c r="G59" s="206">
        <f>IF($C59="","",SUMIFS(INP_PRODUCERS!$E$5:$E$2383,INP_PRODUCERS!$D$5:$D$2383,$E59,INP_PRODUCERS!$C$5:$C$2383,VLOOKUP($C59,KEY!$AE$19:$AH$60,3,FALSE)))</f>
        <v>68</v>
      </c>
      <c r="H59" s="207">
        <f>IF($C59="","",SUMIFS(INP_TRNGATT!$D$5:$D$1051,INP_TRNGATT!$C$5:$C$1051,$E59,INP_TRNGATT!$B$5:$B$1051,VLOOKUP($C59,KEY!$AE$19:$AH$60,3,FALSE)))</f>
        <v>44</v>
      </c>
      <c r="I59" s="208">
        <f>IF($C59="","",SUMIFS(INP_DATA!E$5:E$3027,INP_DATA!$B$5:$B$3027,$C59,INP_DATA!$D$5:$D$3027,$E59))</f>
        <v>42</v>
      </c>
      <c r="J59" s="99">
        <f>IF($C59="","",IF(COUNTIFS(INP_MYSSHP!$B$5:$B$985,VLOOKUP($C59,KEY!$AE$19:$AH$60,3,FALSE),INP_MYSSHP!$C$5:$C$985,$E59)=0,"N/A",SUMIFS(INP_MYSSHP!$D$5:$D$2349,INP_MYSSHP!$C$5:$C$2349,$E59,INP_MYSSHP!$B$5:$B$2349,VLOOKUP($C59,KEY!$AE$19:$AH$60,3,FALSE))))</f>
        <v>0.75</v>
      </c>
      <c r="K59" s="169">
        <f>IF($C59="","",SUMIFS(INP_DATA!F$5:F$3027,INP_DATA!$B$5:$B$3027,$C59,INP_DATA!$D$5:$D$3027,$E59))</f>
        <v>275</v>
      </c>
      <c r="L59" s="169">
        <f>IF($C59="","",SUMIFS(INP_DATA!G$5:G$3027,INP_DATA!$B$5:$B$3027,$C59,INP_DATA!$D$5:$D$3027,$E59))</f>
        <v>373</v>
      </c>
      <c r="M59" s="100">
        <f>IF($C59="","",SUMIFS(INP_DATA!H$5:H$3027,INP_DATA!$B$5:$B$3027,$C59,INP_DATA!$D$5:$D$3027,$E59))</f>
        <v>950</v>
      </c>
      <c r="N59" s="100">
        <f>IF($C59="","",SUMIFS(INP_DATA!I$5:I$3027,INP_DATA!$B$5:$B$3027,$C59,INP_DATA!$D$5:$D$3027,$E59))</f>
        <v>92</v>
      </c>
      <c r="O59" s="100">
        <f>IF($C59="","",SUMIFS(INP_DATA!J$5:J$3027,INP_DATA!$B$5:$B$3027,$C59,INP_DATA!$D$5:$D$3027,$E59))</f>
        <v>240</v>
      </c>
      <c r="P59" s="100">
        <f>IF($C59="","",SUMIFS(INP_DATA!K$5:K$3027,INP_DATA!$B$5:$B$3027,$C59,INP_DATA!$D$5:$D$3027,$E59))</f>
        <v>47</v>
      </c>
      <c r="Q59" s="100">
        <f>IF($C59="","",SUMIFS(INP_DATA!L$5:L$3027,INP_DATA!$B$5:$B$3027,$C59,INP_DATA!$D$5:$D$3027,$E59))</f>
        <v>439</v>
      </c>
      <c r="R59" s="100">
        <f>IF($C59="","",SUMIFS(INP_DATA!M$5:M$3027,INP_DATA!$B$5:$B$3027,$C59,INP_DATA!$D$5:$D$3027,$E59))</f>
        <v>139</v>
      </c>
      <c r="S59" s="100">
        <f>IF($C59="","",SUMIFS(INP_DATA!N$5:N$3027,INP_DATA!$B$5:$B$3027,$C59,INP_DATA!$D$5:$D$3027,$E59))</f>
        <v>279</v>
      </c>
      <c r="T59" s="101">
        <f>IF($C59="","",SUMIFS(INP_DATA!O$5:O$3027,INP_DATA!$B$5:$B$3027,$C59,INP_DATA!$D$5:$D$3027,$E59))</f>
        <v>506</v>
      </c>
      <c r="U59" s="102">
        <f>IF($C59="","",SUMIFS(INP_DATA!P$5:P$3027,INP_DATA!$B$5:$B$3027,$C59,INP_DATA!$D$5:$D$3027,$E59))</f>
        <v>27</v>
      </c>
      <c r="V59" s="102">
        <f>IF($C59="","",SUMIFS(INP_DATA!Q$5:Q$3027,INP_DATA!$B$5:$B$3027,$C59,INP_DATA!$D$5:$D$3027,$E59))</f>
        <v>19</v>
      </c>
      <c r="W59" s="109"/>
      <c r="X59" s="203">
        <f>COUNTIFS(INP_DATA!$R$5:$R$3027,X$6,INP_DATA!$D$5:$D$3027,$E59,INP_DATA!$B$5:$B$3027,$C59)</f>
        <v>0</v>
      </c>
      <c r="Y59" s="204">
        <f>COUNTIFS(INP_DATA!$R$5:$R$3027,Y$6,INP_DATA!$D$5:$D$3027,$E59,INP_DATA!$B$5:$B$3027,$C59)</f>
        <v>0</v>
      </c>
      <c r="AA59" s="407" t="str">
        <f t="shared" si="3"/>
        <v>Round Rock Honda</v>
      </c>
      <c r="AB59" s="406">
        <f t="shared" si="11"/>
        <v>0.7372654155495979</v>
      </c>
      <c r="AC59" s="406">
        <f t="shared" si="12"/>
        <v>1.9411764705882353</v>
      </c>
      <c r="AD59" s="412">
        <f t="shared" si="4"/>
        <v>1.826086956521739</v>
      </c>
      <c r="AE59" s="413">
        <f t="shared" si="5"/>
        <v>0.75</v>
      </c>
      <c r="AF59" s="406">
        <f t="shared" si="6"/>
        <v>9.6842105263157896E-2</v>
      </c>
      <c r="AG59" s="406">
        <f t="shared" si="7"/>
        <v>0.19583333333333333</v>
      </c>
      <c r="AH59" s="406">
        <f t="shared" si="8"/>
        <v>0.70370370370370372</v>
      </c>
      <c r="AI59" s="406">
        <f t="shared" si="9"/>
        <v>0.8675889328063241</v>
      </c>
      <c r="AJ59" s="406">
        <f t="shared" si="10"/>
        <v>0.49820788530465948</v>
      </c>
    </row>
    <row r="60" spans="1:36" x14ac:dyDescent="0.35">
      <c r="A60" s="57">
        <v>54</v>
      </c>
      <c r="B60" s="3" t="str">
        <f>IF($A60&gt;KEY!$B$2,"",IFERROR(VLOOKUP($A60,KEY!$A$5:$D$74,4,FALSE),""))</f>
        <v>Texas</v>
      </c>
      <c r="C60" s="160">
        <f t="shared" si="22"/>
        <v>45992</v>
      </c>
      <c r="E60" s="3" t="str">
        <f>IF($A60&gt;KEY!$B$2,"",IFERROR(VLOOKUP($A60,KEY!$A$5:$B$74,2,FALSE),""))</f>
        <v>Round Rock Hyundai</v>
      </c>
      <c r="F60" s="205">
        <f>IF($C60="","",SUMIFS(INP_PRODUCERS!$E$5:$E$2383,INP_PRODUCERS!$D$5:$D$2383,$E60,INP_PRODUCERS!$B$5:$B$2383,$C60))</f>
        <v>12</v>
      </c>
      <c r="G60" s="206">
        <f>IF($C60="","",SUMIFS(INP_PRODUCERS!$E$5:$E$2383,INP_PRODUCERS!$D$5:$D$2383,$E60,INP_PRODUCERS!$C$5:$C$2383,VLOOKUP($C60,KEY!$AE$19:$AH$60,3,FALSE)))</f>
        <v>46</v>
      </c>
      <c r="H60" s="207">
        <f>IF($C60="","",SUMIFS(INP_TRNGATT!$D$5:$D$1051,INP_TRNGATT!$C$5:$C$1051,$E60,INP_TRNGATT!$B$5:$B$1051,VLOOKUP($C60,KEY!$AE$19:$AH$60,3,FALSE)))</f>
        <v>13</v>
      </c>
      <c r="I60" s="208">
        <f>IF($C60="","",SUMIFS(INP_DATA!E$5:E$3027,INP_DATA!$B$5:$B$3027,$C60,INP_DATA!$D$5:$D$3027,$E60))</f>
        <v>36</v>
      </c>
      <c r="J60" s="99">
        <f>IF($C60="","",IF(COUNTIFS(INP_MYSSHP!$B$5:$B$985,VLOOKUP($C60,KEY!$AE$19:$AH$60,3,FALSE),INP_MYSSHP!$C$5:$C$985,$E60)=0,"N/A",SUMIFS(INP_MYSSHP!$D$5:$D$2349,INP_MYSSHP!$C$5:$C$2349,$E60,INP_MYSSHP!$B$5:$B$2349,VLOOKUP($C60,KEY!$AE$19:$AH$60,3,FALSE))))</f>
        <v>0.75</v>
      </c>
      <c r="K60" s="169">
        <f>IF($C60="","",SUMIFS(INP_DATA!F$5:F$3027,INP_DATA!$B$5:$B$3027,$C60,INP_DATA!$D$5:$D$3027,$E60))</f>
        <v>239</v>
      </c>
      <c r="L60" s="169">
        <f>IF($C60="","",SUMIFS(INP_DATA!G$5:G$3027,INP_DATA!$B$5:$B$3027,$C60,INP_DATA!$D$5:$D$3027,$E60))</f>
        <v>251</v>
      </c>
      <c r="M60" s="100">
        <f>IF($C60="","",SUMIFS(INP_DATA!H$5:H$3027,INP_DATA!$B$5:$B$3027,$C60,INP_DATA!$D$5:$D$3027,$E60))</f>
        <v>404</v>
      </c>
      <c r="N60" s="100">
        <f>IF($C60="","",SUMIFS(INP_DATA!I$5:I$3027,INP_DATA!$B$5:$B$3027,$C60,INP_DATA!$D$5:$D$3027,$E60))</f>
        <v>59</v>
      </c>
      <c r="O60" s="100">
        <f>IF($C60="","",SUMIFS(INP_DATA!J$5:J$3027,INP_DATA!$B$5:$B$3027,$C60,INP_DATA!$D$5:$D$3027,$E60))</f>
        <v>193</v>
      </c>
      <c r="P60" s="100">
        <f>IF($C60="","",SUMIFS(INP_DATA!K$5:K$3027,INP_DATA!$B$5:$B$3027,$C60,INP_DATA!$D$5:$D$3027,$E60))</f>
        <v>55</v>
      </c>
      <c r="Q60" s="100">
        <f>IF($C60="","",SUMIFS(INP_DATA!L$5:L$3027,INP_DATA!$B$5:$B$3027,$C60,INP_DATA!$D$5:$D$3027,$E60))</f>
        <v>308</v>
      </c>
      <c r="R60" s="100">
        <f>IF($C60="","",SUMIFS(INP_DATA!M$5:M$3027,INP_DATA!$B$5:$B$3027,$C60,INP_DATA!$D$5:$D$3027,$E60))</f>
        <v>130</v>
      </c>
      <c r="S60" s="100">
        <f>IF($C60="","",SUMIFS(INP_DATA!N$5:N$3027,INP_DATA!$B$5:$B$3027,$C60,INP_DATA!$D$5:$D$3027,$E60))</f>
        <v>223</v>
      </c>
      <c r="T60" s="101">
        <f>IF($C60="","",SUMIFS(INP_DATA!O$5:O$3027,INP_DATA!$B$5:$B$3027,$C60,INP_DATA!$D$5:$D$3027,$E60))</f>
        <v>264</v>
      </c>
      <c r="U60" s="102">
        <f>IF($C60="","",SUMIFS(INP_DATA!P$5:P$3027,INP_DATA!$B$5:$B$3027,$C60,INP_DATA!$D$5:$D$3027,$E60))</f>
        <v>5</v>
      </c>
      <c r="V60" s="102">
        <f>IF($C60="","",SUMIFS(INP_DATA!Q$5:Q$3027,INP_DATA!$B$5:$B$3027,$C60,INP_DATA!$D$5:$D$3027,$E60))</f>
        <v>3</v>
      </c>
      <c r="W60" s="109"/>
      <c r="X60" s="203">
        <f>COUNTIFS(INP_DATA!$R$5:$R$3027,X$6,INP_DATA!$D$5:$D$3027,$E60,INP_DATA!$B$5:$B$3027,$C60)</f>
        <v>0</v>
      </c>
      <c r="Y60" s="204">
        <f>COUNTIFS(INP_DATA!$R$5:$R$3027,Y$6,INP_DATA!$D$5:$D$3027,$E60,INP_DATA!$B$5:$B$3027,$C60)</f>
        <v>0</v>
      </c>
      <c r="AA60" s="407" t="str">
        <f t="shared" si="3"/>
        <v>Round Rock Hyundai</v>
      </c>
      <c r="AB60" s="406">
        <f t="shared" si="11"/>
        <v>0.952191235059761</v>
      </c>
      <c r="AC60" s="406">
        <f t="shared" si="12"/>
        <v>0.84782608695652173</v>
      </c>
      <c r="AD60" s="412">
        <f t="shared" si="4"/>
        <v>3</v>
      </c>
      <c r="AE60" s="413">
        <f t="shared" si="5"/>
        <v>0.75</v>
      </c>
      <c r="AF60" s="406">
        <f t="shared" si="6"/>
        <v>0.14603960396039603</v>
      </c>
      <c r="AG60" s="406">
        <f t="shared" si="7"/>
        <v>0.28497409326424872</v>
      </c>
      <c r="AH60" s="406">
        <f t="shared" si="8"/>
        <v>0.6</v>
      </c>
      <c r="AI60" s="406">
        <f t="shared" si="9"/>
        <v>1.1666666666666667</v>
      </c>
      <c r="AJ60" s="406">
        <f t="shared" si="10"/>
        <v>0.5829596412556054</v>
      </c>
    </row>
    <row r="61" spans="1:36" x14ac:dyDescent="0.35">
      <c r="A61" s="57">
        <v>55</v>
      </c>
      <c r="B61" s="3" t="str">
        <f>IF($A61&gt;KEY!$B$2,"",IFERROR(VLOOKUP($A61,KEY!$A$5:$D$74,4,FALSE),""))</f>
        <v>Texas</v>
      </c>
      <c r="C61" s="160">
        <f t="shared" si="22"/>
        <v>45992</v>
      </c>
      <c r="E61" s="3" t="str">
        <f>IF($A61&gt;KEY!$B$2,"",IFERROR(VLOOKUP($A61,KEY!$A$5:$B$74,2,FALSE),""))</f>
        <v>Round Rock Toyota</v>
      </c>
      <c r="F61" s="205">
        <f>IF($C61="","",SUMIFS(INP_PRODUCERS!$E$5:$E$2383,INP_PRODUCERS!$D$5:$D$2383,$E61,INP_PRODUCERS!$B$5:$B$2383,$C61))</f>
        <v>42</v>
      </c>
      <c r="G61" s="206">
        <f>IF($C61="","",SUMIFS(INP_PRODUCERS!$E$5:$E$2383,INP_PRODUCERS!$D$5:$D$2383,$E61,INP_PRODUCERS!$C$5:$C$2383,VLOOKUP($C61,KEY!$AE$19:$AH$60,3,FALSE)))</f>
        <v>108</v>
      </c>
      <c r="H61" s="207">
        <f>IF($C61="","",SUMIFS(INP_TRNGATT!$D$5:$D$1051,INP_TRNGATT!$C$5:$C$1051,$E61,INP_TRNGATT!$B$5:$B$1051,VLOOKUP($C61,KEY!$AE$19:$AH$60,3,FALSE)))</f>
        <v>30</v>
      </c>
      <c r="I61" s="208">
        <f>IF($C61="","",SUMIFS(INP_DATA!E$5:E$3027,INP_DATA!$B$5:$B$3027,$C61,INP_DATA!$D$5:$D$3027,$E61))</f>
        <v>64</v>
      </c>
      <c r="J61" s="99">
        <f>IF($C61="","",IF(COUNTIFS(INP_MYSSHP!$B$5:$B$985,VLOOKUP($C61,KEY!$AE$19:$AH$60,3,FALSE),INP_MYSSHP!$C$5:$C$985,$E61)=0,"N/A",SUMIFS(INP_MYSSHP!$D$5:$D$2349,INP_MYSSHP!$C$5:$C$2349,$E61,INP_MYSSHP!$B$5:$B$2349,VLOOKUP($C61,KEY!$AE$19:$AH$60,3,FALSE))))</f>
        <v>0.75</v>
      </c>
      <c r="K61" s="169">
        <f>IF($C61="","",SUMIFS(INP_DATA!F$5:F$3027,INP_DATA!$B$5:$B$3027,$C61,INP_DATA!$D$5:$D$3027,$E61))</f>
        <v>670</v>
      </c>
      <c r="L61" s="169">
        <f>IF($C61="","",SUMIFS(INP_DATA!G$5:G$3027,INP_DATA!$B$5:$B$3027,$C61,INP_DATA!$D$5:$D$3027,$E61))</f>
        <v>502</v>
      </c>
      <c r="M61" s="100">
        <f>IF($C61="","",SUMIFS(INP_DATA!H$5:H$3027,INP_DATA!$B$5:$B$3027,$C61,INP_DATA!$D$5:$D$3027,$E61))</f>
        <v>1069</v>
      </c>
      <c r="N61" s="100">
        <f>IF($C61="","",SUMIFS(INP_DATA!I$5:I$3027,INP_DATA!$B$5:$B$3027,$C61,INP_DATA!$D$5:$D$3027,$E61))</f>
        <v>110</v>
      </c>
      <c r="O61" s="100">
        <f>IF($C61="","",SUMIFS(INP_DATA!J$5:J$3027,INP_DATA!$B$5:$B$3027,$C61,INP_DATA!$D$5:$D$3027,$E61))</f>
        <v>595</v>
      </c>
      <c r="P61" s="100">
        <f>IF($C61="","",SUMIFS(INP_DATA!K$5:K$3027,INP_DATA!$B$5:$B$3027,$C61,INP_DATA!$D$5:$D$3027,$E61))</f>
        <v>88</v>
      </c>
      <c r="Q61" s="100">
        <f>IF($C61="","",SUMIFS(INP_DATA!L$5:L$3027,INP_DATA!$B$5:$B$3027,$C61,INP_DATA!$D$5:$D$3027,$E61))</f>
        <v>1135</v>
      </c>
      <c r="R61" s="100">
        <f>IF($C61="","",SUMIFS(INP_DATA!M$5:M$3027,INP_DATA!$B$5:$B$3027,$C61,INP_DATA!$D$5:$D$3027,$E61))</f>
        <v>294</v>
      </c>
      <c r="S61" s="100">
        <f>IF($C61="","",SUMIFS(INP_DATA!N$5:N$3027,INP_DATA!$B$5:$B$3027,$C61,INP_DATA!$D$5:$D$3027,$E61))</f>
        <v>680</v>
      </c>
      <c r="T61" s="101">
        <f>IF($C61="","",SUMIFS(INP_DATA!O$5:O$3027,INP_DATA!$B$5:$B$3027,$C61,INP_DATA!$D$5:$D$3027,$E61))</f>
        <v>924</v>
      </c>
      <c r="U61" s="102">
        <f>IF($C61="","",SUMIFS(INP_DATA!P$5:P$3027,INP_DATA!$B$5:$B$3027,$C61,INP_DATA!$D$5:$D$3027,$E61))</f>
        <v>3</v>
      </c>
      <c r="V61" s="102">
        <f>IF($C61="","",SUMIFS(INP_DATA!Q$5:Q$3027,INP_DATA!$B$5:$B$3027,$C61,INP_DATA!$D$5:$D$3027,$E61))</f>
        <v>3</v>
      </c>
      <c r="W61" s="109"/>
      <c r="X61" s="203">
        <f>COUNTIFS(INP_DATA!$R$5:$R$3027,X$6,INP_DATA!$D$5:$D$3027,$E61,INP_DATA!$B$5:$B$3027,$C61)</f>
        <v>0</v>
      </c>
      <c r="Y61" s="204">
        <f>COUNTIFS(INP_DATA!$R$5:$R$3027,Y$6,INP_DATA!$D$5:$D$3027,$E61,INP_DATA!$B$5:$B$3027,$C61)</f>
        <v>0</v>
      </c>
      <c r="AA61" s="407" t="str">
        <f t="shared" si="3"/>
        <v>Round Rock Toyota</v>
      </c>
      <c r="AB61" s="406">
        <f t="shared" si="11"/>
        <v>1.3346613545816732</v>
      </c>
      <c r="AC61" s="406">
        <f t="shared" si="12"/>
        <v>0.83333333333333337</v>
      </c>
      <c r="AD61" s="412">
        <f t="shared" si="4"/>
        <v>1.5238095238095237</v>
      </c>
      <c r="AE61" s="413">
        <f t="shared" si="5"/>
        <v>0.75</v>
      </c>
      <c r="AF61" s="406">
        <f t="shared" si="6"/>
        <v>0.1028999064546305</v>
      </c>
      <c r="AG61" s="406">
        <f t="shared" si="7"/>
        <v>0.14789915966386555</v>
      </c>
      <c r="AH61" s="406">
        <f t="shared" si="8"/>
        <v>1</v>
      </c>
      <c r="AI61" s="406">
        <f t="shared" si="9"/>
        <v>1.2283549783549783</v>
      </c>
      <c r="AJ61" s="406">
        <f t="shared" si="10"/>
        <v>0.43235294117647061</v>
      </c>
    </row>
    <row r="62" spans="1:36" x14ac:dyDescent="0.35">
      <c r="A62" s="57">
        <v>56</v>
      </c>
      <c r="B62" s="3" t="str">
        <f>IF($A62&gt;KEY!$B$2,"",IFERROR(VLOOKUP($A62,KEY!$A$5:$D$74,4,FALSE),""))</f>
        <v>Arizona</v>
      </c>
      <c r="C62" s="160">
        <f t="shared" si="22"/>
        <v>45992</v>
      </c>
      <c r="E62" s="3" t="str">
        <f>IF($A62&gt;KEY!$B$2,"",IFERROR(VLOOKUP($A62,KEY!$A$5:$B$74,2,FALSE),""))</f>
        <v>Scottsdale Ferrari Maserati</v>
      </c>
      <c r="F62" s="205">
        <f>IF($C62="","",SUMIFS(INP_PRODUCERS!$E$5:$E$2383,INP_PRODUCERS!$D$5:$D$2383,$E62,INP_PRODUCERS!$B$5:$B$2383,$C62))</f>
        <v>6</v>
      </c>
      <c r="G62" s="206">
        <f>IF($C62="","",SUMIFS(INP_PRODUCERS!$E$5:$E$2383,INP_PRODUCERS!$D$5:$D$2383,$E62,INP_PRODUCERS!$C$5:$C$2383,VLOOKUP($C62,KEY!$AE$19:$AH$60,3,FALSE)))</f>
        <v>18</v>
      </c>
      <c r="H62" s="207">
        <f>IF($C62="","",SUMIFS(INP_TRNGATT!$D$5:$D$1051,INP_TRNGATT!$C$5:$C$1051,$E62,INP_TRNGATT!$B$5:$B$1051,VLOOKUP($C62,KEY!$AE$19:$AH$60,3,FALSE)))</f>
        <v>6</v>
      </c>
      <c r="I62" s="208">
        <f>IF($C62="","",SUMIFS(INP_DATA!E$5:E$3027,INP_DATA!$B$5:$B$3027,$C62,INP_DATA!$D$5:$D$3027,$E62))</f>
        <v>2</v>
      </c>
      <c r="J62" s="99">
        <f>IF($C62="","",IF(COUNTIFS(INP_MYSSHP!$B$5:$B$985,VLOOKUP($C62,KEY!$AE$19:$AH$60,3,FALSE),INP_MYSSHP!$C$5:$C$985,$E62)=0,"N/A",SUMIFS(INP_MYSSHP!$D$5:$D$2349,INP_MYSSHP!$C$5:$C$2349,$E62,INP_MYSSHP!$B$5:$B$2349,VLOOKUP($C62,KEY!$AE$19:$AH$60,3,FALSE))))</f>
        <v>0.125</v>
      </c>
      <c r="K62" s="169">
        <f>IF($C62="","",SUMIFS(INP_DATA!F$5:F$3027,INP_DATA!$B$5:$B$3027,$C62,INP_DATA!$D$5:$D$3027,$E62))</f>
        <v>28</v>
      </c>
      <c r="L62" s="169">
        <f>IF($C62="","",SUMIFS(INP_DATA!G$5:G$3027,INP_DATA!$B$5:$B$3027,$C62,INP_DATA!$D$5:$D$3027,$E62))</f>
        <v>26</v>
      </c>
      <c r="M62" s="100">
        <f>IF($C62="","",SUMIFS(INP_DATA!H$5:H$3027,INP_DATA!$B$5:$B$3027,$C62,INP_DATA!$D$5:$D$3027,$E62))</f>
        <v>78</v>
      </c>
      <c r="N62" s="100">
        <f>IF($C62="","",SUMIFS(INP_DATA!I$5:I$3027,INP_DATA!$B$5:$B$3027,$C62,INP_DATA!$D$5:$D$3027,$E62))</f>
        <v>6</v>
      </c>
      <c r="O62" s="100">
        <f>IF($C62="","",SUMIFS(INP_DATA!J$5:J$3027,INP_DATA!$B$5:$B$3027,$C62,INP_DATA!$D$5:$D$3027,$E62))</f>
        <v>42</v>
      </c>
      <c r="P62" s="100">
        <f>IF($C62="","",SUMIFS(INP_DATA!K$5:K$3027,INP_DATA!$B$5:$B$3027,$C62,INP_DATA!$D$5:$D$3027,$E62))</f>
        <v>6</v>
      </c>
      <c r="Q62" s="100">
        <f>IF($C62="","",SUMIFS(INP_DATA!L$5:L$3027,INP_DATA!$B$5:$B$3027,$C62,INP_DATA!$D$5:$D$3027,$E62))</f>
        <v>51</v>
      </c>
      <c r="R62" s="100">
        <f>IF($C62="","",SUMIFS(INP_DATA!M$5:M$3027,INP_DATA!$B$5:$B$3027,$C62,INP_DATA!$D$5:$D$3027,$E62))</f>
        <v>9</v>
      </c>
      <c r="S62" s="100">
        <f>IF($C62="","",SUMIFS(INP_DATA!N$5:N$3027,INP_DATA!$B$5:$B$3027,$C62,INP_DATA!$D$5:$D$3027,$E62))</f>
        <v>28</v>
      </c>
      <c r="T62" s="101">
        <f>IF($C62="","",SUMIFS(INP_DATA!O$5:O$3027,INP_DATA!$B$5:$B$3027,$C62,INP_DATA!$D$5:$D$3027,$E62))</f>
        <v>72</v>
      </c>
      <c r="U62" s="102">
        <f>IF($C62="","",SUMIFS(INP_DATA!P$5:P$3027,INP_DATA!$B$5:$B$3027,$C62,INP_DATA!$D$5:$D$3027,$E62))</f>
        <v>0</v>
      </c>
      <c r="V62" s="102">
        <f>IF($C62="","",SUMIFS(INP_DATA!Q$5:Q$3027,INP_DATA!$B$5:$B$3027,$C62,INP_DATA!$D$5:$D$3027,$E62))</f>
        <v>0</v>
      </c>
      <c r="W62" s="109"/>
      <c r="X62" s="203">
        <f>COUNTIFS(INP_DATA!$R$5:$R$3027,X$6,INP_DATA!$D$5:$D$3027,$E62,INP_DATA!$B$5:$B$3027,$C62)</f>
        <v>0</v>
      </c>
      <c r="Y62" s="204">
        <f>COUNTIFS(INP_DATA!$R$5:$R$3027,Y$6,INP_DATA!$D$5:$D$3027,$E62,INP_DATA!$B$5:$B$3027,$C62)</f>
        <v>0</v>
      </c>
      <c r="AA62" s="407" t="str">
        <f t="shared" si="3"/>
        <v>Scottsdale Ferrari Maserati</v>
      </c>
      <c r="AB62" s="406">
        <f t="shared" si="11"/>
        <v>1.0769230769230769</v>
      </c>
      <c r="AC62" s="406">
        <f t="shared" si="12"/>
        <v>1</v>
      </c>
      <c r="AD62" s="412">
        <f t="shared" si="4"/>
        <v>0.33333333333333331</v>
      </c>
      <c r="AE62" s="413">
        <f t="shared" si="5"/>
        <v>0.125</v>
      </c>
      <c r="AF62" s="406">
        <f t="shared" si="6"/>
        <v>7.6923076923076927E-2</v>
      </c>
      <c r="AG62" s="406">
        <f t="shared" si="7"/>
        <v>0.14285714285714285</v>
      </c>
      <c r="AH62" s="406" t="str">
        <f t="shared" si="8"/>
        <v>N/A</v>
      </c>
      <c r="AI62" s="406">
        <f t="shared" si="9"/>
        <v>0.70833333333333337</v>
      </c>
      <c r="AJ62" s="406">
        <f t="shared" si="10"/>
        <v>0.32142857142857145</v>
      </c>
    </row>
    <row r="63" spans="1:36" x14ac:dyDescent="0.35">
      <c r="A63" s="57">
        <v>57</v>
      </c>
      <c r="B63" s="3" t="str">
        <f>IF($A63&gt;KEY!$B$2,"",IFERROR(VLOOKUP($A63,KEY!$A$5:$D$74,4,FALSE),""))</f>
        <v>Orange County</v>
      </c>
      <c r="C63" s="160">
        <f t="shared" si="22"/>
        <v>45992</v>
      </c>
      <c r="E63" s="3" t="str">
        <f>IF($A63&gt;KEY!$B$2,"",IFERROR(VLOOKUP($A63,KEY!$A$5:$B$74,2,FALSE),""))</f>
        <v>Subaru Orange Coast</v>
      </c>
      <c r="F63" s="205">
        <f>IF($C63="","",SUMIFS(INP_PRODUCERS!$E$5:$E$2383,INP_PRODUCERS!$D$5:$D$2383,$E63,INP_PRODUCERS!$B$5:$B$2383,$C63))</f>
        <v>8</v>
      </c>
      <c r="G63" s="206">
        <f>IF($C63="","",SUMIFS(INP_PRODUCERS!$E$5:$E$2383,INP_PRODUCERS!$D$5:$D$2383,$E63,INP_PRODUCERS!$C$5:$C$2383,VLOOKUP($C63,KEY!$AE$19:$AH$60,3,FALSE)))</f>
        <v>25</v>
      </c>
      <c r="H63" s="207">
        <f>IF($C63="","",SUMIFS(INP_TRNGATT!$D$5:$D$1051,INP_TRNGATT!$C$5:$C$1051,$E63,INP_TRNGATT!$B$5:$B$1051,VLOOKUP($C63,KEY!$AE$19:$AH$60,3,FALSE)))</f>
        <v>21</v>
      </c>
      <c r="I63" s="208">
        <f>IF($C63="","",SUMIFS(INP_DATA!E$5:E$3027,INP_DATA!$B$5:$B$3027,$C63,INP_DATA!$D$5:$D$3027,$E63))</f>
        <v>27</v>
      </c>
      <c r="J63" s="99">
        <f>IF($C63="","",IF(COUNTIFS(INP_MYSSHP!$B$5:$B$985,VLOOKUP($C63,KEY!$AE$19:$AH$60,3,FALSE),INP_MYSSHP!$C$5:$C$985,$E63)=0,"N/A",SUMIFS(INP_MYSSHP!$D$5:$D$2349,INP_MYSSHP!$C$5:$C$2349,$E63,INP_MYSSHP!$B$5:$B$2349,VLOOKUP($C63,KEY!$AE$19:$AH$60,3,FALSE))))</f>
        <v>0.875</v>
      </c>
      <c r="K63" s="169">
        <f>IF($C63="","",SUMIFS(INP_DATA!F$5:F$3027,INP_DATA!$B$5:$B$3027,$C63,INP_DATA!$D$5:$D$3027,$E63))</f>
        <v>92</v>
      </c>
      <c r="L63" s="169">
        <f>IF($C63="","",SUMIFS(INP_DATA!G$5:G$3027,INP_DATA!$B$5:$B$3027,$C63,INP_DATA!$D$5:$D$3027,$E63))</f>
        <v>162</v>
      </c>
      <c r="M63" s="100">
        <f>IF($C63="","",SUMIFS(INP_DATA!H$5:H$3027,INP_DATA!$B$5:$B$3027,$C63,INP_DATA!$D$5:$D$3027,$E63))</f>
        <v>308</v>
      </c>
      <c r="N63" s="100">
        <f>IF($C63="","",SUMIFS(INP_DATA!I$5:I$3027,INP_DATA!$B$5:$B$3027,$C63,INP_DATA!$D$5:$D$3027,$E63))</f>
        <v>44</v>
      </c>
      <c r="O63" s="100">
        <f>IF($C63="","",SUMIFS(INP_DATA!J$5:J$3027,INP_DATA!$B$5:$B$3027,$C63,INP_DATA!$D$5:$D$3027,$E63))</f>
        <v>96</v>
      </c>
      <c r="P63" s="100">
        <f>IF($C63="","",SUMIFS(INP_DATA!K$5:K$3027,INP_DATA!$B$5:$B$3027,$C63,INP_DATA!$D$5:$D$3027,$E63))</f>
        <v>24</v>
      </c>
      <c r="Q63" s="100">
        <f>IF($C63="","",SUMIFS(INP_DATA!L$5:L$3027,INP_DATA!$B$5:$B$3027,$C63,INP_DATA!$D$5:$D$3027,$E63))</f>
        <v>198</v>
      </c>
      <c r="R63" s="100">
        <f>IF($C63="","",SUMIFS(INP_DATA!M$5:M$3027,INP_DATA!$B$5:$B$3027,$C63,INP_DATA!$D$5:$D$3027,$E63))</f>
        <v>71</v>
      </c>
      <c r="S63" s="100">
        <f>IF($C63="","",SUMIFS(INP_DATA!N$5:N$3027,INP_DATA!$B$5:$B$3027,$C63,INP_DATA!$D$5:$D$3027,$E63))</f>
        <v>92</v>
      </c>
      <c r="T63" s="101">
        <f>IF($C63="","",SUMIFS(INP_DATA!O$5:O$3027,INP_DATA!$B$5:$B$3027,$C63,INP_DATA!$D$5:$D$3027,$E63))</f>
        <v>176</v>
      </c>
      <c r="U63" s="102">
        <f>IF($C63="","",SUMIFS(INP_DATA!P$5:P$3027,INP_DATA!$B$5:$B$3027,$C63,INP_DATA!$D$5:$D$3027,$E63))</f>
        <v>16</v>
      </c>
      <c r="V63" s="102">
        <f>IF($C63="","",SUMIFS(INP_DATA!Q$5:Q$3027,INP_DATA!$B$5:$B$3027,$C63,INP_DATA!$D$5:$D$3027,$E63))</f>
        <v>12</v>
      </c>
      <c r="W63" s="109"/>
      <c r="X63" s="203">
        <f>COUNTIFS(INP_DATA!$R$5:$R$3027,X$6,INP_DATA!$D$5:$D$3027,$E63,INP_DATA!$B$5:$B$3027,$C63)</f>
        <v>0</v>
      </c>
      <c r="Y63" s="204">
        <f>COUNTIFS(INP_DATA!$R$5:$R$3027,Y$6,INP_DATA!$D$5:$D$3027,$E63,INP_DATA!$B$5:$B$3027,$C63)</f>
        <v>0</v>
      </c>
      <c r="AA63" s="407" t="str">
        <f t="shared" si="3"/>
        <v>Subaru Orange Coast</v>
      </c>
      <c r="AB63" s="406">
        <f t="shared" si="11"/>
        <v>0.5679012345679012</v>
      </c>
      <c r="AC63" s="406">
        <f t="shared" si="12"/>
        <v>2.52</v>
      </c>
      <c r="AD63" s="412">
        <f t="shared" si="4"/>
        <v>3.375</v>
      </c>
      <c r="AE63" s="413">
        <f t="shared" si="5"/>
        <v>0.875</v>
      </c>
      <c r="AF63" s="406">
        <f t="shared" si="6"/>
        <v>0.14285714285714285</v>
      </c>
      <c r="AG63" s="406">
        <f t="shared" si="7"/>
        <v>0.25</v>
      </c>
      <c r="AH63" s="406">
        <f t="shared" si="8"/>
        <v>0.75</v>
      </c>
      <c r="AI63" s="406">
        <f t="shared" si="9"/>
        <v>1.125</v>
      </c>
      <c r="AJ63" s="406">
        <f t="shared" si="10"/>
        <v>0.77173913043478259</v>
      </c>
    </row>
    <row r="64" spans="1:36" x14ac:dyDescent="0.35">
      <c r="A64" s="57">
        <v>58</v>
      </c>
      <c r="B64" s="3" t="str">
        <f>IF($A64&gt;KEY!$B$2,"",IFERROR(VLOOKUP($A64,KEY!$A$5:$D$74,4,FALSE),""))</f>
        <v>Arizona</v>
      </c>
      <c r="C64" s="160">
        <f t="shared" si="22"/>
        <v>45992</v>
      </c>
      <c r="E64" s="3" t="str">
        <f>IF($A64&gt;KEY!$B$2,"",IFERROR(VLOOKUP($A64,KEY!$A$5:$B$74,2,FALSE),""))</f>
        <v>Tempe Honda</v>
      </c>
      <c r="F64" s="205">
        <f>IF($C64="","",SUMIFS(INP_PRODUCERS!$E$5:$E$2383,INP_PRODUCERS!$D$5:$D$2383,$E64,INP_PRODUCERS!$B$5:$B$2383,$C64))</f>
        <v>25</v>
      </c>
      <c r="G64" s="206">
        <f>IF($C64="","",SUMIFS(INP_PRODUCERS!$E$5:$E$2383,INP_PRODUCERS!$D$5:$D$2383,$E64,INP_PRODUCERS!$C$5:$C$2383,VLOOKUP($C64,KEY!$AE$19:$AH$60,3,FALSE)))</f>
        <v>64</v>
      </c>
      <c r="H64" s="207">
        <f>IF($C64="","",SUMIFS(INP_TRNGATT!$D$5:$D$1051,INP_TRNGATT!$C$5:$C$1051,$E64,INP_TRNGATT!$B$5:$B$1051,VLOOKUP($C64,KEY!$AE$19:$AH$60,3,FALSE)))</f>
        <v>19</v>
      </c>
      <c r="I64" s="208">
        <f>IF($C64="","",SUMIFS(INP_DATA!E$5:E$3027,INP_DATA!$B$5:$B$3027,$C64,INP_DATA!$D$5:$D$3027,$E64))</f>
        <v>58</v>
      </c>
      <c r="J64" s="99">
        <f>IF($C64="","",IF(COUNTIFS(INP_MYSSHP!$B$5:$B$985,VLOOKUP($C64,KEY!$AE$19:$AH$60,3,FALSE),INP_MYSSHP!$C$5:$C$985,$E64)=0,"N/A",SUMIFS(INP_MYSSHP!$D$5:$D$2349,INP_MYSSHP!$C$5:$C$2349,$E64,INP_MYSSHP!$B$5:$B$2349,VLOOKUP($C64,KEY!$AE$19:$AH$60,3,FALSE))))</f>
        <v>1</v>
      </c>
      <c r="K64" s="169">
        <f>IF($C64="","",SUMIFS(INP_DATA!F$5:F$3027,INP_DATA!$B$5:$B$3027,$C64,INP_DATA!$D$5:$D$3027,$E64))</f>
        <v>350</v>
      </c>
      <c r="L64" s="169">
        <f>IF($C64="","",SUMIFS(INP_DATA!G$5:G$3027,INP_DATA!$B$5:$B$3027,$C64,INP_DATA!$D$5:$D$3027,$E64))</f>
        <v>394</v>
      </c>
      <c r="M64" s="100">
        <f>IF($C64="","",SUMIFS(INP_DATA!H$5:H$3027,INP_DATA!$B$5:$B$3027,$C64,INP_DATA!$D$5:$D$3027,$E64))</f>
        <v>548</v>
      </c>
      <c r="N64" s="100">
        <f>IF($C64="","",SUMIFS(INP_DATA!I$5:I$3027,INP_DATA!$B$5:$B$3027,$C64,INP_DATA!$D$5:$D$3027,$E64))</f>
        <v>135</v>
      </c>
      <c r="O64" s="100">
        <f>IF($C64="","",SUMIFS(INP_DATA!J$5:J$3027,INP_DATA!$B$5:$B$3027,$C64,INP_DATA!$D$5:$D$3027,$E64))</f>
        <v>213</v>
      </c>
      <c r="P64" s="100">
        <f>IF($C64="","",SUMIFS(INP_DATA!K$5:K$3027,INP_DATA!$B$5:$B$3027,$C64,INP_DATA!$D$5:$D$3027,$E64))</f>
        <v>44</v>
      </c>
      <c r="Q64" s="100">
        <f>IF($C64="","",SUMIFS(INP_DATA!L$5:L$3027,INP_DATA!$B$5:$B$3027,$C64,INP_DATA!$D$5:$D$3027,$E64))</f>
        <v>520</v>
      </c>
      <c r="R64" s="100">
        <f>IF($C64="","",SUMIFS(INP_DATA!M$5:M$3027,INP_DATA!$B$5:$B$3027,$C64,INP_DATA!$D$5:$D$3027,$E64))</f>
        <v>228</v>
      </c>
      <c r="S64" s="100">
        <f>IF($C64="","",SUMIFS(INP_DATA!N$5:N$3027,INP_DATA!$B$5:$B$3027,$C64,INP_DATA!$D$5:$D$3027,$E64))</f>
        <v>353</v>
      </c>
      <c r="T64" s="101">
        <f>IF($C64="","",SUMIFS(INP_DATA!O$5:O$3027,INP_DATA!$B$5:$B$3027,$C64,INP_DATA!$D$5:$D$3027,$E64))</f>
        <v>550</v>
      </c>
      <c r="U64" s="102">
        <f>IF($C64="","",SUMIFS(INP_DATA!P$5:P$3027,INP_DATA!$B$5:$B$3027,$C64,INP_DATA!$D$5:$D$3027,$E64))</f>
        <v>22</v>
      </c>
      <c r="V64" s="102">
        <f>IF($C64="","",SUMIFS(INP_DATA!Q$5:Q$3027,INP_DATA!$B$5:$B$3027,$C64,INP_DATA!$D$5:$D$3027,$E64))</f>
        <v>11</v>
      </c>
      <c r="W64" s="109"/>
      <c r="X64" s="203">
        <f>COUNTIFS(INP_DATA!$R$5:$R$3027,X$6,INP_DATA!$D$5:$D$3027,$E64,INP_DATA!$B$5:$B$3027,$C64)</f>
        <v>0</v>
      </c>
      <c r="Y64" s="204">
        <f>COUNTIFS(INP_DATA!$R$5:$R$3027,Y$6,INP_DATA!$D$5:$D$3027,$E64,INP_DATA!$B$5:$B$3027,$C64)</f>
        <v>0</v>
      </c>
      <c r="AA64" s="407" t="str">
        <f t="shared" si="3"/>
        <v>Tempe Honda</v>
      </c>
      <c r="AB64" s="406">
        <f t="shared" si="11"/>
        <v>0.8883248730964467</v>
      </c>
      <c r="AC64" s="406">
        <f t="shared" si="12"/>
        <v>0.890625</v>
      </c>
      <c r="AD64" s="412">
        <f t="shared" si="4"/>
        <v>2.3199999999999998</v>
      </c>
      <c r="AE64" s="413">
        <f t="shared" si="5"/>
        <v>1</v>
      </c>
      <c r="AF64" s="406">
        <f t="shared" si="6"/>
        <v>0.24635036496350365</v>
      </c>
      <c r="AG64" s="406">
        <f t="shared" si="7"/>
        <v>0.20657276995305165</v>
      </c>
      <c r="AH64" s="406">
        <f t="shared" si="8"/>
        <v>0.5</v>
      </c>
      <c r="AI64" s="406">
        <f t="shared" si="9"/>
        <v>0.94545454545454544</v>
      </c>
      <c r="AJ64" s="406">
        <f t="shared" si="10"/>
        <v>0.6458923512747875</v>
      </c>
    </row>
    <row r="65" spans="1:36" x14ac:dyDescent="0.35">
      <c r="A65" s="57">
        <v>59</v>
      </c>
      <c r="B65" s="3" t="str">
        <f>IF($A65&gt;KEY!$B$2,"",IFERROR(VLOOKUP($A65,KEY!$A$5:$D$74,4,FALSE),""))</f>
        <v>Northern California</v>
      </c>
      <c r="C65" s="160">
        <f t="shared" si="22"/>
        <v>45992</v>
      </c>
      <c r="E65" s="3" t="str">
        <f>IF($A65&gt;KEY!$B$2,"",IFERROR(VLOOKUP($A65,KEY!$A$5:$B$74,2,FALSE),""))</f>
        <v>Toyota of Clovis</v>
      </c>
      <c r="F65" s="205">
        <f>IF($C65="","",SUMIFS(INP_PRODUCERS!$E$5:$E$2383,INP_PRODUCERS!$D$5:$D$2383,$E65,INP_PRODUCERS!$B$5:$B$2383,$C65))</f>
        <v>20</v>
      </c>
      <c r="G65" s="206">
        <f>IF($C65="","",SUMIFS(INP_PRODUCERS!$E$5:$E$2383,INP_PRODUCERS!$D$5:$D$2383,$E65,INP_PRODUCERS!$C$5:$C$2383,VLOOKUP($C65,KEY!$AE$19:$AH$60,3,FALSE)))</f>
        <v>62</v>
      </c>
      <c r="H65" s="207">
        <f>IF($C65="","",SUMIFS(INP_TRNGATT!$D$5:$D$1051,INP_TRNGATT!$C$5:$C$1051,$E65,INP_TRNGATT!$B$5:$B$1051,VLOOKUP($C65,KEY!$AE$19:$AH$60,3,FALSE)))</f>
        <v>23</v>
      </c>
      <c r="I65" s="208">
        <f>IF($C65="","",SUMIFS(INP_DATA!E$5:E$3027,INP_DATA!$B$5:$B$3027,$C65,INP_DATA!$D$5:$D$3027,$E65))</f>
        <v>53</v>
      </c>
      <c r="J65" s="99">
        <f>IF($C65="","",IF(COUNTIFS(INP_MYSSHP!$B$5:$B$985,VLOOKUP($C65,KEY!$AE$19:$AH$60,3,FALSE),INP_MYSSHP!$C$5:$C$985,$E65)=0,"N/A",SUMIFS(INP_MYSSHP!$D$5:$D$2349,INP_MYSSHP!$C$5:$C$2349,$E65,INP_MYSSHP!$B$5:$B$2349,VLOOKUP($C65,KEY!$AE$19:$AH$60,3,FALSE))))</f>
        <v>1</v>
      </c>
      <c r="K65" s="169">
        <f>IF($C65="","",SUMIFS(INP_DATA!F$5:F$3027,INP_DATA!$B$5:$B$3027,$C65,INP_DATA!$D$5:$D$3027,$E65))</f>
        <v>311</v>
      </c>
      <c r="L65" s="169">
        <f>IF($C65="","",SUMIFS(INP_DATA!G$5:G$3027,INP_DATA!$B$5:$B$3027,$C65,INP_DATA!$D$5:$D$3027,$E65))</f>
        <v>297</v>
      </c>
      <c r="M65" s="100">
        <f>IF($C65="","",SUMIFS(INP_DATA!H$5:H$3027,INP_DATA!$B$5:$B$3027,$C65,INP_DATA!$D$5:$D$3027,$E65))</f>
        <v>437</v>
      </c>
      <c r="N65" s="100">
        <f>IF($C65="","",SUMIFS(INP_DATA!I$5:I$3027,INP_DATA!$B$5:$B$3027,$C65,INP_DATA!$D$5:$D$3027,$E65))</f>
        <v>61</v>
      </c>
      <c r="O65" s="100">
        <f>IF($C65="","",SUMIFS(INP_DATA!J$5:J$3027,INP_DATA!$B$5:$B$3027,$C65,INP_DATA!$D$5:$D$3027,$E65))</f>
        <v>218</v>
      </c>
      <c r="P65" s="100">
        <f>IF($C65="","",SUMIFS(INP_DATA!K$5:K$3027,INP_DATA!$B$5:$B$3027,$C65,INP_DATA!$D$5:$D$3027,$E65))</f>
        <v>51</v>
      </c>
      <c r="Q65" s="100">
        <f>IF($C65="","",SUMIFS(INP_DATA!L$5:L$3027,INP_DATA!$B$5:$B$3027,$C65,INP_DATA!$D$5:$D$3027,$E65))</f>
        <v>325</v>
      </c>
      <c r="R65" s="100">
        <f>IF($C65="","",SUMIFS(INP_DATA!M$5:M$3027,INP_DATA!$B$5:$B$3027,$C65,INP_DATA!$D$5:$D$3027,$E65))</f>
        <v>108</v>
      </c>
      <c r="S65" s="100">
        <f>IF($C65="","",SUMIFS(INP_DATA!N$5:N$3027,INP_DATA!$B$5:$B$3027,$C65,INP_DATA!$D$5:$D$3027,$E65))</f>
        <v>339</v>
      </c>
      <c r="T65" s="101">
        <f>IF($C65="","",SUMIFS(INP_DATA!O$5:O$3027,INP_DATA!$B$5:$B$3027,$C65,INP_DATA!$D$5:$D$3027,$E65))</f>
        <v>440</v>
      </c>
      <c r="U65" s="102">
        <f>IF($C65="","",SUMIFS(INP_DATA!P$5:P$3027,INP_DATA!$B$5:$B$3027,$C65,INP_DATA!$D$5:$D$3027,$E65))</f>
        <v>3</v>
      </c>
      <c r="V65" s="102">
        <f>IF($C65="","",SUMIFS(INP_DATA!Q$5:Q$3027,INP_DATA!$B$5:$B$3027,$C65,INP_DATA!$D$5:$D$3027,$E65))</f>
        <v>3</v>
      </c>
      <c r="W65" s="109"/>
      <c r="X65" s="203">
        <f>COUNTIFS(INP_DATA!$R$5:$R$3027,X$6,INP_DATA!$D$5:$D$3027,$E65,INP_DATA!$B$5:$B$3027,$C65)</f>
        <v>0</v>
      </c>
      <c r="Y65" s="204">
        <f>COUNTIFS(INP_DATA!$R$5:$R$3027,Y$6,INP_DATA!$D$5:$D$3027,$E65,INP_DATA!$B$5:$B$3027,$C65)</f>
        <v>0</v>
      </c>
      <c r="AA65" s="407" t="str">
        <f t="shared" si="3"/>
        <v>Toyota of Clovis</v>
      </c>
      <c r="AB65" s="406">
        <f t="shared" si="11"/>
        <v>1.0471380471380471</v>
      </c>
      <c r="AC65" s="406">
        <f t="shared" si="12"/>
        <v>1.1129032258064515</v>
      </c>
      <c r="AD65" s="412">
        <f t="shared" si="4"/>
        <v>2.65</v>
      </c>
      <c r="AE65" s="413">
        <f t="shared" si="5"/>
        <v>1</v>
      </c>
      <c r="AF65" s="406">
        <f t="shared" si="6"/>
        <v>0.13958810068649885</v>
      </c>
      <c r="AG65" s="406">
        <f t="shared" si="7"/>
        <v>0.23394495412844038</v>
      </c>
      <c r="AH65" s="406">
        <f t="shared" si="8"/>
        <v>1</v>
      </c>
      <c r="AI65" s="406">
        <f t="shared" si="9"/>
        <v>0.73863636363636365</v>
      </c>
      <c r="AJ65" s="406">
        <f t="shared" si="10"/>
        <v>0.31858407079646017</v>
      </c>
    </row>
    <row r="66" spans="1:36" x14ac:dyDescent="0.35">
      <c r="A66" s="57">
        <v>60</v>
      </c>
      <c r="B66" s="3" t="str">
        <f>IF($A66&gt;KEY!$B$2,"",IFERROR(VLOOKUP($A66,KEY!$A$5:$D$74,4,FALSE),""))</f>
        <v>Arizona</v>
      </c>
      <c r="C66" s="160">
        <f t="shared" si="22"/>
        <v>45992</v>
      </c>
      <c r="E66" s="3" t="str">
        <f>IF($A66&gt;KEY!$B$2,"",IFERROR(VLOOKUP($A66,KEY!$A$5:$B$74,2,FALSE),""))</f>
        <v>Toyota of Surprise</v>
      </c>
      <c r="F66" s="205">
        <f>IF($C66="","",SUMIFS(INP_PRODUCERS!$E$5:$E$2383,INP_PRODUCERS!$D$5:$D$2383,$E66,INP_PRODUCERS!$B$5:$B$2383,$C66))</f>
        <v>20</v>
      </c>
      <c r="G66" s="206">
        <f>IF($C66="","",SUMIFS(INP_PRODUCERS!$E$5:$E$2383,INP_PRODUCERS!$D$5:$D$2383,$E66,INP_PRODUCERS!$C$5:$C$2383,VLOOKUP($C66,KEY!$AE$19:$AH$60,3,FALSE)))</f>
        <v>56</v>
      </c>
      <c r="H66" s="207">
        <f>IF($C66="","",SUMIFS(INP_TRNGATT!$D$5:$D$1051,INP_TRNGATT!$C$5:$C$1051,$E66,INP_TRNGATT!$B$5:$B$1051,VLOOKUP($C66,KEY!$AE$19:$AH$60,3,FALSE)))</f>
        <v>56</v>
      </c>
      <c r="I66" s="208">
        <f>IF($C66="","",SUMIFS(INP_DATA!E$5:E$3027,INP_DATA!$B$5:$B$3027,$C66,INP_DATA!$D$5:$D$3027,$E66))</f>
        <v>52</v>
      </c>
      <c r="J66" s="99">
        <f>IF($C66="","",IF(COUNTIFS(INP_MYSSHP!$B$5:$B$985,VLOOKUP($C66,KEY!$AE$19:$AH$60,3,FALSE),INP_MYSSHP!$C$5:$C$985,$E66)=0,"N/A",SUMIFS(INP_MYSSHP!$D$5:$D$2349,INP_MYSSHP!$C$5:$C$2349,$E66,INP_MYSSHP!$B$5:$B$2349,VLOOKUP($C66,KEY!$AE$19:$AH$60,3,FALSE))))</f>
        <v>1</v>
      </c>
      <c r="K66" s="169">
        <f>IF($C66="","",SUMIFS(INP_DATA!F$5:F$3027,INP_DATA!$B$5:$B$3027,$C66,INP_DATA!$D$5:$D$3027,$E66))</f>
        <v>309</v>
      </c>
      <c r="L66" s="169">
        <f>IF($C66="","",SUMIFS(INP_DATA!G$5:G$3027,INP_DATA!$B$5:$B$3027,$C66,INP_DATA!$D$5:$D$3027,$E66))</f>
        <v>322</v>
      </c>
      <c r="M66" s="100">
        <f>IF($C66="","",SUMIFS(INP_DATA!H$5:H$3027,INP_DATA!$B$5:$B$3027,$C66,INP_DATA!$D$5:$D$3027,$E66))</f>
        <v>406</v>
      </c>
      <c r="N66" s="100">
        <f>IF($C66="","",SUMIFS(INP_DATA!I$5:I$3027,INP_DATA!$B$5:$B$3027,$C66,INP_DATA!$D$5:$D$3027,$E66))</f>
        <v>59</v>
      </c>
      <c r="O66" s="100">
        <f>IF($C66="","",SUMIFS(INP_DATA!J$5:J$3027,INP_DATA!$B$5:$B$3027,$C66,INP_DATA!$D$5:$D$3027,$E66))</f>
        <v>116</v>
      </c>
      <c r="P66" s="100">
        <f>IF($C66="","",SUMIFS(INP_DATA!K$5:K$3027,INP_DATA!$B$5:$B$3027,$C66,INP_DATA!$D$5:$D$3027,$E66))</f>
        <v>38</v>
      </c>
      <c r="Q66" s="100">
        <f>IF($C66="","",SUMIFS(INP_DATA!L$5:L$3027,INP_DATA!$B$5:$B$3027,$C66,INP_DATA!$D$5:$D$3027,$E66))</f>
        <v>379</v>
      </c>
      <c r="R66" s="100">
        <f>IF($C66="","",SUMIFS(INP_DATA!M$5:M$3027,INP_DATA!$B$5:$B$3027,$C66,INP_DATA!$D$5:$D$3027,$E66))</f>
        <v>165</v>
      </c>
      <c r="S66" s="100">
        <f>IF($C66="","",SUMIFS(INP_DATA!N$5:N$3027,INP_DATA!$B$5:$B$3027,$C66,INP_DATA!$D$5:$D$3027,$E66))</f>
        <v>326</v>
      </c>
      <c r="T66" s="101">
        <f>IF($C66="","",SUMIFS(INP_DATA!O$5:O$3027,INP_DATA!$B$5:$B$3027,$C66,INP_DATA!$D$5:$D$3027,$E66))</f>
        <v>440</v>
      </c>
      <c r="U66" s="102">
        <f>IF($C66="","",SUMIFS(INP_DATA!P$5:P$3027,INP_DATA!$B$5:$B$3027,$C66,INP_DATA!$D$5:$D$3027,$E66))</f>
        <v>1</v>
      </c>
      <c r="V66" s="102">
        <f>IF($C66="","",SUMIFS(INP_DATA!Q$5:Q$3027,INP_DATA!$B$5:$B$3027,$C66,INP_DATA!$D$5:$D$3027,$E66))</f>
        <v>1</v>
      </c>
      <c r="W66" s="109"/>
      <c r="X66" s="203">
        <f>COUNTIFS(INP_DATA!$R$5:$R$3027,X$6,INP_DATA!$D$5:$D$3027,$E66,INP_DATA!$B$5:$B$3027,$C66)</f>
        <v>0</v>
      </c>
      <c r="Y66" s="204">
        <f>COUNTIFS(INP_DATA!$R$5:$R$3027,Y$6,INP_DATA!$D$5:$D$3027,$E66,INP_DATA!$B$5:$B$3027,$C66)</f>
        <v>0</v>
      </c>
      <c r="AA66" s="407" t="str">
        <f t="shared" si="3"/>
        <v>Toyota of Surprise</v>
      </c>
      <c r="AB66" s="406">
        <f t="shared" si="11"/>
        <v>0.95962732919254656</v>
      </c>
      <c r="AC66" s="406">
        <f t="shared" si="12"/>
        <v>3</v>
      </c>
      <c r="AD66" s="412">
        <f t="shared" si="4"/>
        <v>2.6</v>
      </c>
      <c r="AE66" s="413">
        <f t="shared" si="5"/>
        <v>1</v>
      </c>
      <c r="AF66" s="406">
        <f t="shared" si="6"/>
        <v>0.14532019704433496</v>
      </c>
      <c r="AG66" s="406">
        <f t="shared" si="7"/>
        <v>0.32758620689655171</v>
      </c>
      <c r="AH66" s="406">
        <f t="shared" si="8"/>
        <v>1</v>
      </c>
      <c r="AI66" s="406">
        <f t="shared" si="9"/>
        <v>0.86136363636363633</v>
      </c>
      <c r="AJ66" s="406">
        <f t="shared" si="10"/>
        <v>0.50613496932515334</v>
      </c>
    </row>
    <row r="67" spans="1:36" x14ac:dyDescent="0.35">
      <c r="A67" s="57">
        <v>61</v>
      </c>
      <c r="B67" s="3" t="str">
        <f>IF($A67&gt;KEY!$B$2,"",IFERROR(VLOOKUP($A67,KEY!$A$5:$D$74,4,FALSE),""))</f>
        <v>Arizona</v>
      </c>
      <c r="C67" s="160">
        <f t="shared" si="22"/>
        <v>45992</v>
      </c>
      <c r="E67" s="3" t="str">
        <f>IF($A67&gt;KEY!$B$2,"",IFERROR(VLOOKUP($A67,KEY!$A$5:$B$74,2,FALSE),""))</f>
        <v>Volkswagen North Scottsdale</v>
      </c>
      <c r="F67" s="205">
        <f>IF($C67="","",SUMIFS(INP_PRODUCERS!$E$5:$E$2383,INP_PRODUCERS!$D$5:$D$2383,$E67,INP_PRODUCERS!$B$5:$B$2383,$C67))</f>
        <v>6</v>
      </c>
      <c r="G67" s="206">
        <f>IF($C67="","",SUMIFS(INP_PRODUCERS!$E$5:$E$2383,INP_PRODUCERS!$D$5:$D$2383,$E67,INP_PRODUCERS!$C$5:$C$2383,VLOOKUP($C67,KEY!$AE$19:$AH$60,3,FALSE)))</f>
        <v>19</v>
      </c>
      <c r="H67" s="207">
        <f>IF($C67="","",SUMIFS(INP_TRNGATT!$D$5:$D$1051,INP_TRNGATT!$C$5:$C$1051,$E67,INP_TRNGATT!$B$5:$B$1051,VLOOKUP($C67,KEY!$AE$19:$AH$60,3,FALSE)))</f>
        <v>11</v>
      </c>
      <c r="I67" s="208">
        <f>IF($C67="","",SUMIFS(INP_DATA!E$5:E$3027,INP_DATA!$B$5:$B$3027,$C67,INP_DATA!$D$5:$D$3027,$E67))</f>
        <v>13</v>
      </c>
      <c r="J67" s="99">
        <f>IF($C67="","",IF(COUNTIFS(INP_MYSSHP!$B$5:$B$985,VLOOKUP($C67,KEY!$AE$19:$AH$60,3,FALSE),INP_MYSSHP!$C$5:$C$985,$E67)=0,"N/A",SUMIFS(INP_MYSSHP!$D$5:$D$2349,INP_MYSSHP!$C$5:$C$2349,$E67,INP_MYSSHP!$B$5:$B$2349,VLOOKUP($C67,KEY!$AE$19:$AH$60,3,FALSE))))</f>
        <v>0.5</v>
      </c>
      <c r="K67" s="169">
        <f>IF($C67="","",SUMIFS(INP_DATA!F$5:F$3027,INP_DATA!$B$5:$B$3027,$C67,INP_DATA!$D$5:$D$3027,$E67))</f>
        <v>72</v>
      </c>
      <c r="L67" s="169">
        <f>IF($C67="","",SUMIFS(INP_DATA!G$5:G$3027,INP_DATA!$B$5:$B$3027,$C67,INP_DATA!$D$5:$D$3027,$E67))</f>
        <v>79</v>
      </c>
      <c r="M67" s="100">
        <f>IF($C67="","",SUMIFS(INP_DATA!H$5:H$3027,INP_DATA!$B$5:$B$3027,$C67,INP_DATA!$D$5:$D$3027,$E67))</f>
        <v>138</v>
      </c>
      <c r="N67" s="100">
        <f>IF($C67="","",SUMIFS(INP_DATA!I$5:I$3027,INP_DATA!$B$5:$B$3027,$C67,INP_DATA!$D$5:$D$3027,$E67))</f>
        <v>21</v>
      </c>
      <c r="O67" s="100">
        <f>IF($C67="","",SUMIFS(INP_DATA!J$5:J$3027,INP_DATA!$B$5:$B$3027,$C67,INP_DATA!$D$5:$D$3027,$E67))</f>
        <v>45</v>
      </c>
      <c r="P67" s="100">
        <f>IF($C67="","",SUMIFS(INP_DATA!K$5:K$3027,INP_DATA!$B$5:$B$3027,$C67,INP_DATA!$D$5:$D$3027,$E67))</f>
        <v>13</v>
      </c>
      <c r="Q67" s="100">
        <f>IF($C67="","",SUMIFS(INP_DATA!L$5:L$3027,INP_DATA!$B$5:$B$3027,$C67,INP_DATA!$D$5:$D$3027,$E67))</f>
        <v>95</v>
      </c>
      <c r="R67" s="100">
        <f>IF($C67="","",SUMIFS(INP_DATA!M$5:M$3027,INP_DATA!$B$5:$B$3027,$C67,INP_DATA!$D$5:$D$3027,$E67))</f>
        <v>53</v>
      </c>
      <c r="S67" s="100">
        <f>IF($C67="","",SUMIFS(INP_DATA!N$5:N$3027,INP_DATA!$B$5:$B$3027,$C67,INP_DATA!$D$5:$D$3027,$E67))</f>
        <v>73</v>
      </c>
      <c r="T67" s="101">
        <f>IF($C67="","",SUMIFS(INP_DATA!O$5:O$3027,INP_DATA!$B$5:$B$3027,$C67,INP_DATA!$D$5:$D$3027,$E67))</f>
        <v>132</v>
      </c>
      <c r="U67" s="102">
        <f>IF($C67="","",SUMIFS(INP_DATA!P$5:P$3027,INP_DATA!$B$5:$B$3027,$C67,INP_DATA!$D$5:$D$3027,$E67))</f>
        <v>2</v>
      </c>
      <c r="V67" s="102">
        <f>IF($C67="","",SUMIFS(INP_DATA!Q$5:Q$3027,INP_DATA!$B$5:$B$3027,$C67,INP_DATA!$D$5:$D$3027,$E67))</f>
        <v>2</v>
      </c>
      <c r="W67" s="109"/>
      <c r="X67" s="203">
        <f>COUNTIFS(INP_DATA!$R$5:$R$3027,X$6,INP_DATA!$D$5:$D$3027,$E67,INP_DATA!$B$5:$B$3027,$C67)</f>
        <v>0</v>
      </c>
      <c r="Y67" s="204">
        <f>COUNTIFS(INP_DATA!$R$5:$R$3027,Y$6,INP_DATA!$D$5:$D$3027,$E67,INP_DATA!$B$5:$B$3027,$C67)</f>
        <v>0</v>
      </c>
      <c r="AA67" s="407" t="str">
        <f t="shared" si="3"/>
        <v>Volkswagen North Scottsdale</v>
      </c>
      <c r="AB67" s="406">
        <f t="shared" si="11"/>
        <v>0.91139240506329111</v>
      </c>
      <c r="AC67" s="406">
        <f t="shared" si="12"/>
        <v>1.736842105263158</v>
      </c>
      <c r="AD67" s="412">
        <f t="shared" si="4"/>
        <v>2.1666666666666665</v>
      </c>
      <c r="AE67" s="413">
        <f t="shared" si="5"/>
        <v>0.5</v>
      </c>
      <c r="AF67" s="406">
        <f t="shared" si="6"/>
        <v>0.15217391304347827</v>
      </c>
      <c r="AG67" s="406">
        <f t="shared" si="7"/>
        <v>0.28888888888888886</v>
      </c>
      <c r="AH67" s="406">
        <f t="shared" si="8"/>
        <v>1</v>
      </c>
      <c r="AI67" s="406">
        <f t="shared" si="9"/>
        <v>0.71969696969696972</v>
      </c>
      <c r="AJ67" s="406">
        <f t="shared" si="10"/>
        <v>0.72602739726027399</v>
      </c>
    </row>
    <row r="68" spans="1:36" x14ac:dyDescent="0.35">
      <c r="A68" s="57">
        <v>62</v>
      </c>
      <c r="B68" s="3" t="str">
        <f>IF($A68&gt;KEY!$B$2,"",IFERROR(VLOOKUP($A68,KEY!$A$5:$D$74,4,FALSE),""))</f>
        <v>Orange County</v>
      </c>
      <c r="C68" s="160">
        <f t="shared" si="22"/>
        <v>45992</v>
      </c>
      <c r="E68" s="3" t="str">
        <f>IF($A68&gt;KEY!$B$2,"",IFERROR(VLOOKUP($A68,KEY!$A$5:$B$74,2,FALSE),""))</f>
        <v>Volkswagen South Coast</v>
      </c>
      <c r="F68" s="205">
        <f>IF($C68="","",SUMIFS(INP_PRODUCERS!$E$5:$E$2383,INP_PRODUCERS!$D$5:$D$2383,$E68,INP_PRODUCERS!$B$5:$B$2383,$C68))</f>
        <v>5</v>
      </c>
      <c r="G68" s="206">
        <f>IF($C68="","",SUMIFS(INP_PRODUCERS!$E$5:$E$2383,INP_PRODUCERS!$D$5:$D$2383,$E68,INP_PRODUCERS!$C$5:$C$2383,VLOOKUP($C68,KEY!$AE$19:$AH$60,3,FALSE)))</f>
        <v>14</v>
      </c>
      <c r="H68" s="207">
        <f>IF($C68="","",SUMIFS(INP_TRNGATT!$D$5:$D$1051,INP_TRNGATT!$C$5:$C$1051,$E68,INP_TRNGATT!$B$5:$B$1051,VLOOKUP($C68,KEY!$AE$19:$AH$60,3,FALSE)))</f>
        <v>14</v>
      </c>
      <c r="I68" s="208">
        <f>IF($C68="","",SUMIFS(INP_DATA!E$5:E$3027,INP_DATA!$B$5:$B$3027,$C68,INP_DATA!$D$5:$D$3027,$E68))</f>
        <v>10</v>
      </c>
      <c r="J68" s="99">
        <f>IF($C68="","",IF(COUNTIFS(INP_MYSSHP!$B$5:$B$985,VLOOKUP($C68,KEY!$AE$19:$AH$60,3,FALSE),INP_MYSSHP!$C$5:$C$985,$E68)=0,"N/A",SUMIFS(INP_MYSSHP!$D$5:$D$2349,INP_MYSSHP!$C$5:$C$2349,$E68,INP_MYSSHP!$B$5:$B$2349,VLOOKUP($C68,KEY!$AE$19:$AH$60,3,FALSE))))</f>
        <v>0.75</v>
      </c>
      <c r="K68" s="169">
        <f>IF($C68="","",SUMIFS(INP_DATA!F$5:F$3027,INP_DATA!$B$5:$B$3027,$C68,INP_DATA!$D$5:$D$3027,$E68))</f>
        <v>66</v>
      </c>
      <c r="L68" s="169">
        <f>IF($C68="","",SUMIFS(INP_DATA!G$5:G$3027,INP_DATA!$B$5:$B$3027,$C68,INP_DATA!$D$5:$D$3027,$E68))</f>
        <v>79</v>
      </c>
      <c r="M68" s="100">
        <f>IF($C68="","",SUMIFS(INP_DATA!H$5:H$3027,INP_DATA!$B$5:$B$3027,$C68,INP_DATA!$D$5:$D$3027,$E68))</f>
        <v>235</v>
      </c>
      <c r="N68" s="100">
        <f>IF($C68="","",SUMIFS(INP_DATA!I$5:I$3027,INP_DATA!$B$5:$B$3027,$C68,INP_DATA!$D$5:$D$3027,$E68))</f>
        <v>22</v>
      </c>
      <c r="O68" s="100">
        <f>IF($C68="","",SUMIFS(INP_DATA!J$5:J$3027,INP_DATA!$B$5:$B$3027,$C68,INP_DATA!$D$5:$D$3027,$E68))</f>
        <v>44</v>
      </c>
      <c r="P68" s="100">
        <f>IF($C68="","",SUMIFS(INP_DATA!K$5:K$3027,INP_DATA!$B$5:$B$3027,$C68,INP_DATA!$D$5:$D$3027,$E68))</f>
        <v>8</v>
      </c>
      <c r="Q68" s="100">
        <f>IF($C68="","",SUMIFS(INP_DATA!L$5:L$3027,INP_DATA!$B$5:$B$3027,$C68,INP_DATA!$D$5:$D$3027,$E68))</f>
        <v>107</v>
      </c>
      <c r="R68" s="100">
        <f>IF($C68="","",SUMIFS(INP_DATA!M$5:M$3027,INP_DATA!$B$5:$B$3027,$C68,INP_DATA!$D$5:$D$3027,$E68))</f>
        <v>52</v>
      </c>
      <c r="S68" s="100">
        <f>IF($C68="","",SUMIFS(INP_DATA!N$5:N$3027,INP_DATA!$B$5:$B$3027,$C68,INP_DATA!$D$5:$D$3027,$E68))</f>
        <v>66</v>
      </c>
      <c r="T68" s="101">
        <f>IF($C68="","",SUMIFS(INP_DATA!O$5:O$3027,INP_DATA!$B$5:$B$3027,$C68,INP_DATA!$D$5:$D$3027,$E68))</f>
        <v>110</v>
      </c>
      <c r="U68" s="102">
        <f>IF($C68="","",SUMIFS(INP_DATA!P$5:P$3027,INP_DATA!$B$5:$B$3027,$C68,INP_DATA!$D$5:$D$3027,$E68))</f>
        <v>32</v>
      </c>
      <c r="V68" s="102">
        <f>IF($C68="","",SUMIFS(INP_DATA!Q$5:Q$3027,INP_DATA!$B$5:$B$3027,$C68,INP_DATA!$D$5:$D$3027,$E68))</f>
        <v>12</v>
      </c>
      <c r="W68" s="109"/>
      <c r="X68" s="203">
        <f>COUNTIFS(INP_DATA!$R$5:$R$3027,X$6,INP_DATA!$D$5:$D$3027,$E68,INP_DATA!$B$5:$B$3027,$C68)</f>
        <v>0</v>
      </c>
      <c r="Y68" s="204">
        <f>COUNTIFS(INP_DATA!$R$5:$R$3027,Y$6,INP_DATA!$D$5:$D$3027,$E68,INP_DATA!$B$5:$B$3027,$C68)</f>
        <v>0</v>
      </c>
      <c r="AA68" s="407" t="str">
        <f t="shared" si="3"/>
        <v>Volkswagen South Coast</v>
      </c>
      <c r="AB68" s="406">
        <f t="shared" si="11"/>
        <v>0.83544303797468356</v>
      </c>
      <c r="AC68" s="406">
        <f t="shared" si="12"/>
        <v>3</v>
      </c>
      <c r="AD68" s="412">
        <f t="shared" si="4"/>
        <v>2</v>
      </c>
      <c r="AE68" s="413">
        <f t="shared" si="5"/>
        <v>0.75</v>
      </c>
      <c r="AF68" s="406">
        <f t="shared" si="6"/>
        <v>9.3617021276595741E-2</v>
      </c>
      <c r="AG68" s="406">
        <f t="shared" si="7"/>
        <v>0.18181818181818182</v>
      </c>
      <c r="AH68" s="406">
        <f t="shared" si="8"/>
        <v>0.375</v>
      </c>
      <c r="AI68" s="406">
        <f t="shared" si="9"/>
        <v>0.97272727272727277</v>
      </c>
      <c r="AJ68" s="406">
        <f t="shared" si="10"/>
        <v>0.78787878787878785</v>
      </c>
    </row>
    <row r="69" spans="1:36" x14ac:dyDescent="0.35">
      <c r="A69" s="57">
        <v>63</v>
      </c>
      <c r="B69" s="3" t="str">
        <f>IF($A69&gt;KEY!$B$2,"",IFERROR(VLOOKUP($A69,KEY!$A$5:$D$74,4,FALSE),""))</f>
        <v/>
      </c>
      <c r="C69" s="160">
        <f t="shared" si="22"/>
        <v>45992</v>
      </c>
      <c r="E69" s="3" t="str">
        <f>IF($A69&gt;KEY!$B$2,"",IFERROR(VLOOKUP($A69,KEY!$A$5:$B$74,2,FALSE),""))</f>
        <v/>
      </c>
      <c r="F69" s="205">
        <f>IF($C69="","",SUMIFS(INP_PRODUCERS!$E$5:$E$2383,INP_PRODUCERS!$D$5:$D$2383,$E69,INP_PRODUCERS!$B$5:$B$2383,$C69))</f>
        <v>0</v>
      </c>
      <c r="G69" s="206">
        <f>IF($C69="","",SUMIFS(INP_PRODUCERS!$E$5:$E$2383,INP_PRODUCERS!$D$5:$D$2383,$E69,INP_PRODUCERS!$C$5:$C$2383,VLOOKUP($C69,KEY!$AE$19:$AH$60,3,FALSE)))</f>
        <v>0</v>
      </c>
      <c r="H69" s="207">
        <f>IF($C69="","",SUMIFS(INP_TRNGATT!$D$5:$D$1051,INP_TRNGATT!$C$5:$C$1051,$E69,INP_TRNGATT!$B$5:$B$1051,VLOOKUP($C69,KEY!$AE$19:$AH$60,3,FALSE)))</f>
        <v>0</v>
      </c>
      <c r="I69" s="208">
        <f>IF($C69="","",SUMIFS(INP_DATA!E$5:E$3027,INP_DATA!$B$5:$B$3027,$C69,INP_DATA!$D$5:$D$3027,$E69))</f>
        <v>0</v>
      </c>
      <c r="J69" s="99">
        <f>IF($C69="","",IF(COUNTIFS(INP_MYSSHP!$B$5:$B$985,VLOOKUP($C69,KEY!$AE$19:$AH$60,3,FALSE),INP_MYSSHP!$C$5:$C$985,$E69)=0,"N/A",SUMIFS(INP_MYSSHP!$D$5:$D$2349,INP_MYSSHP!$C$5:$C$2349,$E69,INP_MYSSHP!$B$5:$B$2349,VLOOKUP($C69,KEY!$AE$19:$AH$60,3,FALSE))))</f>
        <v>0</v>
      </c>
      <c r="K69" s="169">
        <f>IF($C69="","",SUMIFS(INP_DATA!F$5:F$3027,INP_DATA!$B$5:$B$3027,$C69,INP_DATA!$D$5:$D$3027,$E69))</f>
        <v>0</v>
      </c>
      <c r="L69" s="169">
        <f>IF($C69="","",SUMIFS(INP_DATA!G$5:G$3027,INP_DATA!$B$5:$B$3027,$C69,INP_DATA!$D$5:$D$3027,$E69))</f>
        <v>0</v>
      </c>
      <c r="M69" s="100">
        <f>IF($C69="","",SUMIFS(INP_DATA!H$5:H$3027,INP_DATA!$B$5:$B$3027,$C69,INP_DATA!$D$5:$D$3027,$E69))</f>
        <v>0</v>
      </c>
      <c r="N69" s="100">
        <f>IF($C69="","",SUMIFS(INP_DATA!I$5:I$3027,INP_DATA!$B$5:$B$3027,$C69,INP_DATA!$D$5:$D$3027,$E69))</f>
        <v>0</v>
      </c>
      <c r="O69" s="100">
        <f>IF($C69="","",SUMIFS(INP_DATA!J$5:J$3027,INP_DATA!$B$5:$B$3027,$C69,INP_DATA!$D$5:$D$3027,$E69))</f>
        <v>0</v>
      </c>
      <c r="P69" s="100">
        <f>IF($C69="","",SUMIFS(INP_DATA!K$5:K$3027,INP_DATA!$B$5:$B$3027,$C69,INP_DATA!$D$5:$D$3027,$E69))</f>
        <v>0</v>
      </c>
      <c r="Q69" s="100">
        <f>IF($C69="","",SUMIFS(INP_DATA!L$5:L$3027,INP_DATA!$B$5:$B$3027,$C69,INP_DATA!$D$5:$D$3027,$E69))</f>
        <v>0</v>
      </c>
      <c r="R69" s="100">
        <f>IF($C69="","",SUMIFS(INP_DATA!M$5:M$3027,INP_DATA!$B$5:$B$3027,$C69,INP_DATA!$D$5:$D$3027,$E69))</f>
        <v>0</v>
      </c>
      <c r="S69" s="100">
        <f>IF($C69="","",SUMIFS(INP_DATA!N$5:N$3027,INP_DATA!$B$5:$B$3027,$C69,INP_DATA!$D$5:$D$3027,$E69))</f>
        <v>0</v>
      </c>
      <c r="T69" s="101">
        <f>IF($C69="","",SUMIFS(INP_DATA!O$5:O$3027,INP_DATA!$B$5:$B$3027,$C69,INP_DATA!$D$5:$D$3027,$E69))</f>
        <v>0</v>
      </c>
      <c r="U69" s="102">
        <f>IF($C69="","",SUMIFS(INP_DATA!P$5:P$3027,INP_DATA!$B$5:$B$3027,$C69,INP_DATA!$D$5:$D$3027,$E69))</f>
        <v>0</v>
      </c>
      <c r="V69" s="102">
        <f>IF($C69="","",SUMIFS(INP_DATA!Q$5:Q$3027,INP_DATA!$B$5:$B$3027,$C69,INP_DATA!$D$5:$D$3027,$E69))</f>
        <v>0</v>
      </c>
      <c r="W69" s="109"/>
      <c r="X69" s="203">
        <f>COUNTIFS(INP_DATA!$R$5:$R$3027,X$6,INP_DATA!$D$5:$D$3027,$E69,INP_DATA!$B$5:$B$3027,$C69)</f>
        <v>0</v>
      </c>
      <c r="Y69" s="204">
        <f>COUNTIFS(INP_DATA!$R$5:$R$3027,Y$6,INP_DATA!$D$5:$D$3027,$E69,INP_DATA!$B$5:$B$3027,$C69)</f>
        <v>0</v>
      </c>
      <c r="AA69" s="407" t="str">
        <f t="shared" si="3"/>
        <v/>
      </c>
      <c r="AB69" s="406" t="str">
        <f t="shared" si="11"/>
        <v/>
      </c>
      <c r="AC69" s="406" t="str">
        <f t="shared" si="12"/>
        <v/>
      </c>
      <c r="AD69" s="412" t="str">
        <f t="shared" si="4"/>
        <v/>
      </c>
      <c r="AE69" s="413" t="str">
        <f t="shared" si="5"/>
        <v/>
      </c>
      <c r="AF69" s="406" t="str">
        <f t="shared" si="6"/>
        <v/>
      </c>
      <c r="AG69" s="406" t="str">
        <f t="shared" si="7"/>
        <v/>
      </c>
      <c r="AH69" s="406" t="str">
        <f t="shared" si="8"/>
        <v/>
      </c>
      <c r="AI69" s="406" t="str">
        <f t="shared" si="9"/>
        <v/>
      </c>
      <c r="AJ69" s="406" t="str">
        <f t="shared" si="10"/>
        <v/>
      </c>
    </row>
    <row r="70" spans="1:36" x14ac:dyDescent="0.35">
      <c r="A70" s="57">
        <v>64</v>
      </c>
      <c r="B70" s="3" t="str">
        <f>IF($A70&gt;KEY!$B$2,"",IFERROR(VLOOKUP($A70,KEY!$A$5:$D$74,4,FALSE),""))</f>
        <v/>
      </c>
      <c r="C70" s="160">
        <f t="shared" si="22"/>
        <v>45992</v>
      </c>
      <c r="E70" s="3" t="str">
        <f>IF($A70&gt;KEY!$B$2,"",IFERROR(VLOOKUP($A70,KEY!$A$5:$B$74,2,FALSE),""))</f>
        <v/>
      </c>
      <c r="F70" s="205">
        <f>IF($C70="","",SUMIFS(INP_PRODUCERS!$E$5:$E$2383,INP_PRODUCERS!$D$5:$D$2383,$E70,INP_PRODUCERS!$B$5:$B$2383,$C70))</f>
        <v>0</v>
      </c>
      <c r="G70" s="206">
        <f>IF($C70="","",SUMIFS(INP_PRODUCERS!$E$5:$E$2383,INP_PRODUCERS!$D$5:$D$2383,$E70,INP_PRODUCERS!$C$5:$C$2383,VLOOKUP($C70,KEY!$AE$19:$AH$60,3,FALSE)))</f>
        <v>0</v>
      </c>
      <c r="H70" s="207">
        <f>IF($C70="","",SUMIFS(INP_TRNGATT!$D$5:$D$1051,INP_TRNGATT!$C$5:$C$1051,$E70,INP_TRNGATT!$B$5:$B$1051,VLOOKUP($C70,KEY!$AE$19:$AH$60,3,FALSE)))</f>
        <v>0</v>
      </c>
      <c r="I70" s="208">
        <f>IF($C70="","",SUMIFS(INP_DATA!E$5:E$3027,INP_DATA!$B$5:$B$3027,$C70,INP_DATA!$D$5:$D$3027,$E70))</f>
        <v>0</v>
      </c>
      <c r="J70" s="99">
        <f>IF($C70="","",IF(COUNTIFS(INP_MYSSHP!$B$5:$B$985,VLOOKUP($C70,KEY!$AE$19:$AH$60,3,FALSE),INP_MYSSHP!$C$5:$C$985,$E70)=0,"N/A",SUMIFS(INP_MYSSHP!$D$5:$D$2349,INP_MYSSHP!$C$5:$C$2349,$E70,INP_MYSSHP!$B$5:$B$2349,VLOOKUP($C70,KEY!$AE$19:$AH$60,3,FALSE))))</f>
        <v>0</v>
      </c>
      <c r="K70" s="169">
        <f>IF($C70="","",SUMIFS(INP_DATA!F$5:F$3027,INP_DATA!$B$5:$B$3027,$C70,INP_DATA!$D$5:$D$3027,$E70))</f>
        <v>0</v>
      </c>
      <c r="L70" s="169">
        <f>IF($C70="","",SUMIFS(INP_DATA!G$5:G$3027,INP_DATA!$B$5:$B$3027,$C70,INP_DATA!$D$5:$D$3027,$E70))</f>
        <v>0</v>
      </c>
      <c r="M70" s="100">
        <f>IF($C70="","",SUMIFS(INP_DATA!H$5:H$3027,INP_DATA!$B$5:$B$3027,$C70,INP_DATA!$D$5:$D$3027,$E70))</f>
        <v>0</v>
      </c>
      <c r="N70" s="100">
        <f>IF($C70="","",SUMIFS(INP_DATA!I$5:I$3027,INP_DATA!$B$5:$B$3027,$C70,INP_DATA!$D$5:$D$3027,$E70))</f>
        <v>0</v>
      </c>
      <c r="O70" s="100">
        <f>IF($C70="","",SUMIFS(INP_DATA!J$5:J$3027,INP_DATA!$B$5:$B$3027,$C70,INP_DATA!$D$5:$D$3027,$E70))</f>
        <v>0</v>
      </c>
      <c r="P70" s="100">
        <f>IF($C70="","",SUMIFS(INP_DATA!K$5:K$3027,INP_DATA!$B$5:$B$3027,$C70,INP_DATA!$D$5:$D$3027,$E70))</f>
        <v>0</v>
      </c>
      <c r="Q70" s="100">
        <f>IF($C70="","",SUMIFS(INP_DATA!L$5:L$3027,INP_DATA!$B$5:$B$3027,$C70,INP_DATA!$D$5:$D$3027,$E70))</f>
        <v>0</v>
      </c>
      <c r="R70" s="100">
        <f>IF($C70="","",SUMIFS(INP_DATA!M$5:M$3027,INP_DATA!$B$5:$B$3027,$C70,INP_DATA!$D$5:$D$3027,$E70))</f>
        <v>0</v>
      </c>
      <c r="S70" s="100">
        <f>IF($C70="","",SUMIFS(INP_DATA!N$5:N$3027,INP_DATA!$B$5:$B$3027,$C70,INP_DATA!$D$5:$D$3027,$E70))</f>
        <v>0</v>
      </c>
      <c r="T70" s="101">
        <f>IF($C70="","",SUMIFS(INP_DATA!O$5:O$3027,INP_DATA!$B$5:$B$3027,$C70,INP_DATA!$D$5:$D$3027,$E70))</f>
        <v>0</v>
      </c>
      <c r="U70" s="102">
        <f>IF($C70="","",SUMIFS(INP_DATA!P$5:P$3027,INP_DATA!$B$5:$B$3027,$C70,INP_DATA!$D$5:$D$3027,$E70))</f>
        <v>0</v>
      </c>
      <c r="V70" s="102">
        <f>IF($C70="","",SUMIFS(INP_DATA!Q$5:Q$3027,INP_DATA!$B$5:$B$3027,$C70,INP_DATA!$D$5:$D$3027,$E70))</f>
        <v>0</v>
      </c>
      <c r="W70" s="109"/>
      <c r="X70" s="203">
        <f>COUNTIFS(INP_DATA!$R$5:$R$3027,X$6,INP_DATA!$D$5:$D$3027,$E70,INP_DATA!$B$5:$B$3027,$C70)</f>
        <v>0</v>
      </c>
      <c r="Y70" s="204">
        <f>COUNTIFS(INP_DATA!$R$5:$R$3027,Y$6,INP_DATA!$D$5:$D$3027,$E70,INP_DATA!$B$5:$B$3027,$C70)</f>
        <v>0</v>
      </c>
      <c r="AA70" s="407" t="str">
        <f t="shared" si="3"/>
        <v/>
      </c>
      <c r="AB70" s="406" t="str">
        <f t="shared" si="11"/>
        <v/>
      </c>
      <c r="AC70" s="406" t="str">
        <f t="shared" si="12"/>
        <v/>
      </c>
      <c r="AD70" s="412" t="str">
        <f t="shared" si="4"/>
        <v/>
      </c>
      <c r="AE70" s="413" t="str">
        <f t="shared" si="5"/>
        <v/>
      </c>
      <c r="AF70" s="406" t="str">
        <f t="shared" si="6"/>
        <v/>
      </c>
      <c r="AG70" s="406" t="str">
        <f t="shared" si="7"/>
        <v/>
      </c>
      <c r="AH70" s="406" t="str">
        <f t="shared" si="8"/>
        <v/>
      </c>
      <c r="AI70" s="406" t="str">
        <f t="shared" si="9"/>
        <v/>
      </c>
      <c r="AJ70" s="406" t="str">
        <f t="shared" si="10"/>
        <v/>
      </c>
    </row>
    <row r="71" spans="1:36" x14ac:dyDescent="0.35">
      <c r="A71" s="57">
        <v>65</v>
      </c>
      <c r="B71" s="3" t="str">
        <f>IF($A71&gt;KEY!$B$2,"",IFERROR(VLOOKUP($A71,KEY!$A$5:$D$74,4,FALSE),""))</f>
        <v/>
      </c>
      <c r="C71" s="160">
        <f t="shared" si="22"/>
        <v>45992</v>
      </c>
      <c r="E71" s="3" t="str">
        <f>IF($A71&gt;KEY!$B$2,"",IFERROR(VLOOKUP($A71,KEY!$A$5:$B$74,2,FALSE),""))</f>
        <v/>
      </c>
      <c r="F71" s="205">
        <f>IF($C71="","",SUMIFS(INP_PRODUCERS!$E$5:$E$2383,INP_PRODUCERS!$D$5:$D$2383,$E71,INP_PRODUCERS!$B$5:$B$2383,$C71))</f>
        <v>0</v>
      </c>
      <c r="G71" s="206">
        <f>IF($C71="","",SUMIFS(INP_PRODUCERS!$E$5:$E$2383,INP_PRODUCERS!$D$5:$D$2383,$E71,INP_PRODUCERS!$C$5:$C$2383,VLOOKUP($C71,KEY!$AE$19:$AH$60,3,FALSE)))</f>
        <v>0</v>
      </c>
      <c r="H71" s="207">
        <f>IF($C71="","",SUMIFS(INP_TRNGATT!$D$5:$D$1051,INP_TRNGATT!$C$5:$C$1051,$E71,INP_TRNGATT!$B$5:$B$1051,VLOOKUP($C71,KEY!$AE$19:$AH$60,3,FALSE)))</f>
        <v>0</v>
      </c>
      <c r="I71" s="208">
        <f>IF($C71="","",SUMIFS(INP_DATA!E$5:E$3027,INP_DATA!$B$5:$B$3027,$C71,INP_DATA!$D$5:$D$3027,$E71))</f>
        <v>0</v>
      </c>
      <c r="J71" s="99">
        <f>IF($C71="","",IF(COUNTIFS(INP_MYSSHP!$B$5:$B$985,VLOOKUP($C71,KEY!$AE$19:$AH$60,3,FALSE),INP_MYSSHP!$C$5:$C$985,$E71)=0,"N/A",SUMIFS(INP_MYSSHP!$D$5:$D$2349,INP_MYSSHP!$C$5:$C$2349,$E71,INP_MYSSHP!$B$5:$B$2349,VLOOKUP($C71,KEY!$AE$19:$AH$60,3,FALSE))))</f>
        <v>0</v>
      </c>
      <c r="K71" s="169">
        <f>IF($C71="","",SUMIFS(INP_DATA!F$5:F$3027,INP_DATA!$B$5:$B$3027,$C71,INP_DATA!$D$5:$D$3027,$E71))</f>
        <v>0</v>
      </c>
      <c r="L71" s="169">
        <f>IF($C71="","",SUMIFS(INP_DATA!G$5:G$3027,INP_DATA!$B$5:$B$3027,$C71,INP_DATA!$D$5:$D$3027,$E71))</f>
        <v>0</v>
      </c>
      <c r="M71" s="100">
        <f>IF($C71="","",SUMIFS(INP_DATA!H$5:H$3027,INP_DATA!$B$5:$B$3027,$C71,INP_DATA!$D$5:$D$3027,$E71))</f>
        <v>0</v>
      </c>
      <c r="N71" s="100">
        <f>IF($C71="","",SUMIFS(INP_DATA!I$5:I$3027,INP_DATA!$B$5:$B$3027,$C71,INP_DATA!$D$5:$D$3027,$E71))</f>
        <v>0</v>
      </c>
      <c r="O71" s="100">
        <f>IF($C71="","",SUMIFS(INP_DATA!J$5:J$3027,INP_DATA!$B$5:$B$3027,$C71,INP_DATA!$D$5:$D$3027,$E71))</f>
        <v>0</v>
      </c>
      <c r="P71" s="100">
        <f>IF($C71="","",SUMIFS(INP_DATA!K$5:K$3027,INP_DATA!$B$5:$B$3027,$C71,INP_DATA!$D$5:$D$3027,$E71))</f>
        <v>0</v>
      </c>
      <c r="Q71" s="100">
        <f>IF($C71="","",SUMIFS(INP_DATA!L$5:L$3027,INP_DATA!$B$5:$B$3027,$C71,INP_DATA!$D$5:$D$3027,$E71))</f>
        <v>0</v>
      </c>
      <c r="R71" s="100">
        <f>IF($C71="","",SUMIFS(INP_DATA!M$5:M$3027,INP_DATA!$B$5:$B$3027,$C71,INP_DATA!$D$5:$D$3027,$E71))</f>
        <v>0</v>
      </c>
      <c r="S71" s="100">
        <f>IF($C71="","",SUMIFS(INP_DATA!N$5:N$3027,INP_DATA!$B$5:$B$3027,$C71,INP_DATA!$D$5:$D$3027,$E71))</f>
        <v>0</v>
      </c>
      <c r="T71" s="101">
        <f>IF($C71="","",SUMIFS(INP_DATA!O$5:O$3027,INP_DATA!$B$5:$B$3027,$C71,INP_DATA!$D$5:$D$3027,$E71))</f>
        <v>0</v>
      </c>
      <c r="U71" s="102">
        <f>IF($C71="","",SUMIFS(INP_DATA!P$5:P$3027,INP_DATA!$B$5:$B$3027,$C71,INP_DATA!$D$5:$D$3027,$E71))</f>
        <v>0</v>
      </c>
      <c r="V71" s="102">
        <f>IF($C71="","",SUMIFS(INP_DATA!Q$5:Q$3027,INP_DATA!$B$5:$B$3027,$C71,INP_DATA!$D$5:$D$3027,$E71))</f>
        <v>0</v>
      </c>
      <c r="W71" s="109"/>
      <c r="X71" s="203">
        <f>COUNTIFS(INP_DATA!$R$5:$R$3027,X$6,INP_DATA!$D$5:$D$3027,$E71,INP_DATA!$B$5:$B$3027,$C71)</f>
        <v>0</v>
      </c>
      <c r="Y71" s="204">
        <f>COUNTIFS(INP_DATA!$R$5:$R$3027,Y$6,INP_DATA!$D$5:$D$3027,$E71,INP_DATA!$B$5:$B$3027,$C71)</f>
        <v>0</v>
      </c>
      <c r="AA71" s="407" t="str">
        <f t="shared" si="3"/>
        <v/>
      </c>
      <c r="AB71" s="406" t="str">
        <f t="shared" ref="AB71:AB86" si="23">IF($E71="","",IFERROR(K71/L71,"N/A"))</f>
        <v/>
      </c>
      <c r="AC71" s="406" t="str">
        <f t="shared" ref="AC71:AC86" si="24">IF($E71="","",IFERROR(H71/(G71/3),"N/A"))</f>
        <v/>
      </c>
      <c r="AD71" s="412" t="str">
        <f t="shared" si="4"/>
        <v/>
      </c>
      <c r="AE71" s="413" t="str">
        <f t="shared" si="5"/>
        <v/>
      </c>
      <c r="AF71" s="406" t="str">
        <f t="shared" si="6"/>
        <v/>
      </c>
      <c r="AG71" s="406" t="str">
        <f t="shared" si="7"/>
        <v/>
      </c>
      <c r="AH71" s="406" t="str">
        <f t="shared" si="8"/>
        <v/>
      </c>
      <c r="AI71" s="406" t="str">
        <f t="shared" si="9"/>
        <v/>
      </c>
      <c r="AJ71" s="406" t="str">
        <f t="shared" si="10"/>
        <v/>
      </c>
    </row>
    <row r="72" spans="1:36" x14ac:dyDescent="0.35">
      <c r="A72" s="57">
        <v>66</v>
      </c>
      <c r="B72" s="3" t="str">
        <f>IF($A72&gt;KEY!$B$2,"",IFERROR(VLOOKUP($A72,KEY!$A$5:$D$74,4,FALSE),""))</f>
        <v/>
      </c>
      <c r="C72" s="160">
        <f t="shared" si="22"/>
        <v>45992</v>
      </c>
      <c r="E72" s="3" t="str">
        <f>IF($A72&gt;KEY!$B$2,"",IFERROR(VLOOKUP($A72,KEY!$A$5:$B$74,2,FALSE),""))</f>
        <v/>
      </c>
      <c r="F72" s="205">
        <f>IF($C72="","",SUMIFS(INP_PRODUCERS!$E$5:$E$2383,INP_PRODUCERS!$D$5:$D$2383,$E72,INP_PRODUCERS!$B$5:$B$2383,$C72))</f>
        <v>0</v>
      </c>
      <c r="G72" s="206">
        <f>IF($C72="","",SUMIFS(INP_PRODUCERS!$E$5:$E$2383,INP_PRODUCERS!$D$5:$D$2383,$E72,INP_PRODUCERS!$C$5:$C$2383,VLOOKUP($C72,KEY!$AE$19:$AH$60,3,FALSE)))</f>
        <v>0</v>
      </c>
      <c r="H72" s="207">
        <f>IF($C72="","",SUMIFS(INP_TRNGATT!$D$5:$D$1051,INP_TRNGATT!$C$5:$C$1051,$E72,INP_TRNGATT!$B$5:$B$1051,VLOOKUP($C72,KEY!$AE$19:$AH$60,3,FALSE)))</f>
        <v>0</v>
      </c>
      <c r="I72" s="208">
        <f>IF($C72="","",SUMIFS(INP_DATA!E$5:E$3027,INP_DATA!$B$5:$B$3027,$C72,INP_DATA!$D$5:$D$3027,$E72))</f>
        <v>0</v>
      </c>
      <c r="J72" s="99">
        <f>IF($C72="","",IF(COUNTIFS(INP_MYSSHP!$B$5:$B$985,VLOOKUP($C72,KEY!$AE$19:$AH$60,3,FALSE),INP_MYSSHP!$C$5:$C$985,$E72)=0,"N/A",SUMIFS(INP_MYSSHP!$D$5:$D$2349,INP_MYSSHP!$C$5:$C$2349,$E72,INP_MYSSHP!$B$5:$B$2349,VLOOKUP($C72,KEY!$AE$19:$AH$60,3,FALSE))))</f>
        <v>0</v>
      </c>
      <c r="K72" s="169">
        <f>IF($C72="","",SUMIFS(INP_DATA!F$5:F$3027,INP_DATA!$B$5:$B$3027,$C72,INP_DATA!$D$5:$D$3027,$E72))</f>
        <v>0</v>
      </c>
      <c r="L72" s="169">
        <f>IF($C72="","",SUMIFS(INP_DATA!G$5:G$3027,INP_DATA!$B$5:$B$3027,$C72,INP_DATA!$D$5:$D$3027,$E72))</f>
        <v>0</v>
      </c>
      <c r="M72" s="100">
        <f>IF($C72="","",SUMIFS(INP_DATA!H$5:H$3027,INP_DATA!$B$5:$B$3027,$C72,INP_DATA!$D$5:$D$3027,$E72))</f>
        <v>0</v>
      </c>
      <c r="N72" s="100">
        <f>IF($C72="","",SUMIFS(INP_DATA!I$5:I$3027,INP_DATA!$B$5:$B$3027,$C72,INP_DATA!$D$5:$D$3027,$E72))</f>
        <v>0</v>
      </c>
      <c r="O72" s="100">
        <f>IF($C72="","",SUMIFS(INP_DATA!J$5:J$3027,INP_DATA!$B$5:$B$3027,$C72,INP_DATA!$D$5:$D$3027,$E72))</f>
        <v>0</v>
      </c>
      <c r="P72" s="100">
        <f>IF($C72="","",SUMIFS(INP_DATA!K$5:K$3027,INP_DATA!$B$5:$B$3027,$C72,INP_DATA!$D$5:$D$3027,$E72))</f>
        <v>0</v>
      </c>
      <c r="Q72" s="100">
        <f>IF($C72="","",SUMIFS(INP_DATA!L$5:L$3027,INP_DATA!$B$5:$B$3027,$C72,INP_DATA!$D$5:$D$3027,$E72))</f>
        <v>0</v>
      </c>
      <c r="R72" s="100">
        <f>IF($C72="","",SUMIFS(INP_DATA!M$5:M$3027,INP_DATA!$B$5:$B$3027,$C72,INP_DATA!$D$5:$D$3027,$E72))</f>
        <v>0</v>
      </c>
      <c r="S72" s="100">
        <f>IF($C72="","",SUMIFS(INP_DATA!N$5:N$3027,INP_DATA!$B$5:$B$3027,$C72,INP_DATA!$D$5:$D$3027,$E72))</f>
        <v>0</v>
      </c>
      <c r="T72" s="101">
        <f>IF($C72="","",SUMIFS(INP_DATA!O$5:O$3027,INP_DATA!$B$5:$B$3027,$C72,INP_DATA!$D$5:$D$3027,$E72))</f>
        <v>0</v>
      </c>
      <c r="U72" s="102">
        <f>IF($C72="","",SUMIFS(INP_DATA!P$5:P$3027,INP_DATA!$B$5:$B$3027,$C72,INP_DATA!$D$5:$D$3027,$E72))</f>
        <v>0</v>
      </c>
      <c r="V72" s="102">
        <f>IF($C72="","",SUMIFS(INP_DATA!Q$5:Q$3027,INP_DATA!$B$5:$B$3027,$C72,INP_DATA!$D$5:$D$3027,$E72))</f>
        <v>0</v>
      </c>
      <c r="W72" s="109"/>
      <c r="X72" s="203">
        <f>COUNTIFS(INP_DATA!$R$5:$R$3027,X$6,INP_DATA!$D$5:$D$3027,$E72,INP_DATA!$B$5:$B$3027,$C72)</f>
        <v>0</v>
      </c>
      <c r="Y72" s="204">
        <f>COUNTIFS(INP_DATA!$R$5:$R$3027,Y$6,INP_DATA!$D$5:$D$3027,$E72,INP_DATA!$B$5:$B$3027,$C72)</f>
        <v>0</v>
      </c>
      <c r="AA72" s="407" t="str">
        <f t="shared" ref="AA72:AA86" si="25">IF($E72="","",$E72)</f>
        <v/>
      </c>
      <c r="AB72" s="406" t="str">
        <f t="shared" si="23"/>
        <v/>
      </c>
      <c r="AC72" s="406" t="str">
        <f t="shared" si="24"/>
        <v/>
      </c>
      <c r="AD72" s="412" t="str">
        <f t="shared" ref="AD72:AD86" si="26">IF($E72="","",IFERROR(I72/F72,"N/A"))</f>
        <v/>
      </c>
      <c r="AE72" s="413" t="str">
        <f t="shared" ref="AE72:AE86" si="27">IF($E72="","",IFERROR(J72,"N/A"))</f>
        <v/>
      </c>
      <c r="AF72" s="406" t="str">
        <f t="shared" ref="AF72:AF86" si="28">IF($E72="","",IFERROR(N72/M72,"N/A"))</f>
        <v/>
      </c>
      <c r="AG72" s="406" t="str">
        <f t="shared" ref="AG72:AG86" si="29">IF($E72="","",IFERROR(P72/O72,"N/A"))</f>
        <v/>
      </c>
      <c r="AH72" s="406" t="str">
        <f t="shared" ref="AH72:AH86" si="30">IF($E72="","",IFERROR(V72/U72,"N/A"))</f>
        <v/>
      </c>
      <c r="AI72" s="406" t="str">
        <f t="shared" ref="AI72:AI86" si="31">IF($E72="","",IFERROR(Q72/T72,"N/A"))</f>
        <v/>
      </c>
      <c r="AJ72" s="406" t="str">
        <f t="shared" ref="AJ72:AJ86" si="32">IF($E72="","",IFERROR(R72/S72,"N/A"))</f>
        <v/>
      </c>
    </row>
    <row r="73" spans="1:36" x14ac:dyDescent="0.35">
      <c r="A73" s="57">
        <v>67</v>
      </c>
      <c r="B73" s="3" t="str">
        <f>IF($A73&gt;KEY!$B$2,"",IFERROR(VLOOKUP($A73,KEY!$A$5:$D$74,4,FALSE),""))</f>
        <v/>
      </c>
      <c r="C73" s="160">
        <f t="shared" si="22"/>
        <v>45992</v>
      </c>
      <c r="E73" s="3" t="str">
        <f>IF($A73&gt;KEY!$B$2,"",IFERROR(VLOOKUP($A73,KEY!$A$5:$B$74,2,FALSE),""))</f>
        <v/>
      </c>
      <c r="F73" s="205"/>
      <c r="G73" s="206"/>
      <c r="H73" s="207"/>
      <c r="I73" s="208"/>
      <c r="J73" s="99"/>
      <c r="K73" s="169"/>
      <c r="L73" s="169"/>
      <c r="M73" s="100"/>
      <c r="N73" s="100"/>
      <c r="O73" s="100"/>
      <c r="P73" s="100"/>
      <c r="Q73" s="100"/>
      <c r="R73" s="100"/>
      <c r="S73" s="100"/>
      <c r="T73" s="101"/>
      <c r="U73" s="102"/>
      <c r="V73" s="102"/>
      <c r="W73" s="109"/>
      <c r="X73" s="203">
        <f>COUNTIFS(INP_DATA!$R$5:$R$3027,X$6,INP_DATA!$D$5:$D$3027,$E73,INP_DATA!$B$5:$B$3027,$C73)</f>
        <v>0</v>
      </c>
      <c r="Y73" s="204">
        <f>COUNTIFS(INP_DATA!$R$5:$R$3027,Y$6,INP_DATA!$D$5:$D$3027,$E73,INP_DATA!$B$5:$B$3027,$C73)</f>
        <v>0</v>
      </c>
      <c r="AA73" s="407" t="str">
        <f t="shared" si="25"/>
        <v/>
      </c>
      <c r="AB73" s="406" t="str">
        <f t="shared" si="23"/>
        <v/>
      </c>
      <c r="AC73" s="406" t="str">
        <f t="shared" si="24"/>
        <v/>
      </c>
      <c r="AD73" s="412" t="str">
        <f t="shared" si="26"/>
        <v/>
      </c>
      <c r="AE73" s="413" t="str">
        <f t="shared" si="27"/>
        <v/>
      </c>
      <c r="AF73" s="406" t="str">
        <f t="shared" si="28"/>
        <v/>
      </c>
      <c r="AG73" s="406" t="str">
        <f t="shared" si="29"/>
        <v/>
      </c>
      <c r="AH73" s="406" t="str">
        <f t="shared" si="30"/>
        <v/>
      </c>
      <c r="AI73" s="406" t="str">
        <f t="shared" si="31"/>
        <v/>
      </c>
      <c r="AJ73" s="406" t="str">
        <f t="shared" si="32"/>
        <v/>
      </c>
    </row>
    <row r="74" spans="1:36" x14ac:dyDescent="0.35">
      <c r="A74" s="57">
        <v>68</v>
      </c>
      <c r="B74" s="3" t="str">
        <f>IF($A74&gt;KEY!$B$2,"",IFERROR(VLOOKUP($A74,KEY!$A$5:$D$74,4,FALSE),""))</f>
        <v/>
      </c>
      <c r="C74" s="160">
        <f t="shared" si="22"/>
        <v>45992</v>
      </c>
      <c r="E74" s="3" t="str">
        <f>IF($A74&gt;KEY!$B$2,"",IFERROR(VLOOKUP($A74,KEY!$A$5:$B$74,2,FALSE),""))</f>
        <v/>
      </c>
      <c r="F74" s="205"/>
      <c r="G74" s="206"/>
      <c r="H74" s="207"/>
      <c r="I74" s="208"/>
      <c r="J74" s="99"/>
      <c r="K74" s="169"/>
      <c r="L74" s="169"/>
      <c r="M74" s="100"/>
      <c r="N74" s="100"/>
      <c r="O74" s="100"/>
      <c r="P74" s="100"/>
      <c r="Q74" s="100"/>
      <c r="R74" s="100"/>
      <c r="S74" s="100"/>
      <c r="T74" s="101"/>
      <c r="U74" s="102"/>
      <c r="V74" s="102"/>
      <c r="W74" s="109"/>
      <c r="X74" s="203">
        <f>COUNTIFS(INP_DATA!$R$5:$R$3027,X$6,INP_DATA!$D$5:$D$3027,$E74,INP_DATA!$B$5:$B$3027,$C74)</f>
        <v>0</v>
      </c>
      <c r="Y74" s="204">
        <f>COUNTIFS(INP_DATA!$R$5:$R$3027,Y$6,INP_DATA!$D$5:$D$3027,$E74,INP_DATA!$B$5:$B$3027,$C74)</f>
        <v>0</v>
      </c>
      <c r="AA74" s="407" t="str">
        <f t="shared" si="25"/>
        <v/>
      </c>
      <c r="AB74" s="406" t="str">
        <f t="shared" si="23"/>
        <v/>
      </c>
      <c r="AC74" s="406" t="str">
        <f t="shared" si="24"/>
        <v/>
      </c>
      <c r="AD74" s="412" t="str">
        <f t="shared" si="26"/>
        <v/>
      </c>
      <c r="AE74" s="413" t="str">
        <f t="shared" si="27"/>
        <v/>
      </c>
      <c r="AF74" s="406" t="str">
        <f t="shared" si="28"/>
        <v/>
      </c>
      <c r="AG74" s="406" t="str">
        <f t="shared" si="29"/>
        <v/>
      </c>
      <c r="AH74" s="406" t="str">
        <f t="shared" si="30"/>
        <v/>
      </c>
      <c r="AI74" s="406" t="str">
        <f t="shared" si="31"/>
        <v/>
      </c>
      <c r="AJ74" s="406" t="str">
        <f t="shared" si="32"/>
        <v/>
      </c>
    </row>
    <row r="75" spans="1:36" x14ac:dyDescent="0.35">
      <c r="A75" s="57">
        <v>69</v>
      </c>
      <c r="B75" s="3" t="str">
        <f>IF($A75&gt;KEY!$B$2,"",IFERROR(VLOOKUP($A75,KEY!$A$5:$D$74,4,FALSE),""))</f>
        <v/>
      </c>
      <c r="C75" s="160">
        <f t="shared" si="22"/>
        <v>45992</v>
      </c>
      <c r="E75" s="3" t="str">
        <f>IF($A75&gt;KEY!$B$2,"",IFERROR(VLOOKUP($A75,KEY!$A$5:$B$74,2,FALSE),""))</f>
        <v/>
      </c>
      <c r="F75" s="205"/>
      <c r="G75" s="206"/>
      <c r="H75" s="207"/>
      <c r="I75" s="208"/>
      <c r="J75" s="99"/>
      <c r="K75" s="169"/>
      <c r="L75" s="169"/>
      <c r="M75" s="100"/>
      <c r="N75" s="100"/>
      <c r="O75" s="100"/>
      <c r="P75" s="100"/>
      <c r="Q75" s="100"/>
      <c r="R75" s="100"/>
      <c r="S75" s="100"/>
      <c r="T75" s="101"/>
      <c r="U75" s="102"/>
      <c r="V75" s="102"/>
      <c r="W75" s="109"/>
      <c r="X75" s="203">
        <f>COUNTIFS(INP_DATA!$R$5:$R$3027,X$6,INP_DATA!$D$5:$D$3027,$E75,INP_DATA!$B$5:$B$3027,$C75)</f>
        <v>0</v>
      </c>
      <c r="Y75" s="204">
        <f>COUNTIFS(INP_DATA!$R$5:$R$3027,Y$6,INP_DATA!$D$5:$D$3027,$E75,INP_DATA!$B$5:$B$3027,$C75)</f>
        <v>0</v>
      </c>
      <c r="AA75" s="407" t="str">
        <f t="shared" si="25"/>
        <v/>
      </c>
      <c r="AB75" s="406" t="str">
        <f t="shared" si="23"/>
        <v/>
      </c>
      <c r="AC75" s="406" t="str">
        <f t="shared" si="24"/>
        <v/>
      </c>
      <c r="AD75" s="412" t="str">
        <f t="shared" si="26"/>
        <v/>
      </c>
      <c r="AE75" s="413" t="str">
        <f t="shared" si="27"/>
        <v/>
      </c>
      <c r="AF75" s="406" t="str">
        <f t="shared" si="28"/>
        <v/>
      </c>
      <c r="AG75" s="406" t="str">
        <f t="shared" si="29"/>
        <v/>
      </c>
      <c r="AH75" s="406" t="str">
        <f t="shared" si="30"/>
        <v/>
      </c>
      <c r="AI75" s="406" t="str">
        <f t="shared" si="31"/>
        <v/>
      </c>
      <c r="AJ75" s="406" t="str">
        <f t="shared" si="32"/>
        <v/>
      </c>
    </row>
    <row r="76" spans="1:36" x14ac:dyDescent="0.35">
      <c r="A76" s="57">
        <v>70</v>
      </c>
      <c r="B76" s="3" t="str">
        <f>IF($A76&gt;KEY!$B$2,"",IFERROR(VLOOKUP($A76,KEY!$A$5:$D$74,4,FALSE),""))</f>
        <v/>
      </c>
      <c r="C76" s="160">
        <f t="shared" si="22"/>
        <v>45992</v>
      </c>
      <c r="E76" s="3" t="str">
        <f>IF($A76&gt;KEY!$B$2,"",IFERROR(VLOOKUP($A76,KEY!$A$5:$B$74,2,FALSE),""))</f>
        <v/>
      </c>
      <c r="F76" s="205"/>
      <c r="G76" s="206"/>
      <c r="H76" s="207"/>
      <c r="I76" s="208"/>
      <c r="J76" s="99"/>
      <c r="K76" s="169"/>
      <c r="L76" s="169"/>
      <c r="M76" s="100"/>
      <c r="N76" s="100"/>
      <c r="O76" s="100"/>
      <c r="P76" s="100"/>
      <c r="Q76" s="100"/>
      <c r="R76" s="100"/>
      <c r="S76" s="100"/>
      <c r="T76" s="101"/>
      <c r="U76" s="102"/>
      <c r="V76" s="102"/>
      <c r="W76" s="109"/>
      <c r="X76" s="203">
        <f>COUNTIFS(INP_DATA!$R$5:$R$3027,X$6,INP_DATA!$D$5:$D$3027,$E76,INP_DATA!$B$5:$B$3027,$C76)</f>
        <v>0</v>
      </c>
      <c r="Y76" s="204">
        <f>COUNTIFS(INP_DATA!$R$5:$R$3027,Y$6,INP_DATA!$D$5:$D$3027,$E76,INP_DATA!$B$5:$B$3027,$C76)</f>
        <v>0</v>
      </c>
      <c r="AA76" s="407" t="str">
        <f t="shared" si="25"/>
        <v/>
      </c>
      <c r="AB76" s="406" t="str">
        <f t="shared" si="23"/>
        <v/>
      </c>
      <c r="AC76" s="406" t="str">
        <f t="shared" si="24"/>
        <v/>
      </c>
      <c r="AD76" s="412" t="str">
        <f t="shared" si="26"/>
        <v/>
      </c>
      <c r="AE76" s="413" t="str">
        <f t="shared" si="27"/>
        <v/>
      </c>
      <c r="AF76" s="406" t="str">
        <f t="shared" si="28"/>
        <v/>
      </c>
      <c r="AG76" s="406" t="str">
        <f t="shared" si="29"/>
        <v/>
      </c>
      <c r="AH76" s="406" t="str">
        <f t="shared" si="30"/>
        <v/>
      </c>
      <c r="AI76" s="406" t="str">
        <f t="shared" si="31"/>
        <v/>
      </c>
      <c r="AJ76" s="406" t="str">
        <f t="shared" si="32"/>
        <v/>
      </c>
    </row>
    <row r="77" spans="1:36" s="110" customFormat="1" ht="18" customHeight="1" x14ac:dyDescent="0.35">
      <c r="A77" s="398"/>
      <c r="B77"/>
      <c r="C77" s="238">
        <f t="shared" ref="C77:C86" si="33">$F$4</f>
        <v>45992</v>
      </c>
      <c r="D77" s="239"/>
      <c r="E77" s="93" t="s">
        <v>103</v>
      </c>
      <c r="F77" s="209">
        <f>SUM(F7:F76)</f>
        <v>721</v>
      </c>
      <c r="G77" s="210">
        <f>SUM(G7:G76)</f>
        <v>2128.5</v>
      </c>
      <c r="H77" s="211">
        <f>SUM(H7:H76)</f>
        <v>1329</v>
      </c>
      <c r="I77" s="212">
        <f>SUM(I7:I76)</f>
        <v>1594</v>
      </c>
      <c r="J77" s="94">
        <f>SUM(J7:J76)/(COUNTA($J$7:$J$76,"&gt;"&amp;"-1")-COUNTIF($J$7:$J$76,"N/A"))</f>
        <v>0.75765151515151519</v>
      </c>
      <c r="K77" s="170">
        <f t="shared" ref="K77:V77" si="34">SUM(K7:K76)</f>
        <v>10340</v>
      </c>
      <c r="L77" s="170">
        <f t="shared" si="34"/>
        <v>10644</v>
      </c>
      <c r="M77" s="95">
        <f t="shared" si="34"/>
        <v>18057</v>
      </c>
      <c r="N77" s="95">
        <f t="shared" si="34"/>
        <v>2738</v>
      </c>
      <c r="O77" s="95">
        <f t="shared" si="34"/>
        <v>7914</v>
      </c>
      <c r="P77" s="95">
        <f t="shared" si="34"/>
        <v>1746</v>
      </c>
      <c r="Q77" s="95">
        <f t="shared" si="34"/>
        <v>16159</v>
      </c>
      <c r="R77" s="95">
        <f t="shared" si="34"/>
        <v>6006</v>
      </c>
      <c r="S77" s="95">
        <f t="shared" si="34"/>
        <v>10297</v>
      </c>
      <c r="T77" s="96">
        <f t="shared" si="34"/>
        <v>15752</v>
      </c>
      <c r="U77" s="97">
        <f t="shared" si="34"/>
        <v>1102</v>
      </c>
      <c r="V77" s="97">
        <f t="shared" si="34"/>
        <v>718</v>
      </c>
      <c r="W77" s="98"/>
      <c r="X77" s="203">
        <f>SUM(X7:X76)</f>
        <v>0</v>
      </c>
      <c r="Y77" s="204">
        <f>SUM(Y7:Y76)</f>
        <v>0</v>
      </c>
      <c r="AA77" s="407" t="str">
        <f t="shared" si="25"/>
        <v>WEST Region</v>
      </c>
      <c r="AB77" s="406">
        <f t="shared" si="23"/>
        <v>0.97143930853062754</v>
      </c>
      <c r="AC77" s="406">
        <f t="shared" si="24"/>
        <v>1.8731501057082451</v>
      </c>
      <c r="AD77" s="412">
        <f t="shared" si="26"/>
        <v>2.2108183079056865</v>
      </c>
      <c r="AE77" s="413">
        <f t="shared" si="27"/>
        <v>0.75765151515151519</v>
      </c>
      <c r="AF77" s="406">
        <f t="shared" si="28"/>
        <v>0.15163094644736114</v>
      </c>
      <c r="AG77" s="406">
        <f t="shared" si="29"/>
        <v>0.22062168309325247</v>
      </c>
      <c r="AH77" s="406">
        <f t="shared" si="30"/>
        <v>0.65154264972776765</v>
      </c>
      <c r="AI77" s="406">
        <f t="shared" si="31"/>
        <v>1.0258379888268156</v>
      </c>
      <c r="AJ77" s="406">
        <f t="shared" si="32"/>
        <v>0.58327668252889187</v>
      </c>
    </row>
    <row r="78" spans="1:36" x14ac:dyDescent="0.35">
      <c r="C78" s="160">
        <f t="shared" si="33"/>
        <v>45992</v>
      </c>
      <c r="E78" s="3" t="s">
        <v>16</v>
      </c>
      <c r="F78" s="205">
        <f>SUMIFS(F$7:F$76,$B$7:$B$76,$E78)</f>
        <v>183</v>
      </c>
      <c r="G78" s="206">
        <f>SUMIFS(G$7:G$76,$B$7:$B$76,$E78)</f>
        <v>538</v>
      </c>
      <c r="H78" s="207">
        <f>SUMIFS(H$7:H$76,$B$7:$B$76,$E78)</f>
        <v>414</v>
      </c>
      <c r="I78" s="213">
        <f>SUMIFS(I$7:I$76,$B$7:$B$76,$E78)</f>
        <v>447</v>
      </c>
      <c r="J78" s="99">
        <f>IFERROR(AVERAGEIFS(J$7:J$76,$B$7:$B$76,$E78),"N/A")</f>
        <v>0.79861111111111116</v>
      </c>
      <c r="K78" s="169">
        <f t="shared" ref="K78:V78" si="35">SUMIFS(K$7:K$76,$B$7:$B$76,$E78)</f>
        <v>2391</v>
      </c>
      <c r="L78" s="169">
        <f t="shared" si="35"/>
        <v>2490</v>
      </c>
      <c r="M78" s="100">
        <f t="shared" si="35"/>
        <v>3783</v>
      </c>
      <c r="N78" s="100">
        <f t="shared" si="35"/>
        <v>611</v>
      </c>
      <c r="O78" s="100">
        <f t="shared" si="35"/>
        <v>1572</v>
      </c>
      <c r="P78" s="100">
        <f t="shared" si="35"/>
        <v>340</v>
      </c>
      <c r="Q78" s="100">
        <f t="shared" si="35"/>
        <v>3788</v>
      </c>
      <c r="R78" s="100">
        <f t="shared" si="35"/>
        <v>1604</v>
      </c>
      <c r="S78" s="100">
        <f t="shared" si="35"/>
        <v>2438</v>
      </c>
      <c r="T78" s="101">
        <f t="shared" si="35"/>
        <v>3916</v>
      </c>
      <c r="U78" s="102">
        <f t="shared" si="35"/>
        <v>144</v>
      </c>
      <c r="V78" s="102">
        <f t="shared" si="35"/>
        <v>99</v>
      </c>
      <c r="W78" s="103"/>
      <c r="X78" s="203">
        <f>SUMIFS(X$7:X$76,$B$7:$B$76,$E78)</f>
        <v>0</v>
      </c>
      <c r="Y78" s="204">
        <f>SUMIFS(Y$7:Y$76,$B$7:$B$76,$E78)</f>
        <v>0</v>
      </c>
      <c r="AA78" s="407" t="str">
        <f t="shared" si="25"/>
        <v>Arizona</v>
      </c>
      <c r="AB78" s="406">
        <f t="shared" si="23"/>
        <v>0.96024096385542168</v>
      </c>
      <c r="AC78" s="406">
        <f t="shared" si="24"/>
        <v>2.3085501858736057</v>
      </c>
      <c r="AD78" s="412">
        <f t="shared" si="26"/>
        <v>2.442622950819672</v>
      </c>
      <c r="AE78" s="413">
        <f t="shared" si="27"/>
        <v>0.79861111111111116</v>
      </c>
      <c r="AF78" s="406">
        <f t="shared" si="28"/>
        <v>0.16151202749140894</v>
      </c>
      <c r="AG78" s="406">
        <f t="shared" si="29"/>
        <v>0.21628498727735368</v>
      </c>
      <c r="AH78" s="406">
        <f t="shared" si="30"/>
        <v>0.6875</v>
      </c>
      <c r="AI78" s="406">
        <f t="shared" si="31"/>
        <v>0.96731358529111333</v>
      </c>
      <c r="AJ78" s="406">
        <f t="shared" si="32"/>
        <v>0.65791632485643969</v>
      </c>
    </row>
    <row r="79" spans="1:36" x14ac:dyDescent="0.35">
      <c r="C79" s="160">
        <f t="shared" si="33"/>
        <v>45992</v>
      </c>
      <c r="E79" s="3" t="s">
        <v>104</v>
      </c>
      <c r="F79" s="205">
        <f t="shared" ref="F79:I86" si="36">SUMIFS(F$7:F$76,$B$7:$B$76,$E79)</f>
        <v>35</v>
      </c>
      <c r="G79" s="206">
        <f t="shared" si="36"/>
        <v>111</v>
      </c>
      <c r="H79" s="207">
        <f t="shared" si="36"/>
        <v>25</v>
      </c>
      <c r="I79" s="213">
        <f t="shared" si="36"/>
        <v>21</v>
      </c>
      <c r="J79" s="99">
        <f t="shared" ref="J79:J86" si="37">IFERROR(AVERAGEIFS(J$7:J$76,$B$7:$B$76,$E79),"N/A")</f>
        <v>0.75</v>
      </c>
      <c r="K79" s="169">
        <f t="shared" ref="K79:V86" si="38">SUMIFS(K$7:K$76,$B$7:$B$76,$E79)</f>
        <v>540</v>
      </c>
      <c r="L79" s="169">
        <f t="shared" si="38"/>
        <v>637</v>
      </c>
      <c r="M79" s="100">
        <f t="shared" si="38"/>
        <v>827</v>
      </c>
      <c r="N79" s="100">
        <f t="shared" si="38"/>
        <v>158</v>
      </c>
      <c r="O79" s="100">
        <f t="shared" si="38"/>
        <v>404</v>
      </c>
      <c r="P79" s="100">
        <f t="shared" si="38"/>
        <v>98</v>
      </c>
      <c r="Q79" s="100">
        <f t="shared" si="38"/>
        <v>576</v>
      </c>
      <c r="R79" s="100">
        <f t="shared" si="38"/>
        <v>257</v>
      </c>
      <c r="S79" s="100">
        <f t="shared" si="38"/>
        <v>545</v>
      </c>
      <c r="T79" s="101">
        <f t="shared" si="38"/>
        <v>770</v>
      </c>
      <c r="U79" s="102">
        <f t="shared" si="38"/>
        <v>81</v>
      </c>
      <c r="V79" s="102">
        <f t="shared" si="38"/>
        <v>50</v>
      </c>
      <c r="W79" s="103"/>
      <c r="X79" s="203"/>
      <c r="Y79" s="204"/>
      <c r="AA79" s="407" t="str">
        <f t="shared" si="25"/>
        <v>Indiana</v>
      </c>
      <c r="AB79" s="406">
        <f t="shared" si="23"/>
        <v>0.84772370486656201</v>
      </c>
      <c r="AC79" s="406">
        <f t="shared" si="24"/>
        <v>0.67567567567567566</v>
      </c>
      <c r="AD79" s="412">
        <f t="shared" si="26"/>
        <v>0.6</v>
      </c>
      <c r="AE79" s="413">
        <f t="shared" si="27"/>
        <v>0.75</v>
      </c>
      <c r="AF79" s="406">
        <f t="shared" si="28"/>
        <v>0.19105199516324062</v>
      </c>
      <c r="AG79" s="406">
        <f t="shared" si="29"/>
        <v>0.24257425742574257</v>
      </c>
      <c r="AH79" s="406">
        <f t="shared" si="30"/>
        <v>0.61728395061728392</v>
      </c>
      <c r="AI79" s="406">
        <f t="shared" si="31"/>
        <v>0.74805194805194808</v>
      </c>
      <c r="AJ79" s="406">
        <f t="shared" si="32"/>
        <v>0.47155963302752296</v>
      </c>
    </row>
    <row r="80" spans="1:36" x14ac:dyDescent="0.35">
      <c r="C80" s="160">
        <f t="shared" si="33"/>
        <v>45992</v>
      </c>
      <c r="E80" s="3" t="s">
        <v>105</v>
      </c>
      <c r="F80" s="205">
        <f t="shared" si="36"/>
        <v>35</v>
      </c>
      <c r="G80" s="206">
        <f t="shared" si="36"/>
        <v>107</v>
      </c>
      <c r="H80" s="207">
        <f t="shared" si="36"/>
        <v>138</v>
      </c>
      <c r="I80" s="213">
        <f t="shared" si="36"/>
        <v>82</v>
      </c>
      <c r="J80" s="99">
        <f t="shared" si="37"/>
        <v>0.625</v>
      </c>
      <c r="K80" s="169">
        <f t="shared" si="38"/>
        <v>504</v>
      </c>
      <c r="L80" s="169">
        <f t="shared" si="38"/>
        <v>527</v>
      </c>
      <c r="M80" s="100">
        <f t="shared" si="38"/>
        <v>802</v>
      </c>
      <c r="N80" s="100">
        <f t="shared" si="38"/>
        <v>146</v>
      </c>
      <c r="O80" s="100">
        <f t="shared" si="38"/>
        <v>366</v>
      </c>
      <c r="P80" s="100">
        <f t="shared" si="38"/>
        <v>82</v>
      </c>
      <c r="Q80" s="100">
        <f t="shared" si="38"/>
        <v>722</v>
      </c>
      <c r="R80" s="100">
        <f t="shared" si="38"/>
        <v>262</v>
      </c>
      <c r="S80" s="100">
        <f t="shared" si="38"/>
        <v>508</v>
      </c>
      <c r="T80" s="101">
        <f t="shared" si="38"/>
        <v>770</v>
      </c>
      <c r="U80" s="102">
        <f t="shared" si="38"/>
        <v>50</v>
      </c>
      <c r="V80" s="102">
        <f t="shared" si="38"/>
        <v>21</v>
      </c>
      <c r="W80" s="103"/>
      <c r="X80" s="203"/>
      <c r="Y80" s="204"/>
      <c r="AA80" s="407" t="str">
        <f t="shared" si="25"/>
        <v>Michigan &amp; Minnesota</v>
      </c>
      <c r="AB80" s="406">
        <f t="shared" si="23"/>
        <v>0.9563567362428842</v>
      </c>
      <c r="AC80" s="406">
        <f t="shared" si="24"/>
        <v>3.8691588785046731</v>
      </c>
      <c r="AD80" s="412">
        <f t="shared" si="26"/>
        <v>2.342857142857143</v>
      </c>
      <c r="AE80" s="413">
        <f t="shared" si="27"/>
        <v>0.625</v>
      </c>
      <c r="AF80" s="406">
        <f t="shared" si="28"/>
        <v>0.18204488778054864</v>
      </c>
      <c r="AG80" s="406">
        <f t="shared" si="29"/>
        <v>0.22404371584699453</v>
      </c>
      <c r="AH80" s="406">
        <f t="shared" si="30"/>
        <v>0.42</v>
      </c>
      <c r="AI80" s="406">
        <f t="shared" si="31"/>
        <v>0.93766233766233764</v>
      </c>
      <c r="AJ80" s="406">
        <f t="shared" si="32"/>
        <v>0.51574803149606296</v>
      </c>
    </row>
    <row r="81" spans="2:36" x14ac:dyDescent="0.35">
      <c r="C81" s="160">
        <f t="shared" si="33"/>
        <v>45992</v>
      </c>
      <c r="E81" s="3" t="s">
        <v>106</v>
      </c>
      <c r="F81" s="205">
        <f t="shared" si="36"/>
        <v>99</v>
      </c>
      <c r="G81" s="206">
        <f t="shared" si="36"/>
        <v>306</v>
      </c>
      <c r="H81" s="207">
        <f t="shared" si="36"/>
        <v>125</v>
      </c>
      <c r="I81" s="213">
        <f t="shared" si="36"/>
        <v>229</v>
      </c>
      <c r="J81" s="99">
        <f t="shared" si="37"/>
        <v>0.765625</v>
      </c>
      <c r="K81" s="169">
        <f t="shared" si="38"/>
        <v>1335</v>
      </c>
      <c r="L81" s="169">
        <f t="shared" si="38"/>
        <v>1437</v>
      </c>
      <c r="M81" s="100">
        <f t="shared" si="38"/>
        <v>2572</v>
      </c>
      <c r="N81" s="100">
        <f t="shared" si="38"/>
        <v>366</v>
      </c>
      <c r="O81" s="100">
        <f t="shared" si="38"/>
        <v>1090</v>
      </c>
      <c r="P81" s="100">
        <f t="shared" si="38"/>
        <v>258</v>
      </c>
      <c r="Q81" s="100">
        <f t="shared" si="38"/>
        <v>2193</v>
      </c>
      <c r="R81" s="100">
        <f t="shared" si="38"/>
        <v>740</v>
      </c>
      <c r="S81" s="100">
        <f t="shared" si="38"/>
        <v>1371</v>
      </c>
      <c r="T81" s="101">
        <f t="shared" si="38"/>
        <v>2178</v>
      </c>
      <c r="U81" s="102">
        <f t="shared" si="38"/>
        <v>207</v>
      </c>
      <c r="V81" s="102">
        <f t="shared" si="38"/>
        <v>139</v>
      </c>
      <c r="W81" s="103"/>
      <c r="X81" s="203"/>
      <c r="Y81" s="204"/>
      <c r="AA81" s="407" t="str">
        <f t="shared" si="25"/>
        <v>Northern California</v>
      </c>
      <c r="AB81" s="406">
        <f t="shared" si="23"/>
        <v>0.92901878914405012</v>
      </c>
      <c r="AC81" s="406">
        <f t="shared" si="24"/>
        <v>1.2254901960784315</v>
      </c>
      <c r="AD81" s="412">
        <f t="shared" si="26"/>
        <v>2.3131313131313131</v>
      </c>
      <c r="AE81" s="413">
        <f t="shared" si="27"/>
        <v>0.765625</v>
      </c>
      <c r="AF81" s="406">
        <f t="shared" si="28"/>
        <v>0.14230171073094869</v>
      </c>
      <c r="AG81" s="406">
        <f t="shared" si="29"/>
        <v>0.23669724770642203</v>
      </c>
      <c r="AH81" s="406">
        <f t="shared" si="30"/>
        <v>0.67149758454106279</v>
      </c>
      <c r="AI81" s="406">
        <f t="shared" si="31"/>
        <v>1.0068870523415978</v>
      </c>
      <c r="AJ81" s="406">
        <f t="shared" si="32"/>
        <v>0.53975200583515681</v>
      </c>
    </row>
    <row r="82" spans="2:36" x14ac:dyDescent="0.35">
      <c r="C82" s="160">
        <f t="shared" si="33"/>
        <v>45992</v>
      </c>
      <c r="E82" s="3" t="s">
        <v>107</v>
      </c>
      <c r="F82" s="205">
        <f t="shared" si="36"/>
        <v>81</v>
      </c>
      <c r="G82" s="206">
        <f t="shared" si="36"/>
        <v>237.5</v>
      </c>
      <c r="H82" s="207">
        <f t="shared" si="36"/>
        <v>180</v>
      </c>
      <c r="I82" s="213">
        <f t="shared" si="36"/>
        <v>214</v>
      </c>
      <c r="J82" s="99">
        <f t="shared" si="37"/>
        <v>0.91666666666666663</v>
      </c>
      <c r="K82" s="169">
        <f t="shared" si="38"/>
        <v>1324</v>
      </c>
      <c r="L82" s="169">
        <f t="shared" si="38"/>
        <v>1483</v>
      </c>
      <c r="M82" s="100">
        <f t="shared" si="38"/>
        <v>1744</v>
      </c>
      <c r="N82" s="100">
        <f t="shared" si="38"/>
        <v>310</v>
      </c>
      <c r="O82" s="100">
        <f t="shared" si="38"/>
        <v>753</v>
      </c>
      <c r="P82" s="100">
        <f t="shared" si="38"/>
        <v>221</v>
      </c>
      <c r="Q82" s="100">
        <f t="shared" si="38"/>
        <v>2098</v>
      </c>
      <c r="R82" s="100">
        <f t="shared" si="38"/>
        <v>797</v>
      </c>
      <c r="S82" s="100">
        <f t="shared" si="38"/>
        <v>1160</v>
      </c>
      <c r="T82" s="101">
        <f t="shared" si="38"/>
        <v>1782</v>
      </c>
      <c r="U82" s="102">
        <f t="shared" si="38"/>
        <v>332</v>
      </c>
      <c r="V82" s="102">
        <f t="shared" si="38"/>
        <v>204</v>
      </c>
      <c r="W82" s="103"/>
      <c r="X82" s="203"/>
      <c r="Y82" s="204"/>
      <c r="AA82" s="407" t="str">
        <f t="shared" si="25"/>
        <v>Orange County</v>
      </c>
      <c r="AB82" s="406">
        <f t="shared" si="23"/>
        <v>0.8927848954821308</v>
      </c>
      <c r="AC82" s="406">
        <f t="shared" si="24"/>
        <v>2.2736842105263158</v>
      </c>
      <c r="AD82" s="412">
        <f t="shared" si="26"/>
        <v>2.6419753086419755</v>
      </c>
      <c r="AE82" s="413">
        <f t="shared" si="27"/>
        <v>0.91666666666666663</v>
      </c>
      <c r="AF82" s="406">
        <f t="shared" si="28"/>
        <v>0.17775229357798164</v>
      </c>
      <c r="AG82" s="406">
        <f t="shared" si="29"/>
        <v>0.29349269588313415</v>
      </c>
      <c r="AH82" s="406">
        <f t="shared" si="30"/>
        <v>0.61445783132530118</v>
      </c>
      <c r="AI82" s="406">
        <f t="shared" si="31"/>
        <v>1.1773288439955107</v>
      </c>
      <c r="AJ82" s="406">
        <f t="shared" si="32"/>
        <v>0.68706896551724139</v>
      </c>
    </row>
    <row r="83" spans="2:36" x14ac:dyDescent="0.35">
      <c r="C83" s="160">
        <f t="shared" si="33"/>
        <v>45992</v>
      </c>
      <c r="E83" s="3" t="s">
        <v>108</v>
      </c>
      <c r="F83" s="205">
        <f t="shared" si="36"/>
        <v>116</v>
      </c>
      <c r="G83" s="206">
        <f t="shared" si="36"/>
        <v>318</v>
      </c>
      <c r="H83" s="207">
        <f t="shared" si="36"/>
        <v>219</v>
      </c>
      <c r="I83" s="213">
        <f t="shared" si="36"/>
        <v>303</v>
      </c>
      <c r="J83" s="99">
        <f t="shared" si="37"/>
        <v>0.87549999999999994</v>
      </c>
      <c r="K83" s="169">
        <f>SUMIFS(K$7:K$76,$B$7:$B$76,$E83)</f>
        <v>1538</v>
      </c>
      <c r="L83" s="169">
        <f t="shared" si="38"/>
        <v>1542</v>
      </c>
      <c r="M83" s="100">
        <f t="shared" si="38"/>
        <v>2885</v>
      </c>
      <c r="N83" s="100">
        <f t="shared" si="38"/>
        <v>432</v>
      </c>
      <c r="O83" s="100">
        <f t="shared" si="38"/>
        <v>1287</v>
      </c>
      <c r="P83" s="100">
        <f t="shared" si="38"/>
        <v>308</v>
      </c>
      <c r="Q83" s="100">
        <f t="shared" si="38"/>
        <v>2615</v>
      </c>
      <c r="R83" s="100">
        <f t="shared" si="38"/>
        <v>946</v>
      </c>
      <c r="S83" s="100">
        <f t="shared" si="38"/>
        <v>1551</v>
      </c>
      <c r="T83" s="101">
        <f t="shared" si="38"/>
        <v>2552</v>
      </c>
      <c r="U83" s="102">
        <f t="shared" si="38"/>
        <v>167</v>
      </c>
      <c r="V83" s="102">
        <f t="shared" si="38"/>
        <v>116</v>
      </c>
      <c r="W83" s="103"/>
      <c r="X83" s="203">
        <f t="shared" ref="X83:Y86" si="39">SUMIFS(X$7:X$76,$B$7:$B$76,$E83)</f>
        <v>0</v>
      </c>
      <c r="Y83" s="204">
        <f t="shared" si="39"/>
        <v>0</v>
      </c>
      <c r="AA83" s="407" t="str">
        <f t="shared" si="25"/>
        <v>Southern California</v>
      </c>
      <c r="AB83" s="406">
        <f t="shared" si="23"/>
        <v>0.99740596627756162</v>
      </c>
      <c r="AC83" s="406">
        <f t="shared" si="24"/>
        <v>2.0660377358490565</v>
      </c>
      <c r="AD83" s="412">
        <f t="shared" si="26"/>
        <v>2.6120689655172415</v>
      </c>
      <c r="AE83" s="413">
        <f t="shared" si="27"/>
        <v>0.87549999999999994</v>
      </c>
      <c r="AF83" s="406">
        <f t="shared" si="28"/>
        <v>0.14974003466204505</v>
      </c>
      <c r="AG83" s="406">
        <f t="shared" si="29"/>
        <v>0.23931623931623933</v>
      </c>
      <c r="AH83" s="406">
        <f t="shared" si="30"/>
        <v>0.69461077844311381</v>
      </c>
      <c r="AI83" s="406">
        <f t="shared" si="31"/>
        <v>1.0246865203761755</v>
      </c>
      <c r="AJ83" s="406">
        <f t="shared" si="32"/>
        <v>0.60992907801418439</v>
      </c>
    </row>
    <row r="84" spans="2:36" x14ac:dyDescent="0.35">
      <c r="C84" s="160">
        <f t="shared" si="33"/>
        <v>45992</v>
      </c>
      <c r="E84" s="3" t="s">
        <v>109</v>
      </c>
      <c r="F84" s="205">
        <f t="shared" si="36"/>
        <v>157</v>
      </c>
      <c r="G84" s="206">
        <f t="shared" si="36"/>
        <v>469</v>
      </c>
      <c r="H84" s="207">
        <f t="shared" si="36"/>
        <v>195</v>
      </c>
      <c r="I84" s="213">
        <f t="shared" si="36"/>
        <v>281</v>
      </c>
      <c r="J84" s="99">
        <f t="shared" si="37"/>
        <v>0.82499999999999996</v>
      </c>
      <c r="K84" s="169">
        <f t="shared" si="38"/>
        <v>2458</v>
      </c>
      <c r="L84" s="169">
        <f t="shared" si="38"/>
        <v>2303</v>
      </c>
      <c r="M84" s="100">
        <f t="shared" si="38"/>
        <v>5134</v>
      </c>
      <c r="N84" s="100">
        <f t="shared" si="38"/>
        <v>648</v>
      </c>
      <c r="O84" s="100">
        <f t="shared" si="38"/>
        <v>2249</v>
      </c>
      <c r="P84" s="100">
        <f t="shared" si="38"/>
        <v>390</v>
      </c>
      <c r="Q84" s="100">
        <f t="shared" si="38"/>
        <v>3877</v>
      </c>
      <c r="R84" s="100">
        <f t="shared" si="38"/>
        <v>1281</v>
      </c>
      <c r="S84" s="100">
        <f t="shared" si="38"/>
        <v>2474</v>
      </c>
      <c r="T84" s="101">
        <f t="shared" si="38"/>
        <v>3454</v>
      </c>
      <c r="U84" s="102">
        <f t="shared" si="38"/>
        <v>114</v>
      </c>
      <c r="V84" s="102">
        <f t="shared" si="38"/>
        <v>87</v>
      </c>
      <c r="W84" s="103"/>
      <c r="X84" s="203">
        <f t="shared" si="39"/>
        <v>0</v>
      </c>
      <c r="Y84" s="204">
        <f t="shared" si="39"/>
        <v>0</v>
      </c>
      <c r="AA84" s="407" t="str">
        <f t="shared" si="25"/>
        <v>Texas</v>
      </c>
      <c r="AB84" s="406">
        <f t="shared" si="23"/>
        <v>1.0673035171515415</v>
      </c>
      <c r="AC84" s="406">
        <f t="shared" si="24"/>
        <v>1.2473347547974414</v>
      </c>
      <c r="AD84" s="412">
        <f t="shared" si="26"/>
        <v>1.7898089171974523</v>
      </c>
      <c r="AE84" s="413">
        <f t="shared" si="27"/>
        <v>0.82499999999999996</v>
      </c>
      <c r="AF84" s="406">
        <f t="shared" si="28"/>
        <v>0.12621737436696534</v>
      </c>
      <c r="AG84" s="406">
        <f t="shared" si="29"/>
        <v>0.17341040462427745</v>
      </c>
      <c r="AH84" s="406">
        <f t="shared" si="30"/>
        <v>0.76315789473684215</v>
      </c>
      <c r="AI84" s="406">
        <f t="shared" si="31"/>
        <v>1.122466705269253</v>
      </c>
      <c r="AJ84" s="406">
        <f t="shared" si="32"/>
        <v>0.51778496362166537</v>
      </c>
    </row>
    <row r="85" spans="2:36" x14ac:dyDescent="0.35">
      <c r="C85" s="160">
        <f t="shared" si="33"/>
        <v>45992</v>
      </c>
      <c r="E85" s="3" t="s">
        <v>110</v>
      </c>
      <c r="F85" s="205">
        <f t="shared" si="36"/>
        <v>15</v>
      </c>
      <c r="G85" s="206">
        <f t="shared" si="36"/>
        <v>42</v>
      </c>
      <c r="H85" s="207">
        <f t="shared" si="36"/>
        <v>33</v>
      </c>
      <c r="I85" s="213">
        <f t="shared" si="36"/>
        <v>17</v>
      </c>
      <c r="J85" s="99">
        <f t="shared" si="37"/>
        <v>0.875</v>
      </c>
      <c r="K85" s="169">
        <f t="shared" si="38"/>
        <v>250</v>
      </c>
      <c r="L85" s="169">
        <f t="shared" si="38"/>
        <v>225</v>
      </c>
      <c r="M85" s="100">
        <f t="shared" si="38"/>
        <v>310</v>
      </c>
      <c r="N85" s="100">
        <f t="shared" si="38"/>
        <v>67</v>
      </c>
      <c r="O85" s="100">
        <f t="shared" si="38"/>
        <v>193</v>
      </c>
      <c r="P85" s="100">
        <f t="shared" si="38"/>
        <v>49</v>
      </c>
      <c r="Q85" s="100">
        <f t="shared" si="38"/>
        <v>290</v>
      </c>
      <c r="R85" s="100">
        <f t="shared" si="38"/>
        <v>119</v>
      </c>
      <c r="S85" s="100">
        <f t="shared" si="38"/>
        <v>250</v>
      </c>
      <c r="T85" s="101">
        <f t="shared" si="38"/>
        <v>330</v>
      </c>
      <c r="U85" s="102">
        <f t="shared" si="38"/>
        <v>7</v>
      </c>
      <c r="V85" s="102">
        <f t="shared" si="38"/>
        <v>2</v>
      </c>
      <c r="W85" s="103"/>
      <c r="X85" s="203">
        <f t="shared" si="39"/>
        <v>0</v>
      </c>
      <c r="Y85" s="204">
        <f t="shared" si="39"/>
        <v>0</v>
      </c>
      <c r="AA85" s="407" t="str">
        <f t="shared" si="25"/>
        <v>Wisconsin</v>
      </c>
      <c r="AB85" s="406">
        <f t="shared" si="23"/>
        <v>1.1111111111111112</v>
      </c>
      <c r="AC85" s="406">
        <f t="shared" si="24"/>
        <v>2.3571428571428572</v>
      </c>
      <c r="AD85" s="412">
        <f t="shared" si="26"/>
        <v>1.1333333333333333</v>
      </c>
      <c r="AE85" s="413">
        <f t="shared" si="27"/>
        <v>0.875</v>
      </c>
      <c r="AF85" s="406">
        <f t="shared" si="28"/>
        <v>0.21612903225806451</v>
      </c>
      <c r="AG85" s="406">
        <f t="shared" si="29"/>
        <v>0.25388601036269431</v>
      </c>
      <c r="AH85" s="406">
        <f t="shared" si="30"/>
        <v>0.2857142857142857</v>
      </c>
      <c r="AI85" s="406">
        <f t="shared" si="31"/>
        <v>0.87878787878787878</v>
      </c>
      <c r="AJ85" s="406">
        <f t="shared" si="32"/>
        <v>0.47599999999999998</v>
      </c>
    </row>
    <row r="86" spans="2:36" ht="17.149999999999999" hidden="1" customHeight="1" x14ac:dyDescent="0.35">
      <c r="C86" s="160">
        <f t="shared" si="33"/>
        <v>45992</v>
      </c>
      <c r="E86" s="3"/>
      <c r="F86" s="205">
        <f t="shared" si="36"/>
        <v>0</v>
      </c>
      <c r="G86" s="206">
        <f t="shared" si="36"/>
        <v>0</v>
      </c>
      <c r="H86" s="207">
        <f t="shared" si="36"/>
        <v>0</v>
      </c>
      <c r="I86" s="213">
        <f t="shared" si="36"/>
        <v>0</v>
      </c>
      <c r="J86" s="99" t="str">
        <f t="shared" si="37"/>
        <v>N/A</v>
      </c>
      <c r="K86" s="169">
        <f t="shared" si="38"/>
        <v>0</v>
      </c>
      <c r="L86" s="169">
        <f t="shared" si="38"/>
        <v>0</v>
      </c>
      <c r="M86" s="100">
        <f t="shared" si="38"/>
        <v>0</v>
      </c>
      <c r="N86" s="100">
        <f t="shared" si="38"/>
        <v>0</v>
      </c>
      <c r="O86" s="100">
        <f t="shared" si="38"/>
        <v>0</v>
      </c>
      <c r="P86" s="100">
        <f t="shared" si="38"/>
        <v>0</v>
      </c>
      <c r="Q86" s="100">
        <f t="shared" si="38"/>
        <v>0</v>
      </c>
      <c r="R86" s="100">
        <f t="shared" si="38"/>
        <v>0</v>
      </c>
      <c r="S86" s="100">
        <f t="shared" si="38"/>
        <v>0</v>
      </c>
      <c r="T86" s="101">
        <f t="shared" si="38"/>
        <v>0</v>
      </c>
      <c r="U86" s="102">
        <f t="shared" si="38"/>
        <v>0</v>
      </c>
      <c r="V86" s="102">
        <f t="shared" si="38"/>
        <v>0</v>
      </c>
      <c r="W86" s="103"/>
      <c r="X86" s="203">
        <f t="shared" si="39"/>
        <v>0</v>
      </c>
      <c r="Y86" s="204">
        <f t="shared" si="39"/>
        <v>0</v>
      </c>
      <c r="AA86" s="407" t="str">
        <f t="shared" si="25"/>
        <v/>
      </c>
      <c r="AB86" s="406" t="str">
        <f t="shared" si="23"/>
        <v/>
      </c>
      <c r="AC86" s="406" t="str">
        <f t="shared" si="24"/>
        <v/>
      </c>
      <c r="AD86" s="412" t="str">
        <f t="shared" si="26"/>
        <v/>
      </c>
      <c r="AE86" s="413" t="str">
        <f t="shared" si="27"/>
        <v/>
      </c>
      <c r="AF86" s="406" t="str">
        <f t="shared" si="28"/>
        <v/>
      </c>
      <c r="AG86" s="406" t="str">
        <f t="shared" si="29"/>
        <v/>
      </c>
      <c r="AH86" s="406" t="str">
        <f t="shared" si="30"/>
        <v/>
      </c>
      <c r="AI86" s="406" t="str">
        <f t="shared" si="31"/>
        <v/>
      </c>
      <c r="AJ86" s="406" t="str">
        <f t="shared" si="32"/>
        <v/>
      </c>
    </row>
    <row r="87" spans="2:36" hidden="1" x14ac:dyDescent="0.35">
      <c r="E87" s="3" t="s">
        <v>43</v>
      </c>
      <c r="F87" s="214"/>
      <c r="G87" s="214"/>
      <c r="H87" s="214"/>
      <c r="I87" s="215"/>
    </row>
    <row r="88" spans="2:36" hidden="1" x14ac:dyDescent="0.35">
      <c r="E88" s="3" t="s">
        <v>43</v>
      </c>
      <c r="F88" s="214"/>
      <c r="G88" s="214"/>
      <c r="H88" s="214"/>
      <c r="I88" s="215"/>
      <c r="K88" s="69"/>
    </row>
    <row r="89" spans="2:36" hidden="1" x14ac:dyDescent="0.35">
      <c r="E89" s="3" t="s">
        <v>43</v>
      </c>
      <c r="F89" s="214"/>
      <c r="G89" s="214"/>
      <c r="H89" s="214"/>
      <c r="I89" s="215"/>
    </row>
    <row r="90" spans="2:36" hidden="1" x14ac:dyDescent="0.35">
      <c r="E90" s="16"/>
      <c r="F90" s="216"/>
      <c r="G90" s="216"/>
      <c r="H90" s="216"/>
      <c r="I90" s="2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111"/>
    </row>
    <row r="91" spans="2:36" ht="28.5" hidden="1" thickBot="1" x14ac:dyDescent="0.4">
      <c r="B91" s="158"/>
      <c r="C91" s="162"/>
      <c r="D91" s="159"/>
      <c r="E91" s="8" t="s">
        <v>1</v>
      </c>
      <c r="F91" s="105" t="s">
        <v>173</v>
      </c>
      <c r="G91" s="105" t="s">
        <v>174</v>
      </c>
      <c r="H91" s="105" t="s">
        <v>175</v>
      </c>
      <c r="I91" s="105" t="s">
        <v>176</v>
      </c>
      <c r="J91" s="105" t="s">
        <v>177</v>
      </c>
      <c r="K91" s="105" t="s">
        <v>178</v>
      </c>
      <c r="L91" s="105" t="s">
        <v>179</v>
      </c>
      <c r="M91" s="105" t="s">
        <v>180</v>
      </c>
      <c r="N91" s="105" t="s">
        <v>181</v>
      </c>
      <c r="O91" s="105" t="s">
        <v>182</v>
      </c>
      <c r="P91" s="105" t="s">
        <v>183</v>
      </c>
      <c r="Q91" s="105" t="s">
        <v>184</v>
      </c>
      <c r="R91" s="105" t="s">
        <v>185</v>
      </c>
      <c r="S91" s="105" t="s">
        <v>186</v>
      </c>
      <c r="T91" s="105" t="s">
        <v>187</v>
      </c>
      <c r="U91" s="105" t="s">
        <v>188</v>
      </c>
      <c r="V91" s="105" t="s">
        <v>189</v>
      </c>
      <c r="W91" s="105" t="s">
        <v>190</v>
      </c>
      <c r="X91" s="105" t="s">
        <v>58</v>
      </c>
      <c r="Y91" s="105" t="s">
        <v>51</v>
      </c>
    </row>
    <row r="92" spans="2:36" hidden="1" x14ac:dyDescent="0.35">
      <c r="B92" s="3"/>
      <c r="C92" s="160">
        <f>TREND!C104</f>
        <v>45778</v>
      </c>
      <c r="E92" s="3" t="str">
        <f>TREND!C103</f>
        <v/>
      </c>
      <c r="F92" s="205">
        <f>IF($C92="","",SUMIFS(INP_PRODUCERS!$E$5:$E$2580,INP_PRODUCERS!$D$5:$D$2580,$E92,INP_PRODUCERS!$B$5:$B$2580,$C92))</f>
        <v>0</v>
      </c>
      <c r="G92" s="206">
        <f>IF($C92="","",SUMIFS(INP_PRODUCERS!$E$5:$E$2580,INP_PRODUCERS!$D$5:$D$2580,$E92,INP_PRODUCERS!$C$5:$C$2580,VLOOKUP($C92,KEY!$AE$19:$AH$60,3,FALSE)))</f>
        <v>0</v>
      </c>
      <c r="H92" s="207">
        <f>IF($C92="","",SUMIFS(INP_TRNGATT!$D$5:$D$1051,INP_TRNGATT!$C$5:$C$1051,$E92,INP_TRNGATT!$B$5:$B$1051,VLOOKUP($C92,KEY!$AE$19:$AH$60,3,FALSE)))</f>
        <v>0</v>
      </c>
      <c r="I92" s="208">
        <f>IF($C92="","",SUMIFS(INP_DATA!E$5:E$3027,INP_DATA!$B$5:$B$3027,$C92,INP_DATA!$D$5:$D$3027,$E92))</f>
        <v>0</v>
      </c>
      <c r="J92" s="99">
        <f>IF($C92="","",SUMIFS(INP_MYSSHP!$D$5:$D$2349,INP_MYSSHP!$C$5:$C$2349,$E92,INP_MYSSHP!$B$5:$B$2349,VLOOKUP($C92,KEY!$AE$19:$AH$60,3,FALSE)))</f>
        <v>0</v>
      </c>
      <c r="K92" s="168">
        <f>IF($C92="","",SUMIFS(INP_DATA!F$5:F$3027,INP_DATA!$B$5:$B$3027,$C92,INP_DATA!$D$5:$D$3027,$E92))</f>
        <v>0</v>
      </c>
      <c r="L92" s="168">
        <f>IF($C92="","",SUMIFS(INP_DATA!G$5:G$3027,INP_DATA!$B$5:$B$3027,$C92,INP_DATA!$D$5:$D$3027,$E92))</f>
        <v>0</v>
      </c>
      <c r="M92" s="107">
        <f>IF($C92="","",SUMIFS(INP_DATA!H$5:H$3027,INP_DATA!$B$5:$B$3027,$C92,INP_DATA!$D$5:$D$3027,$E92))</f>
        <v>0</v>
      </c>
      <c r="N92" s="107">
        <f>IF($C92="","",SUMIFS(INP_DATA!I$5:I$3027,INP_DATA!$B$5:$B$3027,$C92,INP_DATA!$D$5:$D$3027,$E92))</f>
        <v>0</v>
      </c>
      <c r="O92" s="107">
        <f>IF($C92="","",SUMIFS(INP_DATA!J$5:J$3027,INP_DATA!$B$5:$B$3027,$C92,INP_DATA!$D$5:$D$3027,$E92))</f>
        <v>0</v>
      </c>
      <c r="P92" s="107">
        <f>IF($C92="","",SUMIFS(INP_DATA!K$5:K$3027,INP_DATA!$B$5:$B$3027,$C92,INP_DATA!$D$5:$D$3027,$E92))</f>
        <v>0</v>
      </c>
      <c r="Q92" s="107">
        <f>IF($C92="","",SUMIFS(INP_DATA!L$5:L$3027,INP_DATA!$B$5:$B$3027,$C92,INP_DATA!$D$5:$D$3027,$E92))</f>
        <v>0</v>
      </c>
      <c r="R92" s="107">
        <f>IF($C92="","",SUMIFS(INP_DATA!M$5:M$3027,INP_DATA!$B$5:$B$3027,$C92,INP_DATA!$D$5:$D$3027,$E92))</f>
        <v>0</v>
      </c>
      <c r="S92" s="107">
        <f>IF($C92="","",SUMIFS(INP_DATA!N$5:N$3027,INP_DATA!$B$5:$B$3027,$C92,INP_DATA!$D$5:$D$3027,$E92))</f>
        <v>0</v>
      </c>
      <c r="T92" s="101">
        <f>IF($C92="","",SUMIFS(INP_DATA!O$5:O$3027,INP_DATA!$B$5:$B$3027,$C92,INP_DATA!$D$5:$D$3027,$E92))</f>
        <v>0</v>
      </c>
      <c r="U92" s="108">
        <f>IF($C92="","",SUMIFS(INP_DATA!P$5:P$3027,INP_DATA!$B$5:$B$3027,$C92,INP_DATA!$D$5:$D$3027,$E92))</f>
        <v>0</v>
      </c>
      <c r="V92" s="108">
        <f>IF($C92="","",SUMIFS(INP_DATA!Q$5:Q$3027,INP_DATA!$B$5:$B$3027,$C92,INP_DATA!$D$5:$D$3027,$E92))</f>
        <v>0</v>
      </c>
      <c r="W92" s="237" t="str">
        <f>IF($C92="","",IF(SUM(X92:Y92)=0,"N/A",IF(SUM(X92:Y92)&gt;1,X92/SUM(X92:Y92),IF(X92&gt;Y92,"ABOVE","BELOW"))))</f>
        <v>N/A</v>
      </c>
      <c r="X92" s="203">
        <f>IF($C92="","",SUMIFS(INP_DATA!S$5:S$3027,INP_DATA!$B$5:$B$3027,$C92,INP_DATA!$D$5:$D$3027,$E92))</f>
        <v>0</v>
      </c>
      <c r="Y92" s="204">
        <f>IF($C92="","",SUMIFS(INP_DATA!T$5:T$3027,INP_DATA!$B$5:$B$3027,$C92,INP_DATA!$D$5:$D$3027,$E92))</f>
        <v>0</v>
      </c>
    </row>
    <row r="93" spans="2:36" hidden="1" x14ac:dyDescent="0.35">
      <c r="B93" s="3"/>
      <c r="C93" s="160">
        <f>IFERROR(VLOOKUP(C92,KEY!$AE$19:$AI$58,5,FALSE),"")</f>
        <v>45748</v>
      </c>
      <c r="E93" s="3" t="str">
        <f>E92</f>
        <v/>
      </c>
      <c r="F93" s="205">
        <f>IF($C93="","",SUMIFS(INP_PRODUCERS!$E$5:$E$2580,INP_PRODUCERS!$D$5:$D$2580,$E93,INP_PRODUCERS!$B$5:$B$2580,$C93))</f>
        <v>0</v>
      </c>
      <c r="G93" s="206">
        <f>IF($C93="","",SUMIFS(INP_PRODUCERS!$E$5:$E$2580,INP_PRODUCERS!$D$5:$D$2580,$E93,INP_PRODUCERS!$C$5:$C$2580,VLOOKUP($C93,KEY!$AE$19:$AH$60,3,FALSE)))</f>
        <v>0</v>
      </c>
      <c r="H93" s="207">
        <f>IF($C93="","",SUMIFS(INP_TRNGATT!$D$5:$D$1051,INP_TRNGATT!$C$5:$C$1051,$E93,INP_TRNGATT!$B$5:$B$1051,VLOOKUP($C93,KEY!$AE$19:$AH$60,3,FALSE)))</f>
        <v>0</v>
      </c>
      <c r="I93" s="208">
        <f>IF($C93="","",SUMIFS(INP_DATA!E$5:E$3027,INP_DATA!$B$5:$B$3027,$C93,INP_DATA!$D$5:$D$3027,$E93))</f>
        <v>0</v>
      </c>
      <c r="J93" s="99">
        <f>IF($C93="","",SUMIFS(INP_MYSSHP!$D$5:$D$2349,INP_MYSSHP!$C$5:$C$2349,$E93,INP_MYSSHP!$B$5:$B$2349,VLOOKUP($C93,KEY!$AE$19:$AH$60,3,FALSE)))</f>
        <v>0</v>
      </c>
      <c r="K93" s="169">
        <f>IF($C93="","",SUMIFS(INP_DATA!F$5:F$3027,INP_DATA!$B$5:$B$3027,$C93,INP_DATA!$D$5:$D$3027,$E93))</f>
        <v>0</v>
      </c>
      <c r="L93" s="169">
        <f>IF($C93="","",SUMIFS(INP_DATA!G$5:G$3027,INP_DATA!$B$5:$B$3027,$C93,INP_DATA!$D$5:$D$3027,$E93))</f>
        <v>0</v>
      </c>
      <c r="M93" s="100">
        <f>IF($C93="","",SUMIFS(INP_DATA!H$5:H$3027,INP_DATA!$B$5:$B$3027,$C93,INP_DATA!$D$5:$D$3027,$E93))</f>
        <v>0</v>
      </c>
      <c r="N93" s="100">
        <f>IF($C93="","",SUMIFS(INP_DATA!I$5:I$3027,INP_DATA!$B$5:$B$3027,$C93,INP_DATA!$D$5:$D$3027,$E93))</f>
        <v>0</v>
      </c>
      <c r="O93" s="100">
        <f>IF($C93="","",SUMIFS(INP_DATA!J$5:J$3027,INP_DATA!$B$5:$B$3027,$C93,INP_DATA!$D$5:$D$3027,$E93))</f>
        <v>0</v>
      </c>
      <c r="P93" s="100">
        <f>IF($C93="","",SUMIFS(INP_DATA!K$5:K$3027,INP_DATA!$B$5:$B$3027,$C93,INP_DATA!$D$5:$D$3027,$E93))</f>
        <v>0</v>
      </c>
      <c r="Q93" s="100">
        <f>IF($C93="","",SUMIFS(INP_DATA!L$5:L$3027,INP_DATA!$B$5:$B$3027,$C93,INP_DATA!$D$5:$D$3027,$E93))</f>
        <v>0</v>
      </c>
      <c r="R93" s="100">
        <f>IF($C93="","",SUMIFS(INP_DATA!M$5:M$3027,INP_DATA!$B$5:$B$3027,$C93,INP_DATA!$D$5:$D$3027,$E93))</f>
        <v>0</v>
      </c>
      <c r="S93" s="100">
        <f>IF($C93="","",SUMIFS(INP_DATA!N$5:N$3027,INP_DATA!$B$5:$B$3027,$C93,INP_DATA!$D$5:$D$3027,$E93))</f>
        <v>0</v>
      </c>
      <c r="T93" s="101">
        <f>IF($C93="","",SUMIFS(INP_DATA!O$5:O$3027,INP_DATA!$B$5:$B$3027,$C93,INP_DATA!$D$5:$D$3027,$E93))</f>
        <v>0</v>
      </c>
      <c r="U93" s="102">
        <f>IF($C93="","",SUMIFS(INP_DATA!P$5:P$3027,INP_DATA!$B$5:$B$3027,$C93,INP_DATA!$D$5:$D$3027,$E93))</f>
        <v>0</v>
      </c>
      <c r="V93" s="102">
        <f>IF($C93="","",SUMIFS(INP_DATA!Q$5:Q$3027,INP_DATA!$B$5:$B$3027,$C93,INP_DATA!$D$5:$D$3027,$E93))</f>
        <v>0</v>
      </c>
      <c r="W93" s="270" t="str">
        <f>IF($C93="","",IF(SUM(X93:Y93)=0,"N/A",IF(SUM(X93:Y93)&gt;1,X93/SUM(X93:Y93),IF(X93&gt;Y93,"ABOVE","BELOW"))))</f>
        <v>N/A</v>
      </c>
      <c r="X93" s="203">
        <f>IF($C93="","",SUMIFS(INP_DATA!S$5:S$3027,INP_DATA!$B$5:$B$3027,$C93,INP_DATA!$D$5:$D$3027,$E93))</f>
        <v>0</v>
      </c>
      <c r="Y93" s="204">
        <f>IF($C93="","",SUMIFS(INP_DATA!T$5:T$3027,INP_DATA!$B$5:$B$3027,$C93,INP_DATA!$D$5:$D$3027,$E93))</f>
        <v>0</v>
      </c>
    </row>
    <row r="94" spans="2:36" hidden="1" x14ac:dyDescent="0.35">
      <c r="B94" s="3"/>
      <c r="C94" s="160">
        <f>IFERROR(VLOOKUP(C93,KEY!$AE$19:$AI$58,5,FALSE),"")</f>
        <v>45717</v>
      </c>
      <c r="E94" s="3" t="str">
        <f t="shared" ref="E94:E97" si="40">E93</f>
        <v/>
      </c>
      <c r="F94" s="205">
        <f>IF($C94="","",SUMIFS(INP_PRODUCERS!$E$5:$E$2580,INP_PRODUCERS!$D$5:$D$2580,$E94,INP_PRODUCERS!$B$5:$B$2580,$C94))</f>
        <v>0</v>
      </c>
      <c r="G94" s="206">
        <f>IF($C94="","",SUMIFS(INP_PRODUCERS!$E$5:$E$2580,INP_PRODUCERS!$D$5:$D$2580,$E94,INP_PRODUCERS!$C$5:$C$2580,VLOOKUP($C94,KEY!$AE$19:$AH$60,3,FALSE)))</f>
        <v>0</v>
      </c>
      <c r="H94" s="207">
        <f>IF($C94="","",SUMIFS(INP_TRNGATT!$D$5:$D$1051,INP_TRNGATT!$C$5:$C$1051,$E94,INP_TRNGATT!$B$5:$B$1051,VLOOKUP($C94,KEY!$AE$19:$AH$60,3,FALSE)))</f>
        <v>0</v>
      </c>
      <c r="I94" s="208">
        <f>IF($C94="","",SUMIFS(INP_DATA!E$5:E$3027,INP_DATA!$B$5:$B$3027,$C94,INP_DATA!$D$5:$D$3027,$E94))</f>
        <v>0</v>
      </c>
      <c r="J94" s="99">
        <f>IF($C94="","",SUMIFS(INP_MYSSHP!$D$5:$D$2349,INP_MYSSHP!$C$5:$C$2349,$E94,INP_MYSSHP!$B$5:$B$2349,VLOOKUP($C94,KEY!$AE$19:$AH$60,3,FALSE)))</f>
        <v>0</v>
      </c>
      <c r="K94" s="169">
        <f>IF($C94="","",SUMIFS(INP_DATA!F$5:F$3027,INP_DATA!$B$5:$B$3027,$C94,INP_DATA!$D$5:$D$3027,$E94))</f>
        <v>0</v>
      </c>
      <c r="L94" s="169">
        <f>IF($C94="","",SUMIFS(INP_DATA!G$5:G$3027,INP_DATA!$B$5:$B$3027,$C94,INP_DATA!$D$5:$D$3027,$E94))</f>
        <v>0</v>
      </c>
      <c r="M94" s="100">
        <f>IF($C94="","",SUMIFS(INP_DATA!H$5:H$3027,INP_DATA!$B$5:$B$3027,$C94,INP_DATA!$D$5:$D$3027,$E94))</f>
        <v>0</v>
      </c>
      <c r="N94" s="100">
        <f>IF($C94="","",SUMIFS(INP_DATA!I$5:I$3027,INP_DATA!$B$5:$B$3027,$C94,INP_DATA!$D$5:$D$3027,$E94))</f>
        <v>0</v>
      </c>
      <c r="O94" s="100">
        <f>IF($C94="","",SUMIFS(INP_DATA!J$5:J$3027,INP_DATA!$B$5:$B$3027,$C94,INP_DATA!$D$5:$D$3027,$E94))</f>
        <v>0</v>
      </c>
      <c r="P94" s="100">
        <f>IF($C94="","",SUMIFS(INP_DATA!K$5:K$3027,INP_DATA!$B$5:$B$3027,$C94,INP_DATA!$D$5:$D$3027,$E94))</f>
        <v>0</v>
      </c>
      <c r="Q94" s="100">
        <f>IF($C94="","",SUMIFS(INP_DATA!L$5:L$3027,INP_DATA!$B$5:$B$3027,$C94,INP_DATA!$D$5:$D$3027,$E94))</f>
        <v>0</v>
      </c>
      <c r="R94" s="100">
        <f>IF($C94="","",SUMIFS(INP_DATA!M$5:M$3027,INP_DATA!$B$5:$B$3027,$C94,INP_DATA!$D$5:$D$3027,$E94))</f>
        <v>0</v>
      </c>
      <c r="S94" s="100">
        <f>IF($C94="","",SUMIFS(INP_DATA!N$5:N$3027,INP_DATA!$B$5:$B$3027,$C94,INP_DATA!$D$5:$D$3027,$E94))</f>
        <v>0</v>
      </c>
      <c r="T94" s="101">
        <f>IF($C94="","",SUMIFS(INP_DATA!O$5:O$3027,INP_DATA!$B$5:$B$3027,$C94,INP_DATA!$D$5:$D$3027,$E94))</f>
        <v>0</v>
      </c>
      <c r="U94" s="102">
        <f>IF($C94="","",SUMIFS(INP_DATA!P$5:P$3027,INP_DATA!$B$5:$B$3027,$C94,INP_DATA!$D$5:$D$3027,$E94))</f>
        <v>0</v>
      </c>
      <c r="V94" s="102">
        <f>IF($C94="","",SUMIFS(INP_DATA!Q$5:Q$3027,INP_DATA!$B$5:$B$3027,$C94,INP_DATA!$D$5:$D$3027,$E94))</f>
        <v>0</v>
      </c>
      <c r="W94" s="270" t="str">
        <f t="shared" ref="W94:W97" si="41">IF($C94="","",IF(SUM(X94:Y94)=0,"N/A",IF(SUM(X94:Y94)&gt;1,X94/SUM(X94:Y94),IF(X94&gt;Y94,"ABOVE","BELOW"))))</f>
        <v>N/A</v>
      </c>
      <c r="X94" s="203">
        <f>IF($C94="","",SUMIFS(INP_DATA!S$5:S$3027,INP_DATA!$B$5:$B$3027,$C94,INP_DATA!$D$5:$D$3027,$E94))</f>
        <v>0</v>
      </c>
      <c r="Y94" s="204">
        <f>IF($C94="","",SUMIFS(INP_DATA!T$5:T$3027,INP_DATA!$B$5:$B$3027,$C94,INP_DATA!$D$5:$D$3027,$E94))</f>
        <v>0</v>
      </c>
    </row>
    <row r="95" spans="2:36" hidden="1" x14ac:dyDescent="0.35">
      <c r="B95" s="3"/>
      <c r="C95" s="160">
        <f>IFERROR(VLOOKUP(C94,KEY!$AE$19:$AI$58,5,FALSE),"")</f>
        <v>45689</v>
      </c>
      <c r="E95" s="3" t="str">
        <f t="shared" si="40"/>
        <v/>
      </c>
      <c r="F95" s="205">
        <f>IF($C95="","",SUMIFS(INP_PRODUCERS!$E$5:$E$2580,INP_PRODUCERS!$D$5:$D$2580,$E95,INP_PRODUCERS!$B$5:$B$2580,$C95))</f>
        <v>0</v>
      </c>
      <c r="G95" s="206">
        <f>IF($C95="","",SUMIFS(INP_PRODUCERS!$E$5:$E$2580,INP_PRODUCERS!$D$5:$D$2580,$E95,INP_PRODUCERS!$C$5:$C$2580,VLOOKUP($C95,KEY!$AE$19:$AH$60,3,FALSE)))</f>
        <v>0</v>
      </c>
      <c r="H95" s="207">
        <f>IF($C95="","",SUMIFS(INP_TRNGATT!$D$5:$D$1051,INP_TRNGATT!$C$5:$C$1051,$E95,INP_TRNGATT!$B$5:$B$1051,VLOOKUP($C95,KEY!$AE$19:$AH$60,3,FALSE)))</f>
        <v>0</v>
      </c>
      <c r="I95" s="208">
        <f>IF($C95="","",SUMIFS(INP_DATA!E$5:E$3027,INP_DATA!$B$5:$B$3027,$C95,INP_DATA!$D$5:$D$3027,$E95))</f>
        <v>0</v>
      </c>
      <c r="J95" s="99">
        <f>IF($C95="","",SUMIFS(INP_MYSSHP!$D$5:$D$2349,INP_MYSSHP!$C$5:$C$2349,$E95,INP_MYSSHP!$B$5:$B$2349,VLOOKUP($C95,KEY!$AE$19:$AH$60,3,FALSE)))</f>
        <v>0</v>
      </c>
      <c r="K95" s="169">
        <f>IF($C95="","",SUMIFS(INP_DATA!F$5:F$3027,INP_DATA!$B$5:$B$3027,$C95,INP_DATA!$D$5:$D$3027,$E95))</f>
        <v>0</v>
      </c>
      <c r="L95" s="169">
        <f>IF($C95="","",SUMIFS(INP_DATA!G$5:G$3027,INP_DATA!$B$5:$B$3027,$C95,INP_DATA!$D$5:$D$3027,$E95))</f>
        <v>0</v>
      </c>
      <c r="M95" s="100">
        <f>IF($C95="","",SUMIFS(INP_DATA!H$5:H$3027,INP_DATA!$B$5:$B$3027,$C95,INP_DATA!$D$5:$D$3027,$E95))</f>
        <v>0</v>
      </c>
      <c r="N95" s="100">
        <f>IF($C95="","",SUMIFS(INP_DATA!I$5:I$3027,INP_DATA!$B$5:$B$3027,$C95,INP_DATA!$D$5:$D$3027,$E95))</f>
        <v>0</v>
      </c>
      <c r="O95" s="100">
        <f>IF($C95="","",SUMIFS(INP_DATA!J$5:J$3027,INP_DATA!$B$5:$B$3027,$C95,INP_DATA!$D$5:$D$3027,$E95))</f>
        <v>0</v>
      </c>
      <c r="P95" s="100">
        <f>IF($C95="","",SUMIFS(INP_DATA!K$5:K$3027,INP_DATA!$B$5:$B$3027,$C95,INP_DATA!$D$5:$D$3027,$E95))</f>
        <v>0</v>
      </c>
      <c r="Q95" s="100">
        <f>IF($C95="","",SUMIFS(INP_DATA!L$5:L$3027,INP_DATA!$B$5:$B$3027,$C95,INP_DATA!$D$5:$D$3027,$E95))</f>
        <v>0</v>
      </c>
      <c r="R95" s="100">
        <f>IF($C95="","",SUMIFS(INP_DATA!M$5:M$3027,INP_DATA!$B$5:$B$3027,$C95,INP_DATA!$D$5:$D$3027,$E95))</f>
        <v>0</v>
      </c>
      <c r="S95" s="100">
        <f>IF($C95="","",SUMIFS(INP_DATA!N$5:N$3027,INP_DATA!$B$5:$B$3027,$C95,INP_DATA!$D$5:$D$3027,$E95))</f>
        <v>0</v>
      </c>
      <c r="T95" s="101">
        <f>IF($C95="","",SUMIFS(INP_DATA!O$5:O$3027,INP_DATA!$B$5:$B$3027,$C95,INP_DATA!$D$5:$D$3027,$E95))</f>
        <v>0</v>
      </c>
      <c r="U95" s="102">
        <f>IF($C95="","",SUMIFS(INP_DATA!P$5:P$3027,INP_DATA!$B$5:$B$3027,$C95,INP_DATA!$D$5:$D$3027,$E95))</f>
        <v>0</v>
      </c>
      <c r="V95" s="102">
        <f>IF($C95="","",SUMIFS(INP_DATA!Q$5:Q$3027,INP_DATA!$B$5:$B$3027,$C95,INP_DATA!$D$5:$D$3027,$E95))</f>
        <v>0</v>
      </c>
      <c r="W95" s="270" t="str">
        <f t="shared" si="41"/>
        <v>N/A</v>
      </c>
      <c r="X95" s="203">
        <f>IF($C95="","",SUMIFS(INP_DATA!S$5:S$3027,INP_DATA!$B$5:$B$3027,$C95,INP_DATA!$D$5:$D$3027,$E95))</f>
        <v>0</v>
      </c>
      <c r="Y95" s="204">
        <f>IF($C95="","",SUMIFS(INP_DATA!T$5:T$3027,INP_DATA!$B$5:$B$3027,$C95,INP_DATA!$D$5:$D$3027,$E95))</f>
        <v>0</v>
      </c>
    </row>
    <row r="96" spans="2:36" hidden="1" x14ac:dyDescent="0.35">
      <c r="B96" s="3"/>
      <c r="C96" s="160">
        <f>IFERROR(VLOOKUP(C95,KEY!$AE$19:$AI$58,5,FALSE),"")</f>
        <v>45658</v>
      </c>
      <c r="E96" s="3" t="str">
        <f t="shared" si="40"/>
        <v/>
      </c>
      <c r="F96" s="205">
        <f>IF($C96="","",SUMIFS(INP_PRODUCERS!$E$5:$E$2580,INP_PRODUCERS!$D$5:$D$2580,$E96,INP_PRODUCERS!$B$5:$B$2580,$C96))</f>
        <v>0</v>
      </c>
      <c r="G96" s="206">
        <f>IF($C96="","",SUMIFS(INP_PRODUCERS!$E$5:$E$2580,INP_PRODUCERS!$D$5:$D$2580,$E96,INP_PRODUCERS!$C$5:$C$2580,VLOOKUP($C96,KEY!$AE$19:$AH$60,3,FALSE)))</f>
        <v>0</v>
      </c>
      <c r="H96" s="207">
        <f>IF($C96="","",SUMIFS(INP_TRNGATT!$D$5:$D$1051,INP_TRNGATT!$C$5:$C$1051,$E96,INP_TRNGATT!$B$5:$B$1051,VLOOKUP($C96,KEY!$AE$19:$AH$60,3,FALSE)))</f>
        <v>0</v>
      </c>
      <c r="I96" s="208">
        <f>IF($C96="","",SUMIFS(INP_DATA!E$5:E$3027,INP_DATA!$B$5:$B$3027,$C96,INP_DATA!$D$5:$D$3027,$E96))</f>
        <v>0</v>
      </c>
      <c r="J96" s="99">
        <f>IF($C96="","",SUMIFS(INP_MYSSHP!$D$5:$D$2349,INP_MYSSHP!$C$5:$C$2349,$E96,INP_MYSSHP!$B$5:$B$2349,VLOOKUP($C96,KEY!$AE$19:$AH$60,3,FALSE)))</f>
        <v>0</v>
      </c>
      <c r="K96" s="169">
        <f>IF($C96="","",SUMIFS(INP_DATA!F$5:F$3027,INP_DATA!$B$5:$B$3027,$C96,INP_DATA!$D$5:$D$3027,$E96))</f>
        <v>0</v>
      </c>
      <c r="L96" s="169">
        <f>IF($C96="","",SUMIFS(INP_DATA!G$5:G$3027,INP_DATA!$B$5:$B$3027,$C96,INP_DATA!$D$5:$D$3027,$E96))</f>
        <v>0</v>
      </c>
      <c r="M96" s="100">
        <f>IF($C96="","",SUMIFS(INP_DATA!H$5:H$3027,INP_DATA!$B$5:$B$3027,$C96,INP_DATA!$D$5:$D$3027,$E96))</f>
        <v>0</v>
      </c>
      <c r="N96" s="100">
        <f>IF($C96="","",SUMIFS(INP_DATA!I$5:I$3027,INP_DATA!$B$5:$B$3027,$C96,INP_DATA!$D$5:$D$3027,$E96))</f>
        <v>0</v>
      </c>
      <c r="O96" s="100">
        <f>IF($C96="","",SUMIFS(INP_DATA!J$5:J$3027,INP_DATA!$B$5:$B$3027,$C96,INP_DATA!$D$5:$D$3027,$E96))</f>
        <v>0</v>
      </c>
      <c r="P96" s="100">
        <f>IF($C96="","",SUMIFS(INP_DATA!K$5:K$3027,INP_DATA!$B$5:$B$3027,$C96,INP_DATA!$D$5:$D$3027,$E96))</f>
        <v>0</v>
      </c>
      <c r="Q96" s="100">
        <f>IF($C96="","",SUMIFS(INP_DATA!L$5:L$3027,INP_DATA!$B$5:$B$3027,$C96,INP_DATA!$D$5:$D$3027,$E96))</f>
        <v>0</v>
      </c>
      <c r="R96" s="100">
        <f>IF($C96="","",SUMIFS(INP_DATA!M$5:M$3027,INP_DATA!$B$5:$B$3027,$C96,INP_DATA!$D$5:$D$3027,$E96))</f>
        <v>0</v>
      </c>
      <c r="S96" s="100">
        <f>IF($C96="","",SUMIFS(INP_DATA!N$5:N$3027,INP_DATA!$B$5:$B$3027,$C96,INP_DATA!$D$5:$D$3027,$E96))</f>
        <v>0</v>
      </c>
      <c r="T96" s="101">
        <f>IF($C96="","",SUMIFS(INP_DATA!O$5:O$3027,INP_DATA!$B$5:$B$3027,$C96,INP_DATA!$D$5:$D$3027,$E96))</f>
        <v>0</v>
      </c>
      <c r="U96" s="102">
        <f>IF($C96="","",SUMIFS(INP_DATA!P$5:P$3027,INP_DATA!$B$5:$B$3027,$C96,INP_DATA!$D$5:$D$3027,$E96))</f>
        <v>0</v>
      </c>
      <c r="V96" s="102">
        <f>IF($C96="","",SUMIFS(INP_DATA!Q$5:Q$3027,INP_DATA!$B$5:$B$3027,$C96,INP_DATA!$D$5:$D$3027,$E96))</f>
        <v>0</v>
      </c>
      <c r="W96" s="270" t="str">
        <f t="shared" si="41"/>
        <v>N/A</v>
      </c>
      <c r="X96" s="203">
        <f>IF($C96="","",SUMIFS(INP_DATA!S$5:S$3027,INP_DATA!$B$5:$B$3027,$C96,INP_DATA!$D$5:$D$3027,$E96))</f>
        <v>0</v>
      </c>
      <c r="Y96" s="204">
        <f>IF($C96="","",SUMIFS(INP_DATA!T$5:T$3027,INP_DATA!$B$5:$B$3027,$C96,INP_DATA!$D$5:$D$3027,$E96))</f>
        <v>0</v>
      </c>
    </row>
    <row r="97" spans="2:25" hidden="1" x14ac:dyDescent="0.35">
      <c r="B97" s="3"/>
      <c r="C97" s="160">
        <f>IFERROR(VLOOKUP(C96,KEY!$AE$19:$AI$58,5,FALSE),"")</f>
        <v>45627</v>
      </c>
      <c r="E97" s="3" t="str">
        <f t="shared" si="40"/>
        <v/>
      </c>
      <c r="F97" s="205">
        <f>IF($C97="","",SUMIFS(INP_PRODUCERS!$E$5:$E$2580,INP_PRODUCERS!$D$5:$D$2580,$E97,INP_PRODUCERS!$B$5:$B$2580,$C97))</f>
        <v>0</v>
      </c>
      <c r="G97" s="206">
        <f>IF($C97="","",SUMIFS(INP_PRODUCERS!$E$5:$E$2580,INP_PRODUCERS!$D$5:$D$2580,$E97,INP_PRODUCERS!$C$5:$C$2580,VLOOKUP($C97,KEY!$AE$19:$AH$60,3,FALSE)))</f>
        <v>0</v>
      </c>
      <c r="H97" s="207">
        <f>IF($C97="","",SUMIFS(INP_TRNGATT!$D$5:$D$1051,INP_TRNGATT!$C$5:$C$1051,$E97,INP_TRNGATT!$B$5:$B$1051,VLOOKUP($C97,KEY!$AE$19:$AH$60,3,FALSE)))</f>
        <v>0</v>
      </c>
      <c r="I97" s="208">
        <f>IF($C97="","",SUMIFS(INP_DATA!E$5:E$3027,INP_DATA!$B$5:$B$3027,$C97,INP_DATA!$D$5:$D$3027,$E97))</f>
        <v>0</v>
      </c>
      <c r="J97" s="99">
        <f>IF($C97="","",SUMIFS(INP_MYSSHP!$D$5:$D$2349,INP_MYSSHP!$C$5:$C$2349,$E97,INP_MYSSHP!$B$5:$B$2349,VLOOKUP($C97,KEY!$AE$19:$AH$60,3,FALSE)))</f>
        <v>0</v>
      </c>
      <c r="K97" s="169">
        <f>IF($C97="","",SUMIFS(INP_DATA!F$5:F$3027,INP_DATA!$B$5:$B$3027,$C97,INP_DATA!$D$5:$D$3027,$E97))</f>
        <v>0</v>
      </c>
      <c r="L97" s="169">
        <f>IF($C97="","",SUMIFS(INP_DATA!G$5:G$3027,INP_DATA!$B$5:$B$3027,$C97,INP_DATA!$D$5:$D$3027,$E97))</f>
        <v>0</v>
      </c>
      <c r="M97" s="100">
        <f>IF($C97="","",SUMIFS(INP_DATA!H$5:H$3027,INP_DATA!$B$5:$B$3027,$C97,INP_DATA!$D$5:$D$3027,$E97))</f>
        <v>0</v>
      </c>
      <c r="N97" s="100">
        <f>IF($C97="","",SUMIFS(INP_DATA!I$5:I$3027,INP_DATA!$B$5:$B$3027,$C97,INP_DATA!$D$5:$D$3027,$E97))</f>
        <v>0</v>
      </c>
      <c r="O97" s="100">
        <f>IF($C97="","",SUMIFS(INP_DATA!J$5:J$3027,INP_DATA!$B$5:$B$3027,$C97,INP_DATA!$D$5:$D$3027,$E97))</f>
        <v>0</v>
      </c>
      <c r="P97" s="100">
        <f>IF($C97="","",SUMIFS(INP_DATA!K$5:K$3027,INP_DATA!$B$5:$B$3027,$C97,INP_DATA!$D$5:$D$3027,$E97))</f>
        <v>0</v>
      </c>
      <c r="Q97" s="100">
        <f>IF($C97="","",SUMIFS(INP_DATA!L$5:L$3027,INP_DATA!$B$5:$B$3027,$C97,INP_DATA!$D$5:$D$3027,$E97))</f>
        <v>0</v>
      </c>
      <c r="R97" s="100">
        <f>IF($C97="","",SUMIFS(INP_DATA!M$5:M$3027,INP_DATA!$B$5:$B$3027,$C97,INP_DATA!$D$5:$D$3027,$E97))</f>
        <v>0</v>
      </c>
      <c r="S97" s="100">
        <f>IF($C97="","",SUMIFS(INP_DATA!N$5:N$3027,INP_DATA!$B$5:$B$3027,$C97,INP_DATA!$D$5:$D$3027,$E97))</f>
        <v>0</v>
      </c>
      <c r="T97" s="101">
        <f>IF($C97="","",SUMIFS(INP_DATA!O$5:O$3027,INP_DATA!$B$5:$B$3027,$C97,INP_DATA!$D$5:$D$3027,$E97))</f>
        <v>0</v>
      </c>
      <c r="U97" s="102">
        <f>IF($C97="","",SUMIFS(INP_DATA!P$5:P$3027,INP_DATA!$B$5:$B$3027,$C97,INP_DATA!$D$5:$D$3027,$E97))</f>
        <v>0</v>
      </c>
      <c r="V97" s="102">
        <f>IF($C97="","",SUMIFS(INP_DATA!Q$5:Q$3027,INP_DATA!$B$5:$B$3027,$C97,INP_DATA!$D$5:$D$3027,$E97))</f>
        <v>0</v>
      </c>
      <c r="W97" s="270" t="str">
        <f t="shared" si="41"/>
        <v>N/A</v>
      </c>
      <c r="X97" s="203">
        <f>IF($C97="","",SUMIFS(INP_DATA!S$5:S$3027,INP_DATA!$B$5:$B$3027,$C97,INP_DATA!$D$5:$D$3027,$E97))</f>
        <v>0</v>
      </c>
      <c r="Y97" s="204">
        <f>IF($C97="","",SUMIFS(INP_DATA!T$5:T$3027,INP_DATA!$B$5:$B$3027,$C97,INP_DATA!$D$5:$D$3027,$E97))</f>
        <v>0</v>
      </c>
    </row>
    <row r="98" spans="2:25" hidden="1" x14ac:dyDescent="0.35">
      <c r="B98" s="257"/>
      <c r="C98" s="238">
        <f>TREND!D104</f>
        <v>45778</v>
      </c>
      <c r="D98" s="258"/>
      <c r="E98" s="257" t="str">
        <f>TREND!D103</f>
        <v/>
      </c>
      <c r="F98" s="259">
        <f>IF($C98="","",SUMIFS(INP_PRODUCERS!$E$5:$E$2580,INP_PRODUCERS!$D$5:$D$2580,$E98,INP_PRODUCERS!$B$5:$B$2580,$C98))</f>
        <v>0</v>
      </c>
      <c r="G98" s="260">
        <f>IF($C98="","",SUMIFS(INP_PRODUCERS!$E$5:$E$2580,INP_PRODUCERS!$D$5:$D$2580,$E98,INP_PRODUCERS!$C$5:$C$2580,VLOOKUP($C98,KEY!$AE$19:$AH$60,3,FALSE)))</f>
        <v>0</v>
      </c>
      <c r="H98" s="401">
        <f>IF($C98="","",SUMIFS(INP_TRNGATT!$D$5:$D$1051,INP_TRNGATT!$C$5:$C$1051,$E98,INP_TRNGATT!$B$5:$B$1051,VLOOKUP($C98,KEY!$AE$19:$AH$60,3,FALSE)))</f>
        <v>0</v>
      </c>
      <c r="I98" s="261">
        <f>IF($C98="","",SUMIFS(INP_DATA!E$5:E$3027,INP_DATA!$B$5:$B$3027,$C98,INP_DATA!$D$5:$D$3027,$E98))</f>
        <v>0</v>
      </c>
      <c r="J98" s="262">
        <f>IF($C98="","",SUMIFS(INP_MYSSHP!$D$5:$D$2349,INP_MYSSHP!$C$5:$C$2349,$E98,INP_MYSSHP!$B$5:$B$2349,VLOOKUP($C98,KEY!$AE$19:$AH$60,3,FALSE)))</f>
        <v>0</v>
      </c>
      <c r="K98" s="263">
        <f>IF($C98="","",SUMIFS(INP_DATA!F$5:F$3027,INP_DATA!$B$5:$B$3027,$C98,INP_DATA!$D$5:$D$3027,$E98))</f>
        <v>0</v>
      </c>
      <c r="L98" s="263">
        <f>IF($C98="","",SUMIFS(INP_DATA!G$5:G$3027,INP_DATA!$B$5:$B$3027,$C98,INP_DATA!$D$5:$D$3027,$E98))</f>
        <v>0</v>
      </c>
      <c r="M98" s="264">
        <f>IF($C98="","",SUMIFS(INP_DATA!H$5:H$3027,INP_DATA!$B$5:$B$3027,$C98,INP_DATA!$D$5:$D$3027,$E98))</f>
        <v>0</v>
      </c>
      <c r="N98" s="264">
        <f>IF($C98="","",SUMIFS(INP_DATA!I$5:I$3027,INP_DATA!$B$5:$B$3027,$C98,INP_DATA!$D$5:$D$3027,$E98))</f>
        <v>0</v>
      </c>
      <c r="O98" s="264">
        <f>IF($C98="","",SUMIFS(INP_DATA!J$5:J$3027,INP_DATA!$B$5:$B$3027,$C98,INP_DATA!$D$5:$D$3027,$E98))</f>
        <v>0</v>
      </c>
      <c r="P98" s="264">
        <f>IF($C98="","",SUMIFS(INP_DATA!K$5:K$3027,INP_DATA!$B$5:$B$3027,$C98,INP_DATA!$D$5:$D$3027,$E98))</f>
        <v>0</v>
      </c>
      <c r="Q98" s="264">
        <f>IF($C98="","",SUMIFS(INP_DATA!L$5:L$3027,INP_DATA!$B$5:$B$3027,$C98,INP_DATA!$D$5:$D$3027,$E98))</f>
        <v>0</v>
      </c>
      <c r="R98" s="264">
        <f>IF($C98="","",SUMIFS(INP_DATA!M$5:M$3027,INP_DATA!$B$5:$B$3027,$C98,INP_DATA!$D$5:$D$3027,$E98))</f>
        <v>0</v>
      </c>
      <c r="S98" s="264">
        <f>IF($C98="","",SUMIFS(INP_DATA!N$5:N$3027,INP_DATA!$B$5:$B$3027,$C98,INP_DATA!$D$5:$D$3027,$E98))</f>
        <v>0</v>
      </c>
      <c r="T98" s="265">
        <f>IF($C98="","",SUMIFS(INP_DATA!O$5:O$3027,INP_DATA!$B$5:$B$3027,$C98,INP_DATA!$D$5:$D$3027,$E98))</f>
        <v>0</v>
      </c>
      <c r="U98" s="266">
        <f>IF($C98="","",SUMIFS(INP_DATA!P$5:P$3027,INP_DATA!$B$5:$B$3027,$C98,INP_DATA!$D$5:$D$3027,$E98))</f>
        <v>0</v>
      </c>
      <c r="V98" s="266">
        <f>IF($C98="","",SUMIFS(INP_DATA!Q$5:Q$3027,INP_DATA!$B$5:$B$3027,$C98,INP_DATA!$D$5:$D$3027,$E98))</f>
        <v>0</v>
      </c>
      <c r="W98" s="267" t="str">
        <f>IF($C98="","",IF(SUM(X98:Y98)=0,"N/A",IF(SUM(X98:Y98)&gt;1,X98/SUM(X98:Y98),IF(X98&gt;Y98,"ABOVE","BELOW"))))</f>
        <v>N/A</v>
      </c>
      <c r="X98" s="268">
        <f>IF($C98="","",SUMIFS(INP_DATA!S$5:S$3027,INP_DATA!$B$5:$B$3027,$C98,INP_DATA!$D$5:$D$3027,$E98))</f>
        <v>0</v>
      </c>
      <c r="Y98" s="269">
        <f>IF($C98="","",SUMIFS(INP_DATA!T$5:T$3027,INP_DATA!$B$5:$B$3027,$C98,INP_DATA!$D$5:$D$3027,$E98))</f>
        <v>0</v>
      </c>
    </row>
    <row r="99" spans="2:25" hidden="1" x14ac:dyDescent="0.35">
      <c r="B99" s="3"/>
      <c r="C99" s="160">
        <f>IFERROR(VLOOKUP(C98,KEY!$AE$19:$AI$58,5,FALSE),"")</f>
        <v>45748</v>
      </c>
      <c r="E99" s="3" t="str">
        <f>E98</f>
        <v/>
      </c>
      <c r="F99" s="205">
        <f>IF($C99="","",SUMIFS(INP_PRODUCERS!$E$5:$E$2580,INP_PRODUCERS!$D$5:$D$2580,$E99,INP_PRODUCERS!$B$5:$B$2580,$C99))</f>
        <v>0</v>
      </c>
      <c r="G99" s="206">
        <f>IF($C99="","",SUMIFS(INP_PRODUCERS!$E$5:$E$2580,INP_PRODUCERS!$D$5:$D$2580,$E99,INP_PRODUCERS!$C$5:$C$2580,VLOOKUP($C99,KEY!$AE$19:$AH$60,3,FALSE)))</f>
        <v>0</v>
      </c>
      <c r="H99" s="207">
        <f>IF($C99="","",SUMIFS(INP_TRNGATT!$D$5:$D$1051,INP_TRNGATT!$C$5:$C$1051,$E99,INP_TRNGATT!$B$5:$B$1051,VLOOKUP($C99,KEY!$AE$19:$AH$60,3,FALSE)))</f>
        <v>0</v>
      </c>
      <c r="I99" s="208">
        <f>IF($C99="","",SUMIFS(INP_DATA!E$5:E$3027,INP_DATA!$B$5:$B$3027,$C99,INP_DATA!$D$5:$D$3027,$E99))</f>
        <v>0</v>
      </c>
      <c r="J99" s="99">
        <f>IF($C99="","",SUMIFS(INP_MYSSHP!$D$5:$D$2349,INP_MYSSHP!$C$5:$C$2349,$E99,INP_MYSSHP!$B$5:$B$2349,VLOOKUP($C99,KEY!$AE$19:$AH$60,3,FALSE)))</f>
        <v>0</v>
      </c>
      <c r="K99" s="169">
        <f>IF($C99="","",SUMIFS(INP_DATA!F$5:F$3027,INP_DATA!$B$5:$B$3027,$C99,INP_DATA!$D$5:$D$3027,$E99))</f>
        <v>0</v>
      </c>
      <c r="L99" s="169">
        <f>IF($C99="","",SUMIFS(INP_DATA!G$5:G$3027,INP_DATA!$B$5:$B$3027,$C99,INP_DATA!$D$5:$D$3027,$E99))</f>
        <v>0</v>
      </c>
      <c r="M99" s="100">
        <f>IF($C99="","",SUMIFS(INP_DATA!H$5:H$3027,INP_DATA!$B$5:$B$3027,$C99,INP_DATA!$D$5:$D$3027,$E99))</f>
        <v>0</v>
      </c>
      <c r="N99" s="100">
        <f>IF($C99="","",SUMIFS(INP_DATA!I$5:I$3027,INP_DATA!$B$5:$B$3027,$C99,INP_DATA!$D$5:$D$3027,$E99))</f>
        <v>0</v>
      </c>
      <c r="O99" s="100">
        <f>IF($C99="","",SUMIFS(INP_DATA!J$5:J$3027,INP_DATA!$B$5:$B$3027,$C99,INP_DATA!$D$5:$D$3027,$E99))</f>
        <v>0</v>
      </c>
      <c r="P99" s="100">
        <f>IF($C99="","",SUMIFS(INP_DATA!K$5:K$3027,INP_DATA!$B$5:$B$3027,$C99,INP_DATA!$D$5:$D$3027,$E99))</f>
        <v>0</v>
      </c>
      <c r="Q99" s="100">
        <f>IF($C99="","",SUMIFS(INP_DATA!L$5:L$3027,INP_DATA!$B$5:$B$3027,$C99,INP_DATA!$D$5:$D$3027,$E99))</f>
        <v>0</v>
      </c>
      <c r="R99" s="100">
        <f>IF($C99="","",SUMIFS(INP_DATA!M$5:M$3027,INP_DATA!$B$5:$B$3027,$C99,INP_DATA!$D$5:$D$3027,$E99))</f>
        <v>0</v>
      </c>
      <c r="S99" s="100">
        <f>IF($C99="","",SUMIFS(INP_DATA!N$5:N$3027,INP_DATA!$B$5:$B$3027,$C99,INP_DATA!$D$5:$D$3027,$E99))</f>
        <v>0</v>
      </c>
      <c r="T99" s="101">
        <f>IF($C99="","",SUMIFS(INP_DATA!O$5:O$3027,INP_DATA!$B$5:$B$3027,$C99,INP_DATA!$D$5:$D$3027,$E99))</f>
        <v>0</v>
      </c>
      <c r="U99" s="102">
        <f>IF($C99="","",SUMIFS(INP_DATA!P$5:P$3027,INP_DATA!$B$5:$B$3027,$C99,INP_DATA!$D$5:$D$3027,$E99))</f>
        <v>0</v>
      </c>
      <c r="V99" s="102">
        <f>IF($C99="","",SUMIFS(INP_DATA!Q$5:Q$3027,INP_DATA!$B$5:$B$3027,$C99,INP_DATA!$D$5:$D$3027,$E99))</f>
        <v>0</v>
      </c>
      <c r="W99" s="270" t="str">
        <f>IF($C99="","",IF(SUM(X99:Y99)=0,"N/A",IF(SUM(X99:Y99)&gt;1,X99/SUM(X99:Y99),IF(X99&gt;Y99,"ABOVE","BELOW"))))</f>
        <v>N/A</v>
      </c>
      <c r="X99" s="203">
        <f>IF($C99="","",SUMIFS(INP_DATA!S$5:S$3027,INP_DATA!$B$5:$B$3027,$C99,INP_DATA!$D$5:$D$3027,$E99))</f>
        <v>0</v>
      </c>
      <c r="Y99" s="204">
        <f>IF($C99="","",SUMIFS(INP_DATA!T$5:T$3027,INP_DATA!$B$5:$B$3027,$C99,INP_DATA!$D$5:$D$3027,$E99))</f>
        <v>0</v>
      </c>
    </row>
    <row r="100" spans="2:25" hidden="1" x14ac:dyDescent="0.35">
      <c r="B100" s="3"/>
      <c r="C100" s="160">
        <f>IFERROR(VLOOKUP(C99,KEY!$AE$19:$AI$58,5,FALSE),"")</f>
        <v>45717</v>
      </c>
      <c r="E100" s="3" t="str">
        <f t="shared" ref="E100:E103" si="42">E99</f>
        <v/>
      </c>
      <c r="F100" s="205">
        <f>IF($C100="","",SUMIFS(INP_PRODUCERS!$E$5:$E$2580,INP_PRODUCERS!$D$5:$D$2580,$E100,INP_PRODUCERS!$B$5:$B$2580,$C100))</f>
        <v>0</v>
      </c>
      <c r="G100" s="206">
        <f>IF($C100="","",SUMIFS(INP_PRODUCERS!$E$5:$E$2580,INP_PRODUCERS!$D$5:$D$2580,$E100,INP_PRODUCERS!$C$5:$C$2580,VLOOKUP($C100,KEY!$AE$19:$AH$60,3,FALSE)))</f>
        <v>0</v>
      </c>
      <c r="H100" s="207">
        <f>IF($C100="","",SUMIFS(INP_TRNGATT!$D$5:$D$1051,INP_TRNGATT!$C$5:$C$1051,$E100,INP_TRNGATT!$B$5:$B$1051,VLOOKUP($C100,KEY!$AE$19:$AH$60,3,FALSE)))</f>
        <v>0</v>
      </c>
      <c r="I100" s="208">
        <f>IF($C100="","",SUMIFS(INP_DATA!E$5:E$3027,INP_DATA!$B$5:$B$3027,$C100,INP_DATA!$D$5:$D$3027,$E100))</f>
        <v>0</v>
      </c>
      <c r="J100" s="99">
        <f>IF($C100="","",SUMIFS(INP_MYSSHP!$D$5:$D$2349,INP_MYSSHP!$C$5:$C$2349,$E100,INP_MYSSHP!$B$5:$B$2349,VLOOKUP($C100,KEY!$AE$19:$AH$60,3,FALSE)))</f>
        <v>0</v>
      </c>
      <c r="K100" s="169">
        <f>IF($C100="","",SUMIFS(INP_DATA!F$5:F$3027,INP_DATA!$B$5:$B$3027,$C100,INP_DATA!$D$5:$D$3027,$E100))</f>
        <v>0</v>
      </c>
      <c r="L100" s="169">
        <f>IF($C100="","",SUMIFS(INP_DATA!G$5:G$3027,INP_DATA!$B$5:$B$3027,$C100,INP_DATA!$D$5:$D$3027,$E100))</f>
        <v>0</v>
      </c>
      <c r="M100" s="100">
        <f>IF($C100="","",SUMIFS(INP_DATA!H$5:H$3027,INP_DATA!$B$5:$B$3027,$C100,INP_DATA!$D$5:$D$3027,$E100))</f>
        <v>0</v>
      </c>
      <c r="N100" s="100">
        <f>IF($C100="","",SUMIFS(INP_DATA!I$5:I$3027,INP_DATA!$B$5:$B$3027,$C100,INP_DATA!$D$5:$D$3027,$E100))</f>
        <v>0</v>
      </c>
      <c r="O100" s="100">
        <f>IF($C100="","",SUMIFS(INP_DATA!J$5:J$3027,INP_DATA!$B$5:$B$3027,$C100,INP_DATA!$D$5:$D$3027,$E100))</f>
        <v>0</v>
      </c>
      <c r="P100" s="100">
        <f>IF($C100="","",SUMIFS(INP_DATA!K$5:K$3027,INP_DATA!$B$5:$B$3027,$C100,INP_DATA!$D$5:$D$3027,$E100))</f>
        <v>0</v>
      </c>
      <c r="Q100" s="100">
        <f>IF($C100="","",SUMIFS(INP_DATA!L$5:L$3027,INP_DATA!$B$5:$B$3027,$C100,INP_DATA!$D$5:$D$3027,$E100))</f>
        <v>0</v>
      </c>
      <c r="R100" s="100">
        <f>IF($C100="","",SUMIFS(INP_DATA!M$5:M$3027,INP_DATA!$B$5:$B$3027,$C100,INP_DATA!$D$5:$D$3027,$E100))</f>
        <v>0</v>
      </c>
      <c r="S100" s="100">
        <f>IF($C100="","",SUMIFS(INP_DATA!N$5:N$3027,INP_DATA!$B$5:$B$3027,$C100,INP_DATA!$D$5:$D$3027,$E100))</f>
        <v>0</v>
      </c>
      <c r="T100" s="101">
        <f>IF($C100="","",SUMIFS(INP_DATA!O$5:O$3027,INP_DATA!$B$5:$B$3027,$C100,INP_DATA!$D$5:$D$3027,$E100))</f>
        <v>0</v>
      </c>
      <c r="U100" s="102">
        <f>IF($C100="","",SUMIFS(INP_DATA!P$5:P$3027,INP_DATA!$B$5:$B$3027,$C100,INP_DATA!$D$5:$D$3027,$E100))</f>
        <v>0</v>
      </c>
      <c r="V100" s="102">
        <f>IF($C100="","",SUMIFS(INP_DATA!Q$5:Q$3027,INP_DATA!$B$5:$B$3027,$C100,INP_DATA!$D$5:$D$3027,$E100))</f>
        <v>0</v>
      </c>
      <c r="W100" s="270" t="str">
        <f t="shared" ref="W100:W103" si="43">IF($C100="","",IF(SUM(X100:Y100)=0,"N/A",IF(SUM(X100:Y100)&gt;1,X100/SUM(X100:Y100),IF(X100&gt;Y100,"ABOVE","BELOW"))))</f>
        <v>N/A</v>
      </c>
      <c r="X100" s="203">
        <f>IF($C100="","",SUMIFS(INP_DATA!S$5:S$3027,INP_DATA!$B$5:$B$3027,$C100,INP_DATA!$D$5:$D$3027,$E100))</f>
        <v>0</v>
      </c>
      <c r="Y100" s="204">
        <f>IF($C100="","",SUMIFS(INP_DATA!T$5:T$3027,INP_DATA!$B$5:$B$3027,$C100,INP_DATA!$D$5:$D$3027,$E100))</f>
        <v>0</v>
      </c>
    </row>
    <row r="101" spans="2:25" hidden="1" x14ac:dyDescent="0.35">
      <c r="B101" s="3"/>
      <c r="C101" s="160">
        <f>IFERROR(VLOOKUP(C100,KEY!$AE$19:$AI$58,5,FALSE),"")</f>
        <v>45689</v>
      </c>
      <c r="E101" s="3" t="str">
        <f t="shared" si="42"/>
        <v/>
      </c>
      <c r="F101" s="205">
        <f>IF($C101="","",SUMIFS(INP_PRODUCERS!$E$5:$E$2580,INP_PRODUCERS!$D$5:$D$2580,$E101,INP_PRODUCERS!$B$5:$B$2580,$C101))</f>
        <v>0</v>
      </c>
      <c r="G101" s="206">
        <f>IF($C101="","",SUMIFS(INP_PRODUCERS!$E$5:$E$2580,INP_PRODUCERS!$D$5:$D$2580,$E101,INP_PRODUCERS!$C$5:$C$2580,VLOOKUP($C101,KEY!$AE$19:$AH$60,3,FALSE)))</f>
        <v>0</v>
      </c>
      <c r="H101" s="207">
        <f>IF($C101="","",SUMIFS(INP_TRNGATT!$D$5:$D$1051,INP_TRNGATT!$C$5:$C$1051,$E101,INP_TRNGATT!$B$5:$B$1051,VLOOKUP($C101,KEY!$AE$19:$AH$60,3,FALSE)))</f>
        <v>0</v>
      </c>
      <c r="I101" s="208">
        <f>IF($C101="","",SUMIFS(INP_DATA!E$5:E$3027,INP_DATA!$B$5:$B$3027,$C101,INP_DATA!$D$5:$D$3027,$E101))</f>
        <v>0</v>
      </c>
      <c r="J101" s="99">
        <f>IF($C101="","",SUMIFS(INP_MYSSHP!$D$5:$D$2349,INP_MYSSHP!$C$5:$C$2349,$E101,INP_MYSSHP!$B$5:$B$2349,VLOOKUP($C101,KEY!$AE$19:$AH$60,3,FALSE)))</f>
        <v>0</v>
      </c>
      <c r="K101" s="169">
        <f>IF($C101="","",SUMIFS(INP_DATA!F$5:F$3027,INP_DATA!$B$5:$B$3027,$C101,INP_DATA!$D$5:$D$3027,$E101))</f>
        <v>0</v>
      </c>
      <c r="L101" s="169">
        <f>IF($C101="","",SUMIFS(INP_DATA!G$5:G$3027,INP_DATA!$B$5:$B$3027,$C101,INP_DATA!$D$5:$D$3027,$E101))</f>
        <v>0</v>
      </c>
      <c r="M101" s="100">
        <f>IF($C101="","",SUMIFS(INP_DATA!H$5:H$3027,INP_DATA!$B$5:$B$3027,$C101,INP_DATA!$D$5:$D$3027,$E101))</f>
        <v>0</v>
      </c>
      <c r="N101" s="100">
        <f>IF($C101="","",SUMIFS(INP_DATA!I$5:I$3027,INP_DATA!$B$5:$B$3027,$C101,INP_DATA!$D$5:$D$3027,$E101))</f>
        <v>0</v>
      </c>
      <c r="O101" s="100">
        <f>IF($C101="","",SUMIFS(INP_DATA!J$5:J$3027,INP_DATA!$B$5:$B$3027,$C101,INP_DATA!$D$5:$D$3027,$E101))</f>
        <v>0</v>
      </c>
      <c r="P101" s="100">
        <f>IF($C101="","",SUMIFS(INP_DATA!K$5:K$3027,INP_DATA!$B$5:$B$3027,$C101,INP_DATA!$D$5:$D$3027,$E101))</f>
        <v>0</v>
      </c>
      <c r="Q101" s="100">
        <f>IF($C101="","",SUMIFS(INP_DATA!L$5:L$3027,INP_DATA!$B$5:$B$3027,$C101,INP_DATA!$D$5:$D$3027,$E101))</f>
        <v>0</v>
      </c>
      <c r="R101" s="100">
        <f>IF($C101="","",SUMIFS(INP_DATA!M$5:M$3027,INP_DATA!$B$5:$B$3027,$C101,INP_DATA!$D$5:$D$3027,$E101))</f>
        <v>0</v>
      </c>
      <c r="S101" s="100">
        <f>IF($C101="","",SUMIFS(INP_DATA!N$5:N$3027,INP_DATA!$B$5:$B$3027,$C101,INP_DATA!$D$5:$D$3027,$E101))</f>
        <v>0</v>
      </c>
      <c r="T101" s="101">
        <f>IF($C101="","",SUMIFS(INP_DATA!O$5:O$3027,INP_DATA!$B$5:$B$3027,$C101,INP_DATA!$D$5:$D$3027,$E101))</f>
        <v>0</v>
      </c>
      <c r="U101" s="102">
        <f>IF($C101="","",SUMIFS(INP_DATA!P$5:P$3027,INP_DATA!$B$5:$B$3027,$C101,INP_DATA!$D$5:$D$3027,$E101))</f>
        <v>0</v>
      </c>
      <c r="V101" s="102">
        <f>IF($C101="","",SUMIFS(INP_DATA!Q$5:Q$3027,INP_DATA!$B$5:$B$3027,$C101,INP_DATA!$D$5:$D$3027,$E101))</f>
        <v>0</v>
      </c>
      <c r="W101" s="270" t="str">
        <f t="shared" si="43"/>
        <v>N/A</v>
      </c>
      <c r="X101" s="203">
        <f>IF($C101="","",SUMIFS(INP_DATA!S$5:S$3027,INP_DATA!$B$5:$B$3027,$C101,INP_DATA!$D$5:$D$3027,$E101))</f>
        <v>0</v>
      </c>
      <c r="Y101" s="204">
        <f>IF($C101="","",SUMIFS(INP_DATA!T$5:T$3027,INP_DATA!$B$5:$B$3027,$C101,INP_DATA!$D$5:$D$3027,$E101))</f>
        <v>0</v>
      </c>
    </row>
    <row r="102" spans="2:25" hidden="1" x14ac:dyDescent="0.35">
      <c r="B102" s="3"/>
      <c r="C102" s="160">
        <f>IFERROR(VLOOKUP(C101,KEY!$AE$19:$AI$58,5,FALSE),"")</f>
        <v>45658</v>
      </c>
      <c r="E102" s="3" t="str">
        <f t="shared" si="42"/>
        <v/>
      </c>
      <c r="F102" s="205">
        <f>IF($C102="","",SUMIFS(INP_PRODUCERS!$E$5:$E$2580,INP_PRODUCERS!$D$5:$D$2580,$E102,INP_PRODUCERS!$B$5:$B$2580,$C102))</f>
        <v>0</v>
      </c>
      <c r="G102" s="206">
        <f>IF($C102="","",SUMIFS(INP_PRODUCERS!$E$5:$E$2580,INP_PRODUCERS!$D$5:$D$2580,$E102,INP_PRODUCERS!$C$5:$C$2580,VLOOKUP($C102,KEY!$AE$19:$AH$60,3,FALSE)))</f>
        <v>0</v>
      </c>
      <c r="H102" s="207">
        <f>IF($C102="","",SUMIFS(INP_TRNGATT!$D$5:$D$1051,INP_TRNGATT!$C$5:$C$1051,$E102,INP_TRNGATT!$B$5:$B$1051,VLOOKUP($C102,KEY!$AE$19:$AH$60,3,FALSE)))</f>
        <v>0</v>
      </c>
      <c r="I102" s="208">
        <f>IF($C102="","",SUMIFS(INP_DATA!E$5:E$3027,INP_DATA!$B$5:$B$3027,$C102,INP_DATA!$D$5:$D$3027,$E102))</f>
        <v>0</v>
      </c>
      <c r="J102" s="99">
        <f>IF($C102="","",SUMIFS(INP_MYSSHP!$D$5:$D$2349,INP_MYSSHP!$C$5:$C$2349,$E102,INP_MYSSHP!$B$5:$B$2349,VLOOKUP($C102,KEY!$AE$19:$AH$60,3,FALSE)))</f>
        <v>0</v>
      </c>
      <c r="K102" s="169">
        <f>IF($C102="","",SUMIFS(INP_DATA!F$5:F$3027,INP_DATA!$B$5:$B$3027,$C102,INP_DATA!$D$5:$D$3027,$E102))</f>
        <v>0</v>
      </c>
      <c r="L102" s="169">
        <f>IF($C102="","",SUMIFS(INP_DATA!G$5:G$3027,INP_DATA!$B$5:$B$3027,$C102,INP_DATA!$D$5:$D$3027,$E102))</f>
        <v>0</v>
      </c>
      <c r="M102" s="100">
        <f>IF($C102="","",SUMIFS(INP_DATA!H$5:H$3027,INP_DATA!$B$5:$B$3027,$C102,INP_DATA!$D$5:$D$3027,$E102))</f>
        <v>0</v>
      </c>
      <c r="N102" s="100">
        <f>IF($C102="","",SUMIFS(INP_DATA!I$5:I$3027,INP_DATA!$B$5:$B$3027,$C102,INP_DATA!$D$5:$D$3027,$E102))</f>
        <v>0</v>
      </c>
      <c r="O102" s="100">
        <f>IF($C102="","",SUMIFS(INP_DATA!J$5:J$3027,INP_DATA!$B$5:$B$3027,$C102,INP_DATA!$D$5:$D$3027,$E102))</f>
        <v>0</v>
      </c>
      <c r="P102" s="100">
        <f>IF($C102="","",SUMIFS(INP_DATA!K$5:K$3027,INP_DATA!$B$5:$B$3027,$C102,INP_DATA!$D$5:$D$3027,$E102))</f>
        <v>0</v>
      </c>
      <c r="Q102" s="100">
        <f>IF($C102="","",SUMIFS(INP_DATA!L$5:L$3027,INP_DATA!$B$5:$B$3027,$C102,INP_DATA!$D$5:$D$3027,$E102))</f>
        <v>0</v>
      </c>
      <c r="R102" s="100">
        <f>IF($C102="","",SUMIFS(INP_DATA!M$5:M$3027,INP_DATA!$B$5:$B$3027,$C102,INP_DATA!$D$5:$D$3027,$E102))</f>
        <v>0</v>
      </c>
      <c r="S102" s="100">
        <f>IF($C102="","",SUMIFS(INP_DATA!N$5:N$3027,INP_DATA!$B$5:$B$3027,$C102,INP_DATA!$D$5:$D$3027,$E102))</f>
        <v>0</v>
      </c>
      <c r="T102" s="101">
        <f>IF($C102="","",SUMIFS(INP_DATA!O$5:O$3027,INP_DATA!$B$5:$B$3027,$C102,INP_DATA!$D$5:$D$3027,$E102))</f>
        <v>0</v>
      </c>
      <c r="U102" s="102">
        <f>IF($C102="","",SUMIFS(INP_DATA!P$5:P$3027,INP_DATA!$B$5:$B$3027,$C102,INP_DATA!$D$5:$D$3027,$E102))</f>
        <v>0</v>
      </c>
      <c r="V102" s="102">
        <f>IF($C102="","",SUMIFS(INP_DATA!Q$5:Q$3027,INP_DATA!$B$5:$B$3027,$C102,INP_DATA!$D$5:$D$3027,$E102))</f>
        <v>0</v>
      </c>
      <c r="W102" s="270" t="str">
        <f t="shared" si="43"/>
        <v>N/A</v>
      </c>
      <c r="X102" s="203">
        <f>IF($C102="","",SUMIFS(INP_DATA!S$5:S$3027,INP_DATA!$B$5:$B$3027,$C102,INP_DATA!$D$5:$D$3027,$E102))</f>
        <v>0</v>
      </c>
      <c r="Y102" s="204">
        <f>IF($C102="","",SUMIFS(INP_DATA!T$5:T$3027,INP_DATA!$B$5:$B$3027,$C102,INP_DATA!$D$5:$D$3027,$E102))</f>
        <v>0</v>
      </c>
    </row>
    <row r="103" spans="2:25" hidden="1" x14ac:dyDescent="0.35">
      <c r="B103" s="3"/>
      <c r="C103" s="160">
        <f>IFERROR(VLOOKUP(C102,KEY!$AE$19:$AI$58,5,FALSE),"")</f>
        <v>45627</v>
      </c>
      <c r="E103" s="3" t="str">
        <f t="shared" si="42"/>
        <v/>
      </c>
      <c r="F103" s="205">
        <f>IF($C103="","",SUMIFS(INP_PRODUCERS!$E$5:$E$2580,INP_PRODUCERS!$D$5:$D$2580,$E103,INP_PRODUCERS!$B$5:$B$2580,$C103))</f>
        <v>0</v>
      </c>
      <c r="G103" s="206">
        <f>IF($C103="","",SUMIFS(INP_PRODUCERS!$E$5:$E$2580,INP_PRODUCERS!$D$5:$D$2580,$E103,INP_PRODUCERS!$C$5:$C$2580,VLOOKUP($C103,KEY!$AE$19:$AH$60,3,FALSE)))</f>
        <v>0</v>
      </c>
      <c r="H103" s="207">
        <f>IF($C103="","",SUMIFS(INP_TRNGATT!$D$5:$D$1051,INP_TRNGATT!$C$5:$C$1051,$E103,INP_TRNGATT!$B$5:$B$1051,VLOOKUP($C103,KEY!$AE$19:$AH$60,3,FALSE)))</f>
        <v>0</v>
      </c>
      <c r="I103" s="208">
        <f>IF($C103="","",SUMIFS(INP_DATA!E$5:E$3027,INP_DATA!$B$5:$B$3027,$C103,INP_DATA!$D$5:$D$3027,$E103))</f>
        <v>0</v>
      </c>
      <c r="J103" s="99">
        <f>IF($C103="","",SUMIFS(INP_MYSSHP!$D$5:$D$2349,INP_MYSSHP!$C$5:$C$2349,$E103,INP_MYSSHP!$B$5:$B$2349,VLOOKUP($C103,KEY!$AE$19:$AH$60,3,FALSE)))</f>
        <v>0</v>
      </c>
      <c r="K103" s="169">
        <f>IF($C103="","",SUMIFS(INP_DATA!F$5:F$3027,INP_DATA!$B$5:$B$3027,$C103,INP_DATA!$D$5:$D$3027,$E103))</f>
        <v>0</v>
      </c>
      <c r="L103" s="169">
        <f>IF($C103="","",SUMIFS(INP_DATA!G$5:G$3027,INP_DATA!$B$5:$B$3027,$C103,INP_DATA!$D$5:$D$3027,$E103))</f>
        <v>0</v>
      </c>
      <c r="M103" s="100">
        <f>IF($C103="","",SUMIFS(INP_DATA!H$5:H$3027,INP_DATA!$B$5:$B$3027,$C103,INP_DATA!$D$5:$D$3027,$E103))</f>
        <v>0</v>
      </c>
      <c r="N103" s="100">
        <f>IF($C103="","",SUMIFS(INP_DATA!I$5:I$3027,INP_DATA!$B$5:$B$3027,$C103,INP_DATA!$D$5:$D$3027,$E103))</f>
        <v>0</v>
      </c>
      <c r="O103" s="100">
        <f>IF($C103="","",SUMIFS(INP_DATA!J$5:J$3027,INP_DATA!$B$5:$B$3027,$C103,INP_DATA!$D$5:$D$3027,$E103))</f>
        <v>0</v>
      </c>
      <c r="P103" s="100">
        <f>IF($C103="","",SUMIFS(INP_DATA!K$5:K$3027,INP_DATA!$B$5:$B$3027,$C103,INP_DATA!$D$5:$D$3027,$E103))</f>
        <v>0</v>
      </c>
      <c r="Q103" s="100">
        <f>IF($C103="","",SUMIFS(INP_DATA!L$5:L$3027,INP_DATA!$B$5:$B$3027,$C103,INP_DATA!$D$5:$D$3027,$E103))</f>
        <v>0</v>
      </c>
      <c r="R103" s="100">
        <f>IF($C103="","",SUMIFS(INP_DATA!M$5:M$3027,INP_DATA!$B$5:$B$3027,$C103,INP_DATA!$D$5:$D$3027,$E103))</f>
        <v>0</v>
      </c>
      <c r="S103" s="100">
        <f>IF($C103="","",SUMIFS(INP_DATA!N$5:N$3027,INP_DATA!$B$5:$B$3027,$C103,INP_DATA!$D$5:$D$3027,$E103))</f>
        <v>0</v>
      </c>
      <c r="T103" s="101">
        <f>IF($C103="","",SUMIFS(INP_DATA!O$5:O$3027,INP_DATA!$B$5:$B$3027,$C103,INP_DATA!$D$5:$D$3027,$E103))</f>
        <v>0</v>
      </c>
      <c r="U103" s="102">
        <f>IF($C103="","",SUMIFS(INP_DATA!P$5:P$3027,INP_DATA!$B$5:$B$3027,$C103,INP_DATA!$D$5:$D$3027,$E103))</f>
        <v>0</v>
      </c>
      <c r="V103" s="102">
        <f>IF($C103="","",SUMIFS(INP_DATA!Q$5:Q$3027,INP_DATA!$B$5:$B$3027,$C103,INP_DATA!$D$5:$D$3027,$E103))</f>
        <v>0</v>
      </c>
      <c r="W103" s="270" t="str">
        <f t="shared" si="43"/>
        <v>N/A</v>
      </c>
      <c r="X103" s="203">
        <f>IF($C103="","",SUMIFS(INP_DATA!S$5:S$3027,INP_DATA!$B$5:$B$3027,$C103,INP_DATA!$D$5:$D$3027,$E103))</f>
        <v>0</v>
      </c>
      <c r="Y103" s="204">
        <f>IF($C103="","",SUMIFS(INP_DATA!T$5:T$3027,INP_DATA!$B$5:$B$3027,$C103,INP_DATA!$D$5:$D$3027,$E103))</f>
        <v>0</v>
      </c>
    </row>
    <row r="104" spans="2:25" hidden="1" x14ac:dyDescent="0.35">
      <c r="B104" s="257"/>
      <c r="C104" s="238">
        <f>TREND!E104</f>
        <v>45778</v>
      </c>
      <c r="D104" s="258"/>
      <c r="E104" s="257" t="str">
        <f>TREND!E103</f>
        <v/>
      </c>
      <c r="F104" s="259">
        <f>IF($C104="","",SUMIFS(INP_PRODUCERS!$E$5:$E$2580,INP_PRODUCERS!$D$5:$D$2580,$E104,INP_PRODUCERS!$B$5:$B$2580,$C104))</f>
        <v>0</v>
      </c>
      <c r="G104" s="260">
        <f>IF($C104="","",SUMIFS(INP_PRODUCERS!$E$5:$E$2580,INP_PRODUCERS!$D$5:$D$2580,$E104,INP_PRODUCERS!$C$5:$C$2580,VLOOKUP($C104,KEY!$AE$19:$AH$60,3,FALSE)))</f>
        <v>0</v>
      </c>
      <c r="H104" s="401">
        <f>IF($C104="","",SUMIFS(INP_TRNGATT!$D$5:$D$1051,INP_TRNGATT!$C$5:$C$1051,$E104,INP_TRNGATT!$B$5:$B$1051,VLOOKUP($C104,KEY!$AE$19:$AH$60,3,FALSE)))</f>
        <v>0</v>
      </c>
      <c r="I104" s="261">
        <f>IF($C104="","",SUMIFS(INP_DATA!E$5:E$3027,INP_DATA!$B$5:$B$3027,$C104,INP_DATA!$D$5:$D$3027,$E104))</f>
        <v>0</v>
      </c>
      <c r="J104" s="262">
        <f>IF($C104="","",SUMIFS(INP_MYSSHP!$D$5:$D$2349,INP_MYSSHP!$C$5:$C$2349,$E104,INP_MYSSHP!$B$5:$B$2349,VLOOKUP($C104,KEY!$AE$19:$AH$60,3,FALSE)))</f>
        <v>0</v>
      </c>
      <c r="K104" s="263">
        <f>IF($C104="","",SUMIFS(INP_DATA!F$5:F$3027,INP_DATA!$B$5:$B$3027,$C104,INP_DATA!$D$5:$D$3027,$E104))</f>
        <v>0</v>
      </c>
      <c r="L104" s="263">
        <f>IF($C104="","",SUMIFS(INP_DATA!G$5:G$3027,INP_DATA!$B$5:$B$3027,$C104,INP_DATA!$D$5:$D$3027,$E104))</f>
        <v>0</v>
      </c>
      <c r="M104" s="264">
        <f>IF($C104="","",SUMIFS(INP_DATA!H$5:H$3027,INP_DATA!$B$5:$B$3027,$C104,INP_DATA!$D$5:$D$3027,$E104))</f>
        <v>0</v>
      </c>
      <c r="N104" s="264">
        <f>IF($C104="","",SUMIFS(INP_DATA!I$5:I$3027,INP_DATA!$B$5:$B$3027,$C104,INP_DATA!$D$5:$D$3027,$E104))</f>
        <v>0</v>
      </c>
      <c r="O104" s="264">
        <f>IF($C104="","",SUMIFS(INP_DATA!J$5:J$3027,INP_DATA!$B$5:$B$3027,$C104,INP_DATA!$D$5:$D$3027,$E104))</f>
        <v>0</v>
      </c>
      <c r="P104" s="264">
        <f>IF($C104="","",SUMIFS(INP_DATA!K$5:K$3027,INP_DATA!$B$5:$B$3027,$C104,INP_DATA!$D$5:$D$3027,$E104))</f>
        <v>0</v>
      </c>
      <c r="Q104" s="264">
        <f>IF($C104="","",SUMIFS(INP_DATA!L$5:L$3027,INP_DATA!$B$5:$B$3027,$C104,INP_DATA!$D$5:$D$3027,$E104))</f>
        <v>0</v>
      </c>
      <c r="R104" s="264">
        <f>IF($C104="","",SUMIFS(INP_DATA!M$5:M$3027,INP_DATA!$B$5:$B$3027,$C104,INP_DATA!$D$5:$D$3027,$E104))</f>
        <v>0</v>
      </c>
      <c r="S104" s="264">
        <f>IF($C104="","",SUMIFS(INP_DATA!N$5:N$3027,INP_DATA!$B$5:$B$3027,$C104,INP_DATA!$D$5:$D$3027,$E104))</f>
        <v>0</v>
      </c>
      <c r="T104" s="265">
        <f>IF($C104="","",SUMIFS(INP_DATA!O$5:O$3027,INP_DATA!$B$5:$B$3027,$C104,INP_DATA!$D$5:$D$3027,$E104))</f>
        <v>0</v>
      </c>
      <c r="U104" s="266">
        <f>IF($C104="","",SUMIFS(INP_DATA!P$5:P$3027,INP_DATA!$B$5:$B$3027,$C104,INP_DATA!$D$5:$D$3027,$E104))</f>
        <v>0</v>
      </c>
      <c r="V104" s="266">
        <f>IF($C104="","",SUMIFS(INP_DATA!Q$5:Q$3027,INP_DATA!$B$5:$B$3027,$C104,INP_DATA!$D$5:$D$3027,$E104))</f>
        <v>0</v>
      </c>
      <c r="W104" s="267" t="str">
        <f>IF($C104="","",IF(SUM(X104:Y104)=0,"N/A",IF(SUM(X104:Y104)&gt;1,X104/SUM(X104:Y104),IF(X104&gt;Y104,"ABOVE","BELOW"))))</f>
        <v>N/A</v>
      </c>
      <c r="X104" s="268">
        <f>IF($C104="","",SUMIFS(INP_DATA!S$5:S$3027,INP_DATA!$B$5:$B$3027,$C104,INP_DATA!$D$5:$D$3027,$E104))</f>
        <v>0</v>
      </c>
      <c r="Y104" s="269">
        <f>IF($C104="","",SUMIFS(INP_DATA!T$5:T$3027,INP_DATA!$B$5:$B$3027,$C104,INP_DATA!$D$5:$D$3027,$E104))</f>
        <v>0</v>
      </c>
    </row>
    <row r="105" spans="2:25" hidden="1" x14ac:dyDescent="0.35">
      <c r="B105" s="3"/>
      <c r="C105" s="160">
        <f>IFERROR(VLOOKUP(C104,KEY!$AE$19:$AI$58,5,FALSE),"")</f>
        <v>45748</v>
      </c>
      <c r="E105" s="3" t="str">
        <f>E104</f>
        <v/>
      </c>
      <c r="F105" s="205">
        <f>IF($C105="","",SUMIFS(INP_PRODUCERS!$E$5:$E$2580,INP_PRODUCERS!$D$5:$D$2580,$E105,INP_PRODUCERS!$B$5:$B$2580,$C105))</f>
        <v>0</v>
      </c>
      <c r="G105" s="206">
        <f>IF($C105="","",SUMIFS(INP_PRODUCERS!$E$5:$E$2580,INP_PRODUCERS!$D$5:$D$2580,$E105,INP_PRODUCERS!$C$5:$C$2580,VLOOKUP($C105,KEY!$AE$19:$AH$60,3,FALSE)))</f>
        <v>0</v>
      </c>
      <c r="H105" s="207">
        <f>IF($C105="","",SUMIFS(INP_TRNGATT!$D$5:$D$1051,INP_TRNGATT!$C$5:$C$1051,$E105,INP_TRNGATT!$B$5:$B$1051,VLOOKUP($C105,KEY!$AE$19:$AH$60,3,FALSE)))</f>
        <v>0</v>
      </c>
      <c r="I105" s="208">
        <f>IF($C105="","",SUMIFS(INP_DATA!E$5:E$3027,INP_DATA!$B$5:$B$3027,$C105,INP_DATA!$D$5:$D$3027,$E105))</f>
        <v>0</v>
      </c>
      <c r="J105" s="99">
        <f>IF($C105="","",SUMIFS(INP_MYSSHP!$D$5:$D$2349,INP_MYSSHP!$C$5:$C$2349,$E105,INP_MYSSHP!$B$5:$B$2349,VLOOKUP($C105,KEY!$AE$19:$AH$60,3,FALSE)))</f>
        <v>0</v>
      </c>
      <c r="K105" s="169">
        <f>IF($C105="","",SUMIFS(INP_DATA!F$5:F$3027,INP_DATA!$B$5:$B$3027,$C105,INP_DATA!$D$5:$D$3027,$E105))</f>
        <v>0</v>
      </c>
      <c r="L105" s="169">
        <f>IF($C105="","",SUMIFS(INP_DATA!G$5:G$3027,INP_DATA!$B$5:$B$3027,$C105,INP_DATA!$D$5:$D$3027,$E105))</f>
        <v>0</v>
      </c>
      <c r="M105" s="100">
        <f>IF($C105="","",SUMIFS(INP_DATA!H$5:H$3027,INP_DATA!$B$5:$B$3027,$C105,INP_DATA!$D$5:$D$3027,$E105))</f>
        <v>0</v>
      </c>
      <c r="N105" s="100">
        <f>IF($C105="","",SUMIFS(INP_DATA!I$5:I$3027,INP_DATA!$B$5:$B$3027,$C105,INP_DATA!$D$5:$D$3027,$E105))</f>
        <v>0</v>
      </c>
      <c r="O105" s="100">
        <f>IF($C105="","",SUMIFS(INP_DATA!J$5:J$3027,INP_DATA!$B$5:$B$3027,$C105,INP_DATA!$D$5:$D$3027,$E105))</f>
        <v>0</v>
      </c>
      <c r="P105" s="100">
        <f>IF($C105="","",SUMIFS(INP_DATA!K$5:K$3027,INP_DATA!$B$5:$B$3027,$C105,INP_DATA!$D$5:$D$3027,$E105))</f>
        <v>0</v>
      </c>
      <c r="Q105" s="100">
        <f>IF($C105="","",SUMIFS(INP_DATA!L$5:L$3027,INP_DATA!$B$5:$B$3027,$C105,INP_DATA!$D$5:$D$3027,$E105))</f>
        <v>0</v>
      </c>
      <c r="R105" s="100">
        <f>IF($C105="","",SUMIFS(INP_DATA!M$5:M$3027,INP_DATA!$B$5:$B$3027,$C105,INP_DATA!$D$5:$D$3027,$E105))</f>
        <v>0</v>
      </c>
      <c r="S105" s="100">
        <f>IF($C105="","",SUMIFS(INP_DATA!N$5:N$3027,INP_DATA!$B$5:$B$3027,$C105,INP_DATA!$D$5:$D$3027,$E105))</f>
        <v>0</v>
      </c>
      <c r="T105" s="101">
        <f>IF($C105="","",SUMIFS(INP_DATA!O$5:O$3027,INP_DATA!$B$5:$B$3027,$C105,INP_DATA!$D$5:$D$3027,$E105))</f>
        <v>0</v>
      </c>
      <c r="U105" s="102">
        <f>IF($C105="","",SUMIFS(INP_DATA!P$5:P$3027,INP_DATA!$B$5:$B$3027,$C105,INP_DATA!$D$5:$D$3027,$E105))</f>
        <v>0</v>
      </c>
      <c r="V105" s="102">
        <f>IF($C105="","",SUMIFS(INP_DATA!Q$5:Q$3027,INP_DATA!$B$5:$B$3027,$C105,INP_DATA!$D$5:$D$3027,$E105))</f>
        <v>0</v>
      </c>
      <c r="W105" s="270" t="str">
        <f>IF($C105="","",IF(SUM(X105:Y105)=0,"N/A",IF(SUM(X105:Y105)&gt;1,X105/SUM(X105:Y105),IF(X105&gt;Y105,"ABOVE","BELOW"))))</f>
        <v>N/A</v>
      </c>
      <c r="X105" s="203">
        <f>IF($C105="","",SUMIFS(INP_DATA!S$5:S$3027,INP_DATA!$B$5:$B$3027,$C105,INP_DATA!$D$5:$D$3027,$E105))</f>
        <v>0</v>
      </c>
      <c r="Y105" s="204">
        <f>IF($C105="","",SUMIFS(INP_DATA!T$5:T$3027,INP_DATA!$B$5:$B$3027,$C105,INP_DATA!$D$5:$D$3027,$E105))</f>
        <v>0</v>
      </c>
    </row>
    <row r="106" spans="2:25" hidden="1" x14ac:dyDescent="0.35">
      <c r="B106" s="3"/>
      <c r="C106" s="160">
        <f>IFERROR(VLOOKUP(C105,KEY!$AE$19:$AI$58,5,FALSE),"")</f>
        <v>45717</v>
      </c>
      <c r="E106" s="3" t="str">
        <f t="shared" ref="E106:E109" si="44">E105</f>
        <v/>
      </c>
      <c r="F106" s="205">
        <f>IF($C106="","",SUMIFS(INP_PRODUCERS!$E$5:$E$2580,INP_PRODUCERS!$D$5:$D$2580,$E106,INP_PRODUCERS!$B$5:$B$2580,$C106))</f>
        <v>0</v>
      </c>
      <c r="G106" s="206">
        <f>IF($C106="","",SUMIFS(INP_PRODUCERS!$E$5:$E$2580,INP_PRODUCERS!$D$5:$D$2580,$E106,INP_PRODUCERS!$C$5:$C$2580,VLOOKUP($C106,KEY!$AE$19:$AH$60,3,FALSE)))</f>
        <v>0</v>
      </c>
      <c r="H106" s="207">
        <f>IF($C106="","",SUMIFS(INP_TRNGATT!$D$5:$D$1051,INP_TRNGATT!$C$5:$C$1051,$E106,INP_TRNGATT!$B$5:$B$1051,VLOOKUP($C106,KEY!$AE$19:$AH$60,3,FALSE)))</f>
        <v>0</v>
      </c>
      <c r="I106" s="208">
        <f>IF($C106="","",SUMIFS(INP_DATA!E$5:E$3027,INP_DATA!$B$5:$B$3027,$C106,INP_DATA!$D$5:$D$3027,$E106))</f>
        <v>0</v>
      </c>
      <c r="J106" s="99">
        <f>IF($C106="","",SUMIFS(INP_MYSSHP!$D$5:$D$2349,INP_MYSSHP!$C$5:$C$2349,$E106,INP_MYSSHP!$B$5:$B$2349,VLOOKUP($C106,KEY!$AE$19:$AH$60,3,FALSE)))</f>
        <v>0</v>
      </c>
      <c r="K106" s="169">
        <f>IF($C106="","",SUMIFS(INP_DATA!F$5:F$3027,INP_DATA!$B$5:$B$3027,$C106,INP_DATA!$D$5:$D$3027,$E106))</f>
        <v>0</v>
      </c>
      <c r="L106" s="169">
        <f>IF($C106="","",SUMIFS(INP_DATA!G$5:G$3027,INP_DATA!$B$5:$B$3027,$C106,INP_DATA!$D$5:$D$3027,$E106))</f>
        <v>0</v>
      </c>
      <c r="M106" s="100">
        <f>IF($C106="","",SUMIFS(INP_DATA!H$5:H$3027,INP_DATA!$B$5:$B$3027,$C106,INP_DATA!$D$5:$D$3027,$E106))</f>
        <v>0</v>
      </c>
      <c r="N106" s="100">
        <f>IF($C106="","",SUMIFS(INP_DATA!I$5:I$3027,INP_DATA!$B$5:$B$3027,$C106,INP_DATA!$D$5:$D$3027,$E106))</f>
        <v>0</v>
      </c>
      <c r="O106" s="100">
        <f>IF($C106="","",SUMIFS(INP_DATA!J$5:J$3027,INP_DATA!$B$5:$B$3027,$C106,INP_DATA!$D$5:$D$3027,$E106))</f>
        <v>0</v>
      </c>
      <c r="P106" s="100">
        <f>IF($C106="","",SUMIFS(INP_DATA!K$5:K$3027,INP_DATA!$B$5:$B$3027,$C106,INP_DATA!$D$5:$D$3027,$E106))</f>
        <v>0</v>
      </c>
      <c r="Q106" s="100">
        <f>IF($C106="","",SUMIFS(INP_DATA!L$5:L$3027,INP_DATA!$B$5:$B$3027,$C106,INP_DATA!$D$5:$D$3027,$E106))</f>
        <v>0</v>
      </c>
      <c r="R106" s="100">
        <f>IF($C106="","",SUMIFS(INP_DATA!M$5:M$3027,INP_DATA!$B$5:$B$3027,$C106,INP_DATA!$D$5:$D$3027,$E106))</f>
        <v>0</v>
      </c>
      <c r="S106" s="100">
        <f>IF($C106="","",SUMIFS(INP_DATA!N$5:N$3027,INP_DATA!$B$5:$B$3027,$C106,INP_DATA!$D$5:$D$3027,$E106))</f>
        <v>0</v>
      </c>
      <c r="T106" s="101">
        <f>IF($C106="","",SUMIFS(INP_DATA!O$5:O$3027,INP_DATA!$B$5:$B$3027,$C106,INP_DATA!$D$5:$D$3027,$E106))</f>
        <v>0</v>
      </c>
      <c r="U106" s="102">
        <f>IF($C106="","",SUMIFS(INP_DATA!P$5:P$3027,INP_DATA!$B$5:$B$3027,$C106,INP_DATA!$D$5:$D$3027,$E106))</f>
        <v>0</v>
      </c>
      <c r="V106" s="102">
        <f>IF($C106="","",SUMIFS(INP_DATA!Q$5:Q$3027,INP_DATA!$B$5:$B$3027,$C106,INP_DATA!$D$5:$D$3027,$E106))</f>
        <v>0</v>
      </c>
      <c r="W106" s="270" t="str">
        <f t="shared" ref="W106:W109" si="45">IF($C106="","",IF(SUM(X106:Y106)=0,"N/A",IF(SUM(X106:Y106)&gt;1,X106/SUM(X106:Y106),IF(X106&gt;Y106,"ABOVE","BELOW"))))</f>
        <v>N/A</v>
      </c>
      <c r="X106" s="203">
        <f>IF($C106="","",SUMIFS(INP_DATA!S$5:S$3027,INP_DATA!$B$5:$B$3027,$C106,INP_DATA!$D$5:$D$3027,$E106))</f>
        <v>0</v>
      </c>
      <c r="Y106" s="204">
        <f>IF($C106="","",SUMIFS(INP_DATA!T$5:T$3027,INP_DATA!$B$5:$B$3027,$C106,INP_DATA!$D$5:$D$3027,$E106))</f>
        <v>0</v>
      </c>
    </row>
    <row r="107" spans="2:25" hidden="1" x14ac:dyDescent="0.35">
      <c r="B107" s="3"/>
      <c r="C107" s="160">
        <f>IFERROR(VLOOKUP(C106,KEY!$AE$19:$AI$58,5,FALSE),"")</f>
        <v>45689</v>
      </c>
      <c r="E107" s="3" t="str">
        <f t="shared" si="44"/>
        <v/>
      </c>
      <c r="F107" s="205">
        <f>IF($C107="","",SUMIFS(INP_PRODUCERS!$E$5:$E$2580,INP_PRODUCERS!$D$5:$D$2580,$E107,INP_PRODUCERS!$B$5:$B$2580,$C107))</f>
        <v>0</v>
      </c>
      <c r="G107" s="206">
        <f>IF($C107="","",SUMIFS(INP_PRODUCERS!$E$5:$E$2580,INP_PRODUCERS!$D$5:$D$2580,$E107,INP_PRODUCERS!$C$5:$C$2580,VLOOKUP($C107,KEY!$AE$19:$AH$60,3,FALSE)))</f>
        <v>0</v>
      </c>
      <c r="H107" s="207">
        <f>IF($C107="","",SUMIFS(INP_TRNGATT!$D$5:$D$1051,INP_TRNGATT!$C$5:$C$1051,$E107,INP_TRNGATT!$B$5:$B$1051,VLOOKUP($C107,KEY!$AE$19:$AH$60,3,FALSE)))</f>
        <v>0</v>
      </c>
      <c r="I107" s="208">
        <f>IF($C107="","",SUMIFS(INP_DATA!E$5:E$3027,INP_DATA!$B$5:$B$3027,$C107,INP_DATA!$D$5:$D$3027,$E107))</f>
        <v>0</v>
      </c>
      <c r="J107" s="99">
        <f>IF($C107="","",SUMIFS(INP_MYSSHP!$D$5:$D$2349,INP_MYSSHP!$C$5:$C$2349,$E107,INP_MYSSHP!$B$5:$B$2349,VLOOKUP($C107,KEY!$AE$19:$AH$60,3,FALSE)))</f>
        <v>0</v>
      </c>
      <c r="K107" s="169">
        <f>IF($C107="","",SUMIFS(INP_DATA!F$5:F$3027,INP_DATA!$B$5:$B$3027,$C107,INP_DATA!$D$5:$D$3027,$E107))</f>
        <v>0</v>
      </c>
      <c r="L107" s="169">
        <f>IF($C107="","",SUMIFS(INP_DATA!G$5:G$3027,INP_DATA!$B$5:$B$3027,$C107,INP_DATA!$D$5:$D$3027,$E107))</f>
        <v>0</v>
      </c>
      <c r="M107" s="100">
        <f>IF($C107="","",SUMIFS(INP_DATA!H$5:H$3027,INP_DATA!$B$5:$B$3027,$C107,INP_DATA!$D$5:$D$3027,$E107))</f>
        <v>0</v>
      </c>
      <c r="N107" s="100">
        <f>IF($C107="","",SUMIFS(INP_DATA!I$5:I$3027,INP_DATA!$B$5:$B$3027,$C107,INP_DATA!$D$5:$D$3027,$E107))</f>
        <v>0</v>
      </c>
      <c r="O107" s="100">
        <f>IF($C107="","",SUMIFS(INP_DATA!J$5:J$3027,INP_DATA!$B$5:$B$3027,$C107,INP_DATA!$D$5:$D$3027,$E107))</f>
        <v>0</v>
      </c>
      <c r="P107" s="100">
        <f>IF($C107="","",SUMIFS(INP_DATA!K$5:K$3027,INP_DATA!$B$5:$B$3027,$C107,INP_DATA!$D$5:$D$3027,$E107))</f>
        <v>0</v>
      </c>
      <c r="Q107" s="100">
        <f>IF($C107="","",SUMIFS(INP_DATA!L$5:L$3027,INP_DATA!$B$5:$B$3027,$C107,INP_DATA!$D$5:$D$3027,$E107))</f>
        <v>0</v>
      </c>
      <c r="R107" s="100">
        <f>IF($C107="","",SUMIFS(INP_DATA!M$5:M$3027,INP_DATA!$B$5:$B$3027,$C107,INP_DATA!$D$5:$D$3027,$E107))</f>
        <v>0</v>
      </c>
      <c r="S107" s="100">
        <f>IF($C107="","",SUMIFS(INP_DATA!N$5:N$3027,INP_DATA!$B$5:$B$3027,$C107,INP_DATA!$D$5:$D$3027,$E107))</f>
        <v>0</v>
      </c>
      <c r="T107" s="101">
        <f>IF($C107="","",SUMIFS(INP_DATA!O$5:O$3027,INP_DATA!$B$5:$B$3027,$C107,INP_DATA!$D$5:$D$3027,$E107))</f>
        <v>0</v>
      </c>
      <c r="U107" s="102">
        <f>IF($C107="","",SUMIFS(INP_DATA!P$5:P$3027,INP_DATA!$B$5:$B$3027,$C107,INP_DATA!$D$5:$D$3027,$E107))</f>
        <v>0</v>
      </c>
      <c r="V107" s="102">
        <f>IF($C107="","",SUMIFS(INP_DATA!Q$5:Q$3027,INP_DATA!$B$5:$B$3027,$C107,INP_DATA!$D$5:$D$3027,$E107))</f>
        <v>0</v>
      </c>
      <c r="W107" s="270" t="str">
        <f t="shared" si="45"/>
        <v>N/A</v>
      </c>
      <c r="X107" s="203">
        <f>IF($C107="","",SUMIFS(INP_DATA!S$5:S$3027,INP_DATA!$B$5:$B$3027,$C107,INP_DATA!$D$5:$D$3027,$E107))</f>
        <v>0</v>
      </c>
      <c r="Y107" s="204">
        <f>IF($C107="","",SUMIFS(INP_DATA!T$5:T$3027,INP_DATA!$B$5:$B$3027,$C107,INP_DATA!$D$5:$D$3027,$E107))</f>
        <v>0</v>
      </c>
    </row>
    <row r="108" spans="2:25" hidden="1" x14ac:dyDescent="0.35">
      <c r="B108" s="3"/>
      <c r="C108" s="160">
        <f>IFERROR(VLOOKUP(C107,KEY!$AE$19:$AI$58,5,FALSE),"")</f>
        <v>45658</v>
      </c>
      <c r="E108" s="3" t="str">
        <f t="shared" si="44"/>
        <v/>
      </c>
      <c r="F108" s="205">
        <f>IF($C108="","",SUMIFS(INP_PRODUCERS!$E$5:$E$2580,INP_PRODUCERS!$D$5:$D$2580,$E108,INP_PRODUCERS!$B$5:$B$2580,$C108))</f>
        <v>0</v>
      </c>
      <c r="G108" s="206">
        <f>IF($C108="","",SUMIFS(INP_PRODUCERS!$E$5:$E$2580,INP_PRODUCERS!$D$5:$D$2580,$E108,INP_PRODUCERS!$C$5:$C$2580,VLOOKUP($C108,KEY!$AE$19:$AH$60,3,FALSE)))</f>
        <v>0</v>
      </c>
      <c r="H108" s="207">
        <f>IF($C108="","",SUMIFS(INP_TRNGATT!$D$5:$D$1051,INP_TRNGATT!$C$5:$C$1051,$E108,INP_TRNGATT!$B$5:$B$1051,VLOOKUP($C108,KEY!$AE$19:$AH$60,3,FALSE)))</f>
        <v>0</v>
      </c>
      <c r="I108" s="208">
        <f>IF($C108="","",SUMIFS(INP_DATA!E$5:E$3027,INP_DATA!$B$5:$B$3027,$C108,INP_DATA!$D$5:$D$3027,$E108))</f>
        <v>0</v>
      </c>
      <c r="J108" s="99">
        <f>IF($C108="","",SUMIFS(INP_MYSSHP!$D$5:$D$2349,INP_MYSSHP!$C$5:$C$2349,$E108,INP_MYSSHP!$B$5:$B$2349,VLOOKUP($C108,KEY!$AE$19:$AH$60,3,FALSE)))</f>
        <v>0</v>
      </c>
      <c r="K108" s="169">
        <f>IF($C108="","",SUMIFS(INP_DATA!F$5:F$3027,INP_DATA!$B$5:$B$3027,$C108,INP_DATA!$D$5:$D$3027,$E108))</f>
        <v>0</v>
      </c>
      <c r="L108" s="169">
        <f>IF($C108="","",SUMIFS(INP_DATA!G$5:G$3027,INP_DATA!$B$5:$B$3027,$C108,INP_DATA!$D$5:$D$3027,$E108))</f>
        <v>0</v>
      </c>
      <c r="M108" s="100">
        <f>IF($C108="","",SUMIFS(INP_DATA!H$5:H$3027,INP_DATA!$B$5:$B$3027,$C108,INP_DATA!$D$5:$D$3027,$E108))</f>
        <v>0</v>
      </c>
      <c r="N108" s="100">
        <f>IF($C108="","",SUMIFS(INP_DATA!I$5:I$3027,INP_DATA!$B$5:$B$3027,$C108,INP_DATA!$D$5:$D$3027,$E108))</f>
        <v>0</v>
      </c>
      <c r="O108" s="100">
        <f>IF($C108="","",SUMIFS(INP_DATA!J$5:J$3027,INP_DATA!$B$5:$B$3027,$C108,INP_DATA!$D$5:$D$3027,$E108))</f>
        <v>0</v>
      </c>
      <c r="P108" s="100">
        <f>IF($C108="","",SUMIFS(INP_DATA!K$5:K$3027,INP_DATA!$B$5:$B$3027,$C108,INP_DATA!$D$5:$D$3027,$E108))</f>
        <v>0</v>
      </c>
      <c r="Q108" s="100">
        <f>IF($C108="","",SUMIFS(INP_DATA!L$5:L$3027,INP_DATA!$B$5:$B$3027,$C108,INP_DATA!$D$5:$D$3027,$E108))</f>
        <v>0</v>
      </c>
      <c r="R108" s="100">
        <f>IF($C108="","",SUMIFS(INP_DATA!M$5:M$3027,INP_DATA!$B$5:$B$3027,$C108,INP_DATA!$D$5:$D$3027,$E108))</f>
        <v>0</v>
      </c>
      <c r="S108" s="100">
        <f>IF($C108="","",SUMIFS(INP_DATA!N$5:N$3027,INP_DATA!$B$5:$B$3027,$C108,INP_DATA!$D$5:$D$3027,$E108))</f>
        <v>0</v>
      </c>
      <c r="T108" s="101">
        <f>IF($C108="","",SUMIFS(INP_DATA!O$5:O$3027,INP_DATA!$B$5:$B$3027,$C108,INP_DATA!$D$5:$D$3027,$E108))</f>
        <v>0</v>
      </c>
      <c r="U108" s="102">
        <f>IF($C108="","",SUMIFS(INP_DATA!P$5:P$3027,INP_DATA!$B$5:$B$3027,$C108,INP_DATA!$D$5:$D$3027,$E108))</f>
        <v>0</v>
      </c>
      <c r="V108" s="102">
        <f>IF($C108="","",SUMIFS(INP_DATA!Q$5:Q$3027,INP_DATA!$B$5:$B$3027,$C108,INP_DATA!$D$5:$D$3027,$E108))</f>
        <v>0</v>
      </c>
      <c r="W108" s="270" t="str">
        <f t="shared" si="45"/>
        <v>N/A</v>
      </c>
      <c r="X108" s="203">
        <f>IF($C108="","",SUMIFS(INP_DATA!S$5:S$3027,INP_DATA!$B$5:$B$3027,$C108,INP_DATA!$D$5:$D$3027,$E108))</f>
        <v>0</v>
      </c>
      <c r="Y108" s="204">
        <f>IF($C108="","",SUMIFS(INP_DATA!T$5:T$3027,INP_DATA!$B$5:$B$3027,$C108,INP_DATA!$D$5:$D$3027,$E108))</f>
        <v>0</v>
      </c>
    </row>
    <row r="109" spans="2:25" hidden="1" x14ac:dyDescent="0.35">
      <c r="B109" s="3"/>
      <c r="C109" s="160">
        <f>IFERROR(VLOOKUP(C108,KEY!$AE$19:$AI$58,5,FALSE),"")</f>
        <v>45627</v>
      </c>
      <c r="E109" s="3" t="str">
        <f t="shared" si="44"/>
        <v/>
      </c>
      <c r="F109" s="205">
        <f>IF($C109="","",SUMIFS(INP_PRODUCERS!$E$5:$E$2580,INP_PRODUCERS!$D$5:$D$2580,$E109,INP_PRODUCERS!$B$5:$B$2580,$C109))</f>
        <v>0</v>
      </c>
      <c r="G109" s="206">
        <f>IF($C109="","",SUMIFS(INP_PRODUCERS!$E$5:$E$2580,INP_PRODUCERS!$D$5:$D$2580,$E109,INP_PRODUCERS!$C$5:$C$2580,VLOOKUP($C109,KEY!$AE$19:$AH$60,3,FALSE)))</f>
        <v>0</v>
      </c>
      <c r="H109" s="207">
        <f>IF($C109="","",SUMIFS(INP_TRNGATT!$D$5:$D$1051,INP_TRNGATT!$C$5:$C$1051,$E109,INP_TRNGATT!$B$5:$B$1051,VLOOKUP($C109,KEY!$AE$19:$AH$60,3,FALSE)))</f>
        <v>0</v>
      </c>
      <c r="I109" s="208">
        <f>IF($C109="","",SUMIFS(INP_DATA!E$5:E$3027,INP_DATA!$B$5:$B$3027,$C109,INP_DATA!$D$5:$D$3027,$E109))</f>
        <v>0</v>
      </c>
      <c r="J109" s="99">
        <f>IF($C109="","",SUMIFS(INP_MYSSHP!$D$5:$D$2349,INP_MYSSHP!$C$5:$C$2349,$E109,INP_MYSSHP!$B$5:$B$2349,VLOOKUP($C109,KEY!$AE$19:$AH$60,3,FALSE)))</f>
        <v>0</v>
      </c>
      <c r="K109" s="169">
        <f>IF($C109="","",SUMIFS(INP_DATA!F$5:F$3027,INP_DATA!$B$5:$B$3027,$C109,INP_DATA!$D$5:$D$3027,$E109))</f>
        <v>0</v>
      </c>
      <c r="L109" s="169">
        <f>IF($C109="","",SUMIFS(INP_DATA!G$5:G$3027,INP_DATA!$B$5:$B$3027,$C109,INP_DATA!$D$5:$D$3027,$E109))</f>
        <v>0</v>
      </c>
      <c r="M109" s="100">
        <f>IF($C109="","",SUMIFS(INP_DATA!H$5:H$3027,INP_DATA!$B$5:$B$3027,$C109,INP_DATA!$D$5:$D$3027,$E109))</f>
        <v>0</v>
      </c>
      <c r="N109" s="100">
        <f>IF($C109="","",SUMIFS(INP_DATA!I$5:I$3027,INP_DATA!$B$5:$B$3027,$C109,INP_DATA!$D$5:$D$3027,$E109))</f>
        <v>0</v>
      </c>
      <c r="O109" s="100">
        <f>IF($C109="","",SUMIFS(INP_DATA!J$5:J$3027,INP_DATA!$B$5:$B$3027,$C109,INP_DATA!$D$5:$D$3027,$E109))</f>
        <v>0</v>
      </c>
      <c r="P109" s="100">
        <f>IF($C109="","",SUMIFS(INP_DATA!K$5:K$3027,INP_DATA!$B$5:$B$3027,$C109,INP_DATA!$D$5:$D$3027,$E109))</f>
        <v>0</v>
      </c>
      <c r="Q109" s="100">
        <f>IF($C109="","",SUMIFS(INP_DATA!L$5:L$3027,INP_DATA!$B$5:$B$3027,$C109,INP_DATA!$D$5:$D$3027,$E109))</f>
        <v>0</v>
      </c>
      <c r="R109" s="100">
        <f>IF($C109="","",SUMIFS(INP_DATA!M$5:M$3027,INP_DATA!$B$5:$B$3027,$C109,INP_DATA!$D$5:$D$3027,$E109))</f>
        <v>0</v>
      </c>
      <c r="S109" s="100">
        <f>IF($C109="","",SUMIFS(INP_DATA!N$5:N$3027,INP_DATA!$B$5:$B$3027,$C109,INP_DATA!$D$5:$D$3027,$E109))</f>
        <v>0</v>
      </c>
      <c r="T109" s="101">
        <f>IF($C109="","",SUMIFS(INP_DATA!O$5:O$3027,INP_DATA!$B$5:$B$3027,$C109,INP_DATA!$D$5:$D$3027,$E109))</f>
        <v>0</v>
      </c>
      <c r="U109" s="102">
        <f>IF($C109="","",SUMIFS(INP_DATA!P$5:P$3027,INP_DATA!$B$5:$B$3027,$C109,INP_DATA!$D$5:$D$3027,$E109))</f>
        <v>0</v>
      </c>
      <c r="V109" s="102">
        <f>IF($C109="","",SUMIFS(INP_DATA!Q$5:Q$3027,INP_DATA!$B$5:$B$3027,$C109,INP_DATA!$D$5:$D$3027,$E109))</f>
        <v>0</v>
      </c>
      <c r="W109" s="270" t="str">
        <f t="shared" si="45"/>
        <v>N/A</v>
      </c>
      <c r="X109" s="203">
        <f>IF($C109="","",SUMIFS(INP_DATA!S$5:S$3027,INP_DATA!$B$5:$B$3027,$C109,INP_DATA!$D$5:$D$3027,$E109))</f>
        <v>0</v>
      </c>
      <c r="Y109" s="204">
        <f>IF($C109="","",SUMIFS(INP_DATA!T$5:T$3027,INP_DATA!$B$5:$B$3027,$C109,INP_DATA!$D$5:$D$3027,$E109))</f>
        <v>0</v>
      </c>
    </row>
    <row r="110" spans="2:25" hidden="1" x14ac:dyDescent="0.35">
      <c r="F110" s="214"/>
      <c r="G110" s="214"/>
      <c r="H110" s="214"/>
      <c r="I110" s="215"/>
    </row>
    <row r="111" spans="2:25" hidden="1" x14ac:dyDescent="0.35">
      <c r="E111" s="112"/>
      <c r="F111" s="214"/>
      <c r="G111" s="214"/>
      <c r="H111" s="214"/>
      <c r="I111" s="215"/>
    </row>
    <row r="112" spans="2:25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</sheetData>
  <sortState xmlns:xlrd2="http://schemas.microsoft.com/office/spreadsheetml/2017/richdata2" ref="B7:E76">
    <sortCondition ref="E7:E76"/>
  </sortState>
  <pageMargins left="0.7" right="0.7" top="0.75" bottom="0.75" header="0.3" footer="0.3"/>
  <pageSetup orientation="portrait" r:id="rId1"/>
  <ignoredErrors>
    <ignoredError sqref="F77:I77 M77:V77 F78:I78 M78:V7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C44EB-BE37-9B4A-A1EB-F4C32D451218}">
          <x14:formula1>
            <xm:f>KEY!$AE$22:$AE$58</xm:f>
          </x14:formula1>
          <xm:sqref>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83D6-1A0F-FC4F-B12B-ECD50553E00D}">
  <sheetPr codeName="Sheet6">
    <tabColor rgb="FFFFFF00"/>
  </sheetPr>
  <dimension ref="A4:T2549"/>
  <sheetViews>
    <sheetView showGridLines="0" topLeftCell="B1" workbookViewId="0">
      <pane ySplit="4" topLeftCell="A2132" activePane="bottomLeft" state="frozen"/>
      <selection activeCell="AF22" sqref="AF22"/>
      <selection pane="bottomLeft" activeCell="AF22" sqref="AF22"/>
    </sheetView>
  </sheetViews>
  <sheetFormatPr defaultColWidth="10.58203125" defaultRowHeight="15.5" x14ac:dyDescent="0.35"/>
  <cols>
    <col min="1" max="1" width="17.33203125" hidden="1" customWidth="1"/>
    <col min="3" max="3" width="10.83203125" hidden="1" customWidth="1"/>
    <col min="4" max="4" width="32.83203125" customWidth="1"/>
    <col min="5" max="17" width="13.33203125" customWidth="1"/>
    <col min="18" max="18" width="13.33203125" hidden="1" customWidth="1"/>
    <col min="19" max="20" width="0" hidden="1" customWidth="1"/>
  </cols>
  <sheetData>
    <row r="4" spans="1:20" ht="26.5" thickBot="1" x14ac:dyDescent="0.4">
      <c r="A4" s="228" t="s">
        <v>172</v>
      </c>
      <c r="B4" s="229" t="s">
        <v>192</v>
      </c>
      <c r="C4" s="225" t="s">
        <v>193</v>
      </c>
      <c r="D4" s="228" t="s">
        <v>1</v>
      </c>
      <c r="E4" s="230" t="s">
        <v>176</v>
      </c>
      <c r="F4" s="231" t="s">
        <v>178</v>
      </c>
      <c r="G4" s="231" t="s">
        <v>179</v>
      </c>
      <c r="H4" s="231" t="s">
        <v>180</v>
      </c>
      <c r="I4" s="231" t="s">
        <v>181</v>
      </c>
      <c r="J4" s="231" t="s">
        <v>182</v>
      </c>
      <c r="K4" s="231" t="s">
        <v>183</v>
      </c>
      <c r="L4" s="231" t="s">
        <v>184</v>
      </c>
      <c r="M4" s="231" t="s">
        <v>185</v>
      </c>
      <c r="N4" s="231" t="s">
        <v>186</v>
      </c>
      <c r="O4" s="231" t="s">
        <v>187</v>
      </c>
      <c r="P4" s="231" t="s">
        <v>188</v>
      </c>
      <c r="Q4" s="231" t="s">
        <v>189</v>
      </c>
      <c r="R4" s="231" t="s">
        <v>190</v>
      </c>
      <c r="S4" s="105" t="s">
        <v>58</v>
      </c>
      <c r="T4" s="105" t="s">
        <v>51</v>
      </c>
    </row>
    <row r="5" spans="1:20" x14ac:dyDescent="0.35">
      <c r="A5" s="3" t="s">
        <v>16</v>
      </c>
      <c r="B5" s="165">
        <v>44927</v>
      </c>
      <c r="C5" s="57" t="str">
        <f>IF($B5="","",YEAR($B5)&amp;"-"&amp;IFERROR(VLOOKUP(MONTH(B5),KEY!$AE$5:$AF$16,2,FALSE),""))</f>
        <v>2023-Q1</v>
      </c>
      <c r="D5" s="3" t="s">
        <v>111</v>
      </c>
      <c r="E5" s="219">
        <v>13</v>
      </c>
      <c r="F5" s="166">
        <v>77</v>
      </c>
      <c r="G5" s="166">
        <v>72</v>
      </c>
      <c r="H5" s="21">
        <v>181</v>
      </c>
      <c r="I5" s="21">
        <v>18</v>
      </c>
      <c r="J5" s="21">
        <v>86</v>
      </c>
      <c r="K5" s="21">
        <v>11</v>
      </c>
      <c r="L5" s="21">
        <v>169</v>
      </c>
      <c r="M5" s="21">
        <v>48</v>
      </c>
      <c r="N5" s="21">
        <v>77</v>
      </c>
      <c r="O5" s="19">
        <v>154</v>
      </c>
      <c r="P5" s="22">
        <v>13</v>
      </c>
      <c r="Q5" s="22">
        <v>8</v>
      </c>
      <c r="R5" s="20" t="s">
        <v>58</v>
      </c>
      <c r="S5" s="234">
        <f>COUNTIFS(INP_DATA!$R$5:$R$3027,S$4,INP_DATA!$D$5:$D$3027,$D5,INP_DATA!$B$5:$B$3027,$B5)</f>
        <v>1</v>
      </c>
      <c r="T5" s="235">
        <f>COUNTIFS(INP_DATA!$R$5:$R$3027,T$4,INP_DATA!$D$5:$D$3027,$D5,INP_DATA!$B$5:$B$3027,$B5)</f>
        <v>0</v>
      </c>
    </row>
    <row r="6" spans="1:20" x14ac:dyDescent="0.35">
      <c r="A6" s="3" t="s">
        <v>108</v>
      </c>
      <c r="B6" s="165">
        <v>44927</v>
      </c>
      <c r="C6" s="57" t="str">
        <f>IF($B6="","",YEAR($B6)&amp;"-"&amp;IFERROR(VLOOKUP(MONTH(B6),KEY!$AE$5:$AF$16,2,FALSE),""))</f>
        <v>2023-Q1</v>
      </c>
      <c r="D6" s="3" t="s">
        <v>112</v>
      </c>
      <c r="E6" s="219">
        <v>5</v>
      </c>
      <c r="F6" s="166">
        <v>39</v>
      </c>
      <c r="G6" s="166">
        <v>46</v>
      </c>
      <c r="H6" s="21">
        <v>71</v>
      </c>
      <c r="I6" s="21">
        <v>7</v>
      </c>
      <c r="J6" s="21">
        <v>37</v>
      </c>
      <c r="K6" s="21">
        <v>11</v>
      </c>
      <c r="L6" s="21">
        <v>63</v>
      </c>
      <c r="M6" s="21">
        <v>29</v>
      </c>
      <c r="N6" s="21">
        <v>39</v>
      </c>
      <c r="O6" s="19">
        <v>88</v>
      </c>
      <c r="P6" s="22">
        <v>18</v>
      </c>
      <c r="Q6" s="22">
        <v>15</v>
      </c>
      <c r="R6" s="20" t="s">
        <v>51</v>
      </c>
      <c r="S6" s="234">
        <f>COUNTIFS(INP_DATA!$R$5:$R$3027,S$4,INP_DATA!$D$5:$D$3027,$D6,INP_DATA!$B$5:$B$3027,$B6)</f>
        <v>0</v>
      </c>
      <c r="T6" s="235">
        <f>COUNTIFS(INP_DATA!$R$5:$R$3027,T$4,INP_DATA!$D$5:$D$3027,$D6,INP_DATA!$B$5:$B$3027,$B6)</f>
        <v>1</v>
      </c>
    </row>
    <row r="7" spans="1:20" x14ac:dyDescent="0.35">
      <c r="A7" s="3" t="s">
        <v>16</v>
      </c>
      <c r="B7" s="165">
        <v>44927</v>
      </c>
      <c r="C7" s="57" t="str">
        <f>IF($B7="","",YEAR($B7)&amp;"-"&amp;IFERROR(VLOOKUP(MONTH(B7),KEY!$AE$5:$AF$16,2,FALSE),""))</f>
        <v>2023-Q1</v>
      </c>
      <c r="D7" s="3" t="s">
        <v>113</v>
      </c>
      <c r="E7" s="219">
        <v>15</v>
      </c>
      <c r="F7" s="166">
        <v>78</v>
      </c>
      <c r="G7" s="166">
        <v>83</v>
      </c>
      <c r="H7" s="21">
        <v>163</v>
      </c>
      <c r="I7" s="21">
        <v>22</v>
      </c>
      <c r="J7" s="21">
        <v>39</v>
      </c>
      <c r="K7" s="21">
        <v>17</v>
      </c>
      <c r="L7" s="21">
        <v>142</v>
      </c>
      <c r="M7" s="21">
        <v>42</v>
      </c>
      <c r="N7" s="21">
        <v>79</v>
      </c>
      <c r="O7" s="19">
        <v>176</v>
      </c>
      <c r="P7" s="22">
        <v>11</v>
      </c>
      <c r="Q7" s="22">
        <v>7</v>
      </c>
      <c r="R7" s="20" t="s">
        <v>51</v>
      </c>
      <c r="S7" s="234">
        <f>COUNTIFS(INP_DATA!$R$5:$R$3027,S$4,INP_DATA!$D$5:$D$3027,$D7,INP_DATA!$B$5:$B$3027,$B7)</f>
        <v>0</v>
      </c>
      <c r="T7" s="235">
        <f>COUNTIFS(INP_DATA!$R$5:$R$3027,T$4,INP_DATA!$D$5:$D$3027,$D7,INP_DATA!$B$5:$B$3027,$B7)</f>
        <v>1</v>
      </c>
    </row>
    <row r="8" spans="1:20" x14ac:dyDescent="0.35">
      <c r="A8" s="3" t="s">
        <v>108</v>
      </c>
      <c r="B8" s="165">
        <v>44927</v>
      </c>
      <c r="C8" s="57" t="str">
        <f>IF($B8="","",YEAR($B8)&amp;"-"&amp;IFERROR(VLOOKUP(MONTH(B8),KEY!$AE$5:$AF$16,2,FALSE),""))</f>
        <v>2023-Q1</v>
      </c>
      <c r="D8" s="3" t="s">
        <v>114</v>
      </c>
      <c r="E8" s="219">
        <v>21</v>
      </c>
      <c r="F8" s="166">
        <v>48</v>
      </c>
      <c r="G8" s="166">
        <v>59</v>
      </c>
      <c r="H8" s="21">
        <v>141</v>
      </c>
      <c r="I8" s="21">
        <v>7</v>
      </c>
      <c r="J8" s="21">
        <v>76</v>
      </c>
      <c r="K8" s="21">
        <v>6</v>
      </c>
      <c r="L8" s="21">
        <v>56</v>
      </c>
      <c r="M8" s="21">
        <v>22</v>
      </c>
      <c r="N8" s="21">
        <v>50</v>
      </c>
      <c r="O8" s="19">
        <v>132</v>
      </c>
      <c r="P8" s="22">
        <v>25</v>
      </c>
      <c r="Q8" s="22">
        <v>16</v>
      </c>
      <c r="R8" s="20" t="s">
        <v>58</v>
      </c>
      <c r="S8" s="234">
        <f>COUNTIFS(INP_DATA!$R$5:$R$3027,S$4,INP_DATA!$D$5:$D$3027,$D8,INP_DATA!$B$5:$B$3027,$B8)</f>
        <v>1</v>
      </c>
      <c r="T8" s="235">
        <f>COUNTIFS(INP_DATA!$R$5:$R$3027,T$4,INP_DATA!$D$5:$D$3027,$D8,INP_DATA!$B$5:$B$3027,$B8)</f>
        <v>0</v>
      </c>
    </row>
    <row r="9" spans="1:20" x14ac:dyDescent="0.35">
      <c r="A9" s="3" t="s">
        <v>107</v>
      </c>
      <c r="B9" s="165">
        <v>44927</v>
      </c>
      <c r="C9" s="57" t="str">
        <f>IF($B9="","",YEAR($B9)&amp;"-"&amp;IFERROR(VLOOKUP(MONTH(B9),KEY!$AE$5:$AF$16,2,FALSE),""))</f>
        <v>2023-Q1</v>
      </c>
      <c r="D9" s="3" t="s">
        <v>115</v>
      </c>
      <c r="E9" s="219">
        <v>0</v>
      </c>
      <c r="F9" s="166">
        <v>0</v>
      </c>
      <c r="G9" s="166">
        <v>0</v>
      </c>
      <c r="H9" s="21">
        <v>163</v>
      </c>
      <c r="I9" s="21">
        <v>13</v>
      </c>
      <c r="J9" s="21">
        <v>54</v>
      </c>
      <c r="K9" s="21">
        <v>10</v>
      </c>
      <c r="L9" s="21">
        <v>75</v>
      </c>
      <c r="M9" s="21">
        <v>21</v>
      </c>
      <c r="N9" s="21">
        <v>39</v>
      </c>
      <c r="O9" s="19">
        <v>132</v>
      </c>
      <c r="P9" s="22" t="s">
        <v>194</v>
      </c>
      <c r="Q9" s="22" t="s">
        <v>194</v>
      </c>
      <c r="R9" s="20" t="s">
        <v>194</v>
      </c>
      <c r="S9" s="234">
        <f>COUNTIFS(INP_DATA!$R$5:$R$3027,S$4,INP_DATA!$D$5:$D$3027,$D9,INP_DATA!$B$5:$B$3027,$B9)</f>
        <v>0</v>
      </c>
      <c r="T9" s="235">
        <f>COUNTIFS(INP_DATA!$R$5:$R$3027,T$4,INP_DATA!$D$5:$D$3027,$D9,INP_DATA!$B$5:$B$3027,$B9)</f>
        <v>0</v>
      </c>
    </row>
    <row r="10" spans="1:20" x14ac:dyDescent="0.35">
      <c r="A10" s="3" t="s">
        <v>16</v>
      </c>
      <c r="B10" s="165">
        <v>44927</v>
      </c>
      <c r="C10" s="57" t="str">
        <f>IF($B10="","",YEAR($B10)&amp;"-"&amp;IFERROR(VLOOKUP(MONTH(B10),KEY!$AE$5:$AF$16,2,FALSE),""))</f>
        <v>2023-Q1</v>
      </c>
      <c r="D10" s="3" t="s">
        <v>116</v>
      </c>
      <c r="E10" s="219">
        <v>22</v>
      </c>
      <c r="F10" s="166">
        <v>173</v>
      </c>
      <c r="G10" s="166">
        <v>142</v>
      </c>
      <c r="H10" s="21">
        <v>185</v>
      </c>
      <c r="I10" s="21">
        <v>38</v>
      </c>
      <c r="J10" s="21">
        <v>130</v>
      </c>
      <c r="K10" s="21">
        <v>30</v>
      </c>
      <c r="L10" s="21">
        <v>248</v>
      </c>
      <c r="M10" s="21">
        <v>92</v>
      </c>
      <c r="N10" s="21">
        <v>174</v>
      </c>
      <c r="O10" s="19">
        <v>264</v>
      </c>
      <c r="P10" s="22">
        <v>55</v>
      </c>
      <c r="Q10" s="22">
        <v>0</v>
      </c>
      <c r="R10" s="20" t="s">
        <v>51</v>
      </c>
      <c r="S10" s="234">
        <f>COUNTIFS(INP_DATA!$R$5:$R$3027,S$4,INP_DATA!$D$5:$D$3027,$D10,INP_DATA!$B$5:$B$3027,$B10)</f>
        <v>0</v>
      </c>
      <c r="T10" s="235">
        <f>COUNTIFS(INP_DATA!$R$5:$R$3027,T$4,INP_DATA!$D$5:$D$3027,$D10,INP_DATA!$B$5:$B$3027,$B10)</f>
        <v>1</v>
      </c>
    </row>
    <row r="11" spans="1:20" x14ac:dyDescent="0.35">
      <c r="A11" s="3" t="s">
        <v>107</v>
      </c>
      <c r="B11" s="165">
        <v>44927</v>
      </c>
      <c r="C11" s="57" t="str">
        <f>IF($B11="","",YEAR($B11)&amp;"-"&amp;IFERROR(VLOOKUP(MONTH(B11),KEY!$AE$5:$AF$16,2,FALSE),""))</f>
        <v>2023-Q1</v>
      </c>
      <c r="D11" s="3" t="s">
        <v>117</v>
      </c>
      <c r="E11" s="219">
        <v>22</v>
      </c>
      <c r="F11" s="166">
        <v>163</v>
      </c>
      <c r="G11" s="166">
        <v>147</v>
      </c>
      <c r="H11" s="21">
        <v>254</v>
      </c>
      <c r="I11" s="21">
        <v>35</v>
      </c>
      <c r="J11" s="21">
        <v>160</v>
      </c>
      <c r="K11" s="21">
        <v>49</v>
      </c>
      <c r="L11" s="21">
        <v>298</v>
      </c>
      <c r="M11" s="21">
        <v>126</v>
      </c>
      <c r="N11" s="21">
        <v>166</v>
      </c>
      <c r="O11" s="19">
        <v>308</v>
      </c>
      <c r="P11" s="22">
        <v>94</v>
      </c>
      <c r="Q11" s="22">
        <v>53</v>
      </c>
      <c r="R11" s="20" t="s">
        <v>51</v>
      </c>
      <c r="S11" s="234">
        <f>COUNTIFS(INP_DATA!$R$5:$R$3027,S$4,INP_DATA!$D$5:$D$3027,$D11,INP_DATA!$B$5:$B$3027,$B11)</f>
        <v>0</v>
      </c>
      <c r="T11" s="235">
        <f>COUNTIFS(INP_DATA!$R$5:$R$3027,T$4,INP_DATA!$D$5:$D$3027,$D11,INP_DATA!$B$5:$B$3027,$B11)</f>
        <v>1</v>
      </c>
    </row>
    <row r="12" spans="1:20" x14ac:dyDescent="0.35">
      <c r="A12" s="3" t="s">
        <v>106</v>
      </c>
      <c r="B12" s="165">
        <v>44927</v>
      </c>
      <c r="C12" s="57" t="str">
        <f>IF($B12="","",YEAR($B12)&amp;"-"&amp;IFERROR(VLOOKUP(MONTH(B12),KEY!$AE$5:$AF$16,2,FALSE),""))</f>
        <v>2023-Q1</v>
      </c>
      <c r="D12" s="3" t="s">
        <v>118</v>
      </c>
      <c r="E12" s="219">
        <v>20</v>
      </c>
      <c r="F12" s="166">
        <v>225</v>
      </c>
      <c r="G12" s="166">
        <v>207</v>
      </c>
      <c r="H12" s="21">
        <v>682</v>
      </c>
      <c r="I12" s="21">
        <v>58</v>
      </c>
      <c r="J12" s="21">
        <v>351</v>
      </c>
      <c r="K12" s="21">
        <v>52</v>
      </c>
      <c r="L12" s="21">
        <v>295</v>
      </c>
      <c r="M12" s="21">
        <v>88</v>
      </c>
      <c r="N12" s="21">
        <v>227</v>
      </c>
      <c r="O12" s="19">
        <v>286</v>
      </c>
      <c r="P12" s="22">
        <v>84</v>
      </c>
      <c r="Q12" s="22">
        <v>51</v>
      </c>
      <c r="R12" s="20" t="s">
        <v>51</v>
      </c>
      <c r="S12" s="234">
        <f>COUNTIFS(INP_DATA!$R$5:$R$3027,S$4,INP_DATA!$D$5:$D$3027,$D12,INP_DATA!$B$5:$B$3027,$B12)</f>
        <v>0</v>
      </c>
      <c r="T12" s="235">
        <f>COUNTIFS(INP_DATA!$R$5:$R$3027,T$4,INP_DATA!$D$5:$D$3027,$D12,INP_DATA!$B$5:$B$3027,$B12)</f>
        <v>1</v>
      </c>
    </row>
    <row r="13" spans="1:20" x14ac:dyDescent="0.35">
      <c r="A13" s="3" t="s">
        <v>16</v>
      </c>
      <c r="B13" s="165">
        <v>44927</v>
      </c>
      <c r="C13" s="57" t="str">
        <f>IF($B13="","",YEAR($B13)&amp;"-"&amp;IFERROR(VLOOKUP(MONTH(B13),KEY!$AE$5:$AF$16,2,FALSE),""))</f>
        <v>2023-Q1</v>
      </c>
      <c r="D13" s="3" t="s">
        <v>119</v>
      </c>
      <c r="E13" s="219">
        <v>11</v>
      </c>
      <c r="F13" s="166">
        <v>29</v>
      </c>
      <c r="G13" s="166">
        <v>21</v>
      </c>
      <c r="H13" s="21">
        <v>67</v>
      </c>
      <c r="I13" s="21">
        <v>6</v>
      </c>
      <c r="J13" s="21">
        <v>45</v>
      </c>
      <c r="K13" s="21">
        <v>4</v>
      </c>
      <c r="L13" s="21">
        <v>21</v>
      </c>
      <c r="M13" s="21">
        <v>3</v>
      </c>
      <c r="N13" s="21">
        <v>29</v>
      </c>
      <c r="O13" s="19">
        <v>88</v>
      </c>
      <c r="P13" s="22" t="s">
        <v>194</v>
      </c>
      <c r="Q13" s="22" t="s">
        <v>194</v>
      </c>
      <c r="R13" s="20" t="s">
        <v>194</v>
      </c>
      <c r="S13" s="234">
        <f>COUNTIFS(INP_DATA!$R$5:$R$3027,S$4,INP_DATA!$D$5:$D$3027,$D13,INP_DATA!$B$5:$B$3027,$B13)</f>
        <v>0</v>
      </c>
      <c r="T13" s="235">
        <f>COUNTIFS(INP_DATA!$R$5:$R$3027,T$4,INP_DATA!$D$5:$D$3027,$D13,INP_DATA!$B$5:$B$3027,$B13)</f>
        <v>0</v>
      </c>
    </row>
    <row r="14" spans="1:20" x14ac:dyDescent="0.35">
      <c r="A14" s="3" t="s">
        <v>16</v>
      </c>
      <c r="B14" s="165">
        <v>44927</v>
      </c>
      <c r="C14" s="57" t="str">
        <f>IF($B14="","",YEAR($B14)&amp;"-"&amp;IFERROR(VLOOKUP(MONTH(B14),KEY!$AE$5:$AF$16,2,FALSE),""))</f>
        <v>2023-Q1</v>
      </c>
      <c r="D14" s="3" t="s">
        <v>120</v>
      </c>
      <c r="E14" s="219">
        <v>57</v>
      </c>
      <c r="F14" s="166">
        <v>362</v>
      </c>
      <c r="G14" s="166">
        <v>347</v>
      </c>
      <c r="H14" s="21">
        <v>926</v>
      </c>
      <c r="I14" s="21">
        <v>88</v>
      </c>
      <c r="J14" s="21">
        <v>368</v>
      </c>
      <c r="K14" s="21">
        <v>63</v>
      </c>
      <c r="L14" s="21">
        <v>486</v>
      </c>
      <c r="M14" s="21">
        <v>203</v>
      </c>
      <c r="N14" s="21">
        <v>366</v>
      </c>
      <c r="O14" s="19">
        <v>550</v>
      </c>
      <c r="P14" s="22">
        <v>43</v>
      </c>
      <c r="Q14" s="22">
        <v>31</v>
      </c>
      <c r="R14" s="20" t="s">
        <v>58</v>
      </c>
      <c r="S14" s="234">
        <f>COUNTIFS(INP_DATA!$R$5:$R$3027,S$4,INP_DATA!$D$5:$D$3027,$D14,INP_DATA!$B$5:$B$3027,$B14)</f>
        <v>1</v>
      </c>
      <c r="T14" s="235">
        <f>COUNTIFS(INP_DATA!$R$5:$R$3027,T$4,INP_DATA!$D$5:$D$3027,$D14,INP_DATA!$B$5:$B$3027,$B14)</f>
        <v>0</v>
      </c>
    </row>
    <row r="15" spans="1:20" x14ac:dyDescent="0.35">
      <c r="A15" s="3" t="s">
        <v>109</v>
      </c>
      <c r="B15" s="165">
        <v>44927</v>
      </c>
      <c r="C15" s="57" t="str">
        <f>IF($B15="","",YEAR($B15)&amp;"-"&amp;IFERROR(VLOOKUP(MONTH(B15),KEY!$AE$5:$AF$16,2,FALSE),""))</f>
        <v>2023-Q1</v>
      </c>
      <c r="D15" s="3" t="s">
        <v>121</v>
      </c>
      <c r="E15" s="219">
        <v>43</v>
      </c>
      <c r="F15" s="166">
        <v>235</v>
      </c>
      <c r="G15" s="166">
        <v>256</v>
      </c>
      <c r="H15" s="21">
        <v>722</v>
      </c>
      <c r="I15" s="21">
        <v>75</v>
      </c>
      <c r="J15" s="21">
        <v>312</v>
      </c>
      <c r="K15" s="21">
        <v>46</v>
      </c>
      <c r="L15" s="21">
        <v>396</v>
      </c>
      <c r="M15" s="21">
        <v>102</v>
      </c>
      <c r="N15" s="21">
        <v>240</v>
      </c>
      <c r="O15" s="19">
        <v>396</v>
      </c>
      <c r="P15" s="22">
        <v>24</v>
      </c>
      <c r="Q15" s="22">
        <v>20</v>
      </c>
      <c r="R15" s="20" t="s">
        <v>58</v>
      </c>
      <c r="S15" s="234">
        <f>COUNTIFS(INP_DATA!$R$5:$R$3027,S$4,INP_DATA!$D$5:$D$3027,$D15,INP_DATA!$B$5:$B$3027,$B15)</f>
        <v>1</v>
      </c>
      <c r="T15" s="235">
        <f>COUNTIFS(INP_DATA!$R$5:$R$3027,T$4,INP_DATA!$D$5:$D$3027,$D15,INP_DATA!$B$5:$B$3027,$B15)</f>
        <v>0</v>
      </c>
    </row>
    <row r="16" spans="1:20" x14ac:dyDescent="0.35">
      <c r="A16" s="3" t="s">
        <v>108</v>
      </c>
      <c r="B16" s="165">
        <v>44927</v>
      </c>
      <c r="C16" s="57" t="str">
        <f>IF($B16="","",YEAR($B16)&amp;"-"&amp;IFERROR(VLOOKUP(MONTH(B16),KEY!$AE$5:$AF$16,2,FALSE),""))</f>
        <v>2023-Q1</v>
      </c>
      <c r="D16" s="3" t="s">
        <v>122</v>
      </c>
      <c r="E16" s="219">
        <v>14</v>
      </c>
      <c r="F16" s="166">
        <v>0</v>
      </c>
      <c r="G16" s="166">
        <v>0</v>
      </c>
      <c r="H16" s="21">
        <v>426</v>
      </c>
      <c r="I16" s="21">
        <v>38</v>
      </c>
      <c r="J16" s="21">
        <v>210</v>
      </c>
      <c r="K16" s="21">
        <v>25</v>
      </c>
      <c r="L16" s="21">
        <v>217</v>
      </c>
      <c r="M16" s="21">
        <v>66</v>
      </c>
      <c r="N16" s="21">
        <v>116</v>
      </c>
      <c r="O16" s="19">
        <v>242</v>
      </c>
      <c r="P16" s="22" t="s">
        <v>194</v>
      </c>
      <c r="Q16" s="22" t="s">
        <v>194</v>
      </c>
      <c r="R16" s="20" t="s">
        <v>58</v>
      </c>
      <c r="S16" s="234">
        <f>COUNTIFS(INP_DATA!$R$5:$R$3027,S$4,INP_DATA!$D$5:$D$3027,$D16,INP_DATA!$B$5:$B$3027,$B16)</f>
        <v>1</v>
      </c>
      <c r="T16" s="235">
        <f>COUNTIFS(INP_DATA!$R$5:$R$3027,T$4,INP_DATA!$D$5:$D$3027,$D16,INP_DATA!$B$5:$B$3027,$B16)</f>
        <v>0</v>
      </c>
    </row>
    <row r="17" spans="1:20" x14ac:dyDescent="0.35">
      <c r="A17" s="3" t="s">
        <v>107</v>
      </c>
      <c r="B17" s="165">
        <v>44927</v>
      </c>
      <c r="C17" s="57" t="str">
        <f>IF($B17="","",YEAR($B17)&amp;"-"&amp;IFERROR(VLOOKUP(MONTH(B17),KEY!$AE$5:$AF$16,2,FALSE),""))</f>
        <v>2023-Q1</v>
      </c>
      <c r="D17" s="3" t="s">
        <v>123</v>
      </c>
      <c r="E17" s="219">
        <v>21</v>
      </c>
      <c r="F17" s="166">
        <v>158</v>
      </c>
      <c r="G17" s="166">
        <v>196</v>
      </c>
      <c r="H17" s="21">
        <v>425</v>
      </c>
      <c r="I17" s="21">
        <v>32</v>
      </c>
      <c r="J17" s="21">
        <v>157</v>
      </c>
      <c r="K17" s="21">
        <v>24</v>
      </c>
      <c r="L17" s="21">
        <v>188</v>
      </c>
      <c r="M17" s="21">
        <v>60</v>
      </c>
      <c r="N17" s="21">
        <v>160</v>
      </c>
      <c r="O17" s="19">
        <v>330</v>
      </c>
      <c r="P17" s="22">
        <v>39</v>
      </c>
      <c r="Q17" s="22">
        <v>24</v>
      </c>
      <c r="R17" s="20" t="s">
        <v>58</v>
      </c>
      <c r="S17" s="234">
        <f>COUNTIFS(INP_DATA!$R$5:$R$3027,S$4,INP_DATA!$D$5:$D$3027,$D17,INP_DATA!$B$5:$B$3027,$B17)</f>
        <v>1</v>
      </c>
      <c r="T17" s="235">
        <f>COUNTIFS(INP_DATA!$R$5:$R$3027,T$4,INP_DATA!$D$5:$D$3027,$D17,INP_DATA!$B$5:$B$3027,$B17)</f>
        <v>0</v>
      </c>
    </row>
    <row r="18" spans="1:20" x14ac:dyDescent="0.35">
      <c r="A18" s="3" t="s">
        <v>108</v>
      </c>
      <c r="B18" s="165">
        <v>44927</v>
      </c>
      <c r="C18" s="57" t="str">
        <f>IF($B18="","",YEAR($B18)&amp;"-"&amp;IFERROR(VLOOKUP(MONTH(B18),KEY!$AE$5:$AF$16,2,FALSE),""))</f>
        <v>2023-Q1</v>
      </c>
      <c r="D18" s="3" t="s">
        <v>124</v>
      </c>
      <c r="E18" s="219">
        <v>66</v>
      </c>
      <c r="F18" s="166">
        <v>236</v>
      </c>
      <c r="G18" s="166">
        <v>299</v>
      </c>
      <c r="H18" s="21">
        <v>450</v>
      </c>
      <c r="I18" s="21">
        <v>54</v>
      </c>
      <c r="J18" s="21">
        <v>195</v>
      </c>
      <c r="K18" s="21">
        <v>34</v>
      </c>
      <c r="L18" s="21">
        <v>421</v>
      </c>
      <c r="M18" s="21">
        <v>154</v>
      </c>
      <c r="N18" s="21">
        <v>236</v>
      </c>
      <c r="O18" s="19">
        <v>484</v>
      </c>
      <c r="P18" s="22">
        <v>57</v>
      </c>
      <c r="Q18" s="22">
        <v>27</v>
      </c>
      <c r="R18" s="20" t="s">
        <v>58</v>
      </c>
      <c r="S18" s="234">
        <f>COUNTIFS(INP_DATA!$R$5:$R$3027,S$4,INP_DATA!$D$5:$D$3027,$D18,INP_DATA!$B$5:$B$3027,$B18)</f>
        <v>1</v>
      </c>
      <c r="T18" s="235">
        <f>COUNTIFS(INP_DATA!$R$5:$R$3027,T$4,INP_DATA!$D$5:$D$3027,$D18,INP_DATA!$B$5:$B$3027,$B18)</f>
        <v>0</v>
      </c>
    </row>
    <row r="19" spans="1:20" x14ac:dyDescent="0.35">
      <c r="A19" s="3" t="s">
        <v>106</v>
      </c>
      <c r="B19" s="165">
        <v>44927</v>
      </c>
      <c r="C19" s="57" t="str">
        <f>IF($B19="","",YEAR($B19)&amp;"-"&amp;IFERROR(VLOOKUP(MONTH(B19),KEY!$AE$5:$AF$16,2,FALSE),""))</f>
        <v>2023-Q1</v>
      </c>
      <c r="D19" s="3" t="s">
        <v>195</v>
      </c>
      <c r="E19" s="219">
        <v>7</v>
      </c>
      <c r="F19" s="166">
        <v>42</v>
      </c>
      <c r="G19" s="166">
        <v>26</v>
      </c>
      <c r="H19" s="21">
        <v>121</v>
      </c>
      <c r="I19" s="21">
        <v>15</v>
      </c>
      <c r="J19" s="21">
        <v>41</v>
      </c>
      <c r="K19" s="21">
        <v>13</v>
      </c>
      <c r="L19" s="21">
        <v>65</v>
      </c>
      <c r="M19" s="21">
        <v>33</v>
      </c>
      <c r="N19" s="21">
        <v>42</v>
      </c>
      <c r="O19" s="19">
        <v>88</v>
      </c>
      <c r="P19" s="22">
        <v>10</v>
      </c>
      <c r="Q19" s="22">
        <v>6</v>
      </c>
      <c r="R19" s="20" t="s">
        <v>58</v>
      </c>
      <c r="S19" s="234">
        <f>COUNTIFS(INP_DATA!$R$5:$R$3027,S$4,INP_DATA!$D$5:$D$3027,$D19,INP_DATA!$B$5:$B$3027,$B19)</f>
        <v>1</v>
      </c>
      <c r="T19" s="235">
        <f>COUNTIFS(INP_DATA!$R$5:$R$3027,T$4,INP_DATA!$D$5:$D$3027,$D19,INP_DATA!$B$5:$B$3027,$B19)</f>
        <v>0</v>
      </c>
    </row>
    <row r="20" spans="1:20" x14ac:dyDescent="0.35">
      <c r="A20" s="3" t="s">
        <v>106</v>
      </c>
      <c r="B20" s="165">
        <v>44927</v>
      </c>
      <c r="C20" s="57" t="str">
        <f>IF($B20="","",YEAR($B20)&amp;"-"&amp;IFERROR(VLOOKUP(MONTH(B20),KEY!$AE$5:$AF$16,2,FALSE),""))</f>
        <v>2023-Q1</v>
      </c>
      <c r="D20" s="3" t="s">
        <v>125</v>
      </c>
      <c r="E20" s="219">
        <v>28</v>
      </c>
      <c r="F20" s="166">
        <v>230</v>
      </c>
      <c r="G20" s="166">
        <v>193</v>
      </c>
      <c r="H20" s="21">
        <v>530</v>
      </c>
      <c r="I20" s="21">
        <v>63</v>
      </c>
      <c r="J20" s="21">
        <v>261</v>
      </c>
      <c r="K20" s="21">
        <v>39</v>
      </c>
      <c r="L20" s="21">
        <v>473</v>
      </c>
      <c r="M20" s="21">
        <v>100</v>
      </c>
      <c r="N20" s="21">
        <v>239</v>
      </c>
      <c r="O20" s="19">
        <v>418</v>
      </c>
      <c r="P20" s="22">
        <v>24</v>
      </c>
      <c r="Q20" s="22">
        <v>19</v>
      </c>
      <c r="R20" s="20" t="s">
        <v>58</v>
      </c>
      <c r="S20" s="234">
        <f>COUNTIFS(INP_DATA!$R$5:$R$3027,S$4,INP_DATA!$D$5:$D$3027,$D20,INP_DATA!$B$5:$B$3027,$B20)</f>
        <v>1</v>
      </c>
      <c r="T20" s="235">
        <f>COUNTIFS(INP_DATA!$R$5:$R$3027,T$4,INP_DATA!$D$5:$D$3027,$D20,INP_DATA!$B$5:$B$3027,$B20)</f>
        <v>0</v>
      </c>
    </row>
    <row r="21" spans="1:20" x14ac:dyDescent="0.35">
      <c r="A21" s="3" t="s">
        <v>107</v>
      </c>
      <c r="B21" s="165">
        <v>44927</v>
      </c>
      <c r="C21" s="57" t="str">
        <f>IF($B21="","",YEAR($B21)&amp;"-"&amp;IFERROR(VLOOKUP(MONTH(B21),KEY!$AE$5:$AF$16,2,FALSE),""))</f>
        <v>2023-Q1</v>
      </c>
      <c r="D21" s="3" t="s">
        <v>126</v>
      </c>
      <c r="E21" s="219">
        <v>68</v>
      </c>
      <c r="F21" s="166">
        <v>428</v>
      </c>
      <c r="G21" s="166">
        <v>513</v>
      </c>
      <c r="H21" s="21">
        <v>756</v>
      </c>
      <c r="I21" s="21">
        <v>110</v>
      </c>
      <c r="J21" s="21">
        <v>597</v>
      </c>
      <c r="K21" s="21">
        <v>144</v>
      </c>
      <c r="L21" s="21">
        <v>772</v>
      </c>
      <c r="M21" s="21">
        <v>260</v>
      </c>
      <c r="N21" s="21">
        <v>435</v>
      </c>
      <c r="O21" s="19">
        <v>660</v>
      </c>
      <c r="P21" s="22">
        <v>108</v>
      </c>
      <c r="Q21" s="22">
        <v>62</v>
      </c>
      <c r="R21" s="20" t="s">
        <v>58</v>
      </c>
      <c r="S21" s="234">
        <f>COUNTIFS(INP_DATA!$R$5:$R$3027,S$4,INP_DATA!$D$5:$D$3027,$D21,INP_DATA!$B$5:$B$3027,$B21)</f>
        <v>1</v>
      </c>
      <c r="T21" s="235">
        <f>COUNTIFS(INP_DATA!$R$5:$R$3027,T$4,INP_DATA!$D$5:$D$3027,$D21,INP_DATA!$B$5:$B$3027,$B21)</f>
        <v>0</v>
      </c>
    </row>
    <row r="22" spans="1:20" x14ac:dyDescent="0.35">
      <c r="A22" s="3" t="s">
        <v>107</v>
      </c>
      <c r="B22" s="165">
        <v>44927</v>
      </c>
      <c r="C22" s="57" t="str">
        <f>IF($B22="","",YEAR($B22)&amp;"-"&amp;IFERROR(VLOOKUP(MONTH(B22),KEY!$AE$5:$AF$16,2,FALSE),""))</f>
        <v>2023-Q1</v>
      </c>
      <c r="D22" s="3" t="s">
        <v>127</v>
      </c>
      <c r="E22" s="219">
        <v>12</v>
      </c>
      <c r="F22" s="166">
        <v>62</v>
      </c>
      <c r="G22" s="166">
        <v>77</v>
      </c>
      <c r="H22" s="21">
        <v>134</v>
      </c>
      <c r="I22" s="21">
        <v>19</v>
      </c>
      <c r="J22" s="21">
        <v>41</v>
      </c>
      <c r="K22" s="21">
        <v>12</v>
      </c>
      <c r="L22" s="21">
        <v>80</v>
      </c>
      <c r="M22" s="21">
        <v>44</v>
      </c>
      <c r="N22" s="21">
        <v>62</v>
      </c>
      <c r="O22" s="19">
        <v>88</v>
      </c>
      <c r="P22" s="22">
        <v>14</v>
      </c>
      <c r="Q22" s="22">
        <v>6</v>
      </c>
      <c r="R22" s="20" t="s">
        <v>58</v>
      </c>
      <c r="S22" s="234">
        <f>COUNTIFS(INP_DATA!$R$5:$R$3027,S$4,INP_DATA!$D$5:$D$3027,$D22,INP_DATA!$B$5:$B$3027,$B22)</f>
        <v>1</v>
      </c>
      <c r="T22" s="235">
        <f>COUNTIFS(INP_DATA!$R$5:$R$3027,T$4,INP_DATA!$D$5:$D$3027,$D22,INP_DATA!$B$5:$B$3027,$B22)</f>
        <v>0</v>
      </c>
    </row>
    <row r="23" spans="1:20" x14ac:dyDescent="0.35">
      <c r="A23" s="3" t="s">
        <v>109</v>
      </c>
      <c r="B23" s="165">
        <v>44927</v>
      </c>
      <c r="C23" s="57" t="str">
        <f>IF($B23="","",YEAR($B23)&amp;"-"&amp;IFERROR(VLOOKUP(MONTH(B23),KEY!$AE$5:$AF$16,2,FALSE),""))</f>
        <v>2023-Q1</v>
      </c>
      <c r="D23" s="3" t="s">
        <v>128</v>
      </c>
      <c r="E23" s="219">
        <v>5</v>
      </c>
      <c r="F23" s="166">
        <v>225</v>
      </c>
      <c r="G23" s="166">
        <v>393</v>
      </c>
      <c r="H23" s="21">
        <v>641</v>
      </c>
      <c r="I23" s="21">
        <v>80</v>
      </c>
      <c r="J23" s="21">
        <v>316</v>
      </c>
      <c r="K23" s="21">
        <v>54</v>
      </c>
      <c r="L23" s="21">
        <v>392</v>
      </c>
      <c r="M23" s="21">
        <v>140</v>
      </c>
      <c r="N23" s="21">
        <v>228</v>
      </c>
      <c r="O23" s="19">
        <v>374</v>
      </c>
      <c r="P23" s="22" t="s">
        <v>194</v>
      </c>
      <c r="Q23" s="22" t="s">
        <v>194</v>
      </c>
      <c r="R23" s="20" t="s">
        <v>194</v>
      </c>
      <c r="S23" s="234">
        <f>COUNTIFS(INP_DATA!$R$5:$R$3027,S$4,INP_DATA!$D$5:$D$3027,$D23,INP_DATA!$B$5:$B$3027,$B23)</f>
        <v>0</v>
      </c>
      <c r="T23" s="235">
        <f>COUNTIFS(INP_DATA!$R$5:$R$3027,T$4,INP_DATA!$D$5:$D$3027,$D23,INP_DATA!$B$5:$B$3027,$B23)</f>
        <v>0</v>
      </c>
    </row>
    <row r="24" spans="1:20" x14ac:dyDescent="0.35">
      <c r="A24" s="3" t="s">
        <v>106</v>
      </c>
      <c r="B24" s="165">
        <v>44927</v>
      </c>
      <c r="C24" s="57" t="str">
        <f>IF($B24="","",YEAR($B24)&amp;"-"&amp;IFERROR(VLOOKUP(MONTH(B24),KEY!$AE$5:$AF$16,2,FALSE),""))</f>
        <v>2023-Q1</v>
      </c>
      <c r="D24" s="3" t="s">
        <v>129</v>
      </c>
      <c r="E24" s="219">
        <v>20</v>
      </c>
      <c r="F24" s="166">
        <v>159</v>
      </c>
      <c r="G24" s="166">
        <v>166</v>
      </c>
      <c r="H24" s="21">
        <v>241</v>
      </c>
      <c r="I24" s="21">
        <v>38</v>
      </c>
      <c r="J24" s="21">
        <v>190</v>
      </c>
      <c r="K24" s="21">
        <v>22</v>
      </c>
      <c r="L24" s="21">
        <v>354</v>
      </c>
      <c r="M24" s="21">
        <v>84</v>
      </c>
      <c r="N24" s="21">
        <v>168</v>
      </c>
      <c r="O24" s="19">
        <v>330</v>
      </c>
      <c r="P24" s="22">
        <v>31</v>
      </c>
      <c r="Q24" s="22">
        <v>19</v>
      </c>
      <c r="R24" s="20" t="s">
        <v>58</v>
      </c>
      <c r="S24" s="234">
        <f>COUNTIFS(INP_DATA!$R$5:$R$3027,S$4,INP_DATA!$D$5:$D$3027,$D24,INP_DATA!$B$5:$B$3027,$B24)</f>
        <v>1</v>
      </c>
      <c r="T24" s="235">
        <f>COUNTIFS(INP_DATA!$R$5:$R$3027,T$4,INP_DATA!$D$5:$D$3027,$D24,INP_DATA!$B$5:$B$3027,$B24)</f>
        <v>0</v>
      </c>
    </row>
    <row r="25" spans="1:20" x14ac:dyDescent="0.35">
      <c r="A25" s="3" t="s">
        <v>108</v>
      </c>
      <c r="B25" s="165">
        <v>44927</v>
      </c>
      <c r="C25" s="57" t="str">
        <f>IF($B25="","",YEAR($B25)&amp;"-"&amp;IFERROR(VLOOKUP(MONTH(B25),KEY!$AE$5:$AF$16,2,FALSE),""))</f>
        <v>2023-Q1</v>
      </c>
      <c r="D25" s="3" t="s">
        <v>130</v>
      </c>
      <c r="E25" s="219">
        <v>24</v>
      </c>
      <c r="F25" s="166">
        <v>123</v>
      </c>
      <c r="G25" s="166">
        <v>160</v>
      </c>
      <c r="H25" s="21">
        <v>192</v>
      </c>
      <c r="I25" s="21">
        <v>24</v>
      </c>
      <c r="J25" s="21">
        <v>101</v>
      </c>
      <c r="K25" s="21">
        <v>28</v>
      </c>
      <c r="L25" s="21">
        <v>144</v>
      </c>
      <c r="M25" s="21">
        <v>50</v>
      </c>
      <c r="N25" s="21">
        <v>124</v>
      </c>
      <c r="O25" s="19">
        <v>132</v>
      </c>
      <c r="P25" s="22">
        <v>40</v>
      </c>
      <c r="Q25" s="22">
        <v>26</v>
      </c>
      <c r="R25" s="20" t="s">
        <v>51</v>
      </c>
      <c r="S25" s="234">
        <f>COUNTIFS(INP_DATA!$R$5:$R$3027,S$4,INP_DATA!$D$5:$D$3027,$D25,INP_DATA!$B$5:$B$3027,$B25)</f>
        <v>0</v>
      </c>
      <c r="T25" s="235">
        <f>COUNTIFS(INP_DATA!$R$5:$R$3027,T$4,INP_DATA!$D$5:$D$3027,$D25,INP_DATA!$B$5:$B$3027,$B25)</f>
        <v>1</v>
      </c>
    </row>
    <row r="26" spans="1:20" x14ac:dyDescent="0.35">
      <c r="A26" s="3" t="s">
        <v>109</v>
      </c>
      <c r="B26" s="165">
        <v>44927</v>
      </c>
      <c r="C26" s="57" t="str">
        <f>IF($B26="","",YEAR($B26)&amp;"-"&amp;IFERROR(VLOOKUP(MONTH(B26),KEY!$AE$5:$AF$16,2,FALSE),""))</f>
        <v>2023-Q1</v>
      </c>
      <c r="D26" s="3" t="s">
        <v>131</v>
      </c>
      <c r="E26" s="219">
        <v>6</v>
      </c>
      <c r="F26" s="166">
        <v>151</v>
      </c>
      <c r="G26" s="166">
        <v>100</v>
      </c>
      <c r="H26" s="21">
        <v>197</v>
      </c>
      <c r="I26" s="21">
        <v>22</v>
      </c>
      <c r="J26" s="21">
        <v>173</v>
      </c>
      <c r="K26" s="21">
        <v>18</v>
      </c>
      <c r="L26" s="21">
        <v>175</v>
      </c>
      <c r="M26" s="21">
        <v>23</v>
      </c>
      <c r="N26" s="21">
        <v>165</v>
      </c>
      <c r="O26" s="19">
        <v>330</v>
      </c>
      <c r="P26" s="22">
        <v>1</v>
      </c>
      <c r="Q26" s="22">
        <v>1</v>
      </c>
      <c r="R26" s="20" t="s">
        <v>58</v>
      </c>
      <c r="S26" s="234">
        <f>COUNTIFS(INP_DATA!$R$5:$R$3027,S$4,INP_DATA!$D$5:$D$3027,$D26,INP_DATA!$B$5:$B$3027,$B26)</f>
        <v>1</v>
      </c>
      <c r="T26" s="235">
        <f>COUNTIFS(INP_DATA!$R$5:$R$3027,T$4,INP_DATA!$D$5:$D$3027,$D26,INP_DATA!$B$5:$B$3027,$B26)</f>
        <v>0</v>
      </c>
    </row>
    <row r="27" spans="1:20" x14ac:dyDescent="0.35">
      <c r="A27" s="3" t="s">
        <v>108</v>
      </c>
      <c r="B27" s="165">
        <v>44927</v>
      </c>
      <c r="C27" s="57" t="str">
        <f>IF($B27="","",YEAR($B27)&amp;"-"&amp;IFERROR(VLOOKUP(MONTH(B27),KEY!$AE$5:$AF$16,2,FALSE),""))</f>
        <v>2023-Q1</v>
      </c>
      <c r="D27" s="3" t="s">
        <v>134</v>
      </c>
      <c r="E27" s="219">
        <v>11</v>
      </c>
      <c r="F27" s="166">
        <v>40</v>
      </c>
      <c r="G27" s="166">
        <v>46</v>
      </c>
      <c r="H27" s="21">
        <v>96</v>
      </c>
      <c r="I27" s="21">
        <v>11</v>
      </c>
      <c r="J27" s="21">
        <v>44</v>
      </c>
      <c r="K27" s="21">
        <v>2</v>
      </c>
      <c r="L27" s="21">
        <v>63</v>
      </c>
      <c r="M27" s="21">
        <v>24</v>
      </c>
      <c r="N27" s="21">
        <v>41</v>
      </c>
      <c r="O27" s="19">
        <v>88</v>
      </c>
      <c r="P27" s="22">
        <v>21</v>
      </c>
      <c r="Q27" s="22">
        <v>16</v>
      </c>
      <c r="R27" s="20" t="s">
        <v>58</v>
      </c>
      <c r="S27" s="234">
        <f>COUNTIFS(INP_DATA!$R$5:$R$3027,S$4,INP_DATA!$D$5:$D$3027,$D27,INP_DATA!$B$5:$B$3027,$B27)</f>
        <v>1</v>
      </c>
      <c r="T27" s="235">
        <f>COUNTIFS(INP_DATA!$R$5:$R$3027,T$4,INP_DATA!$D$5:$D$3027,$D27,INP_DATA!$B$5:$B$3027,$B27)</f>
        <v>0</v>
      </c>
    </row>
    <row r="28" spans="1:20" x14ac:dyDescent="0.35">
      <c r="A28" s="3" t="s">
        <v>108</v>
      </c>
      <c r="B28" s="165">
        <v>44927</v>
      </c>
      <c r="C28" s="57" t="str">
        <f>IF($B28="","",YEAR($B28)&amp;"-"&amp;IFERROR(VLOOKUP(MONTH(B28),KEY!$AE$5:$AF$16,2,FALSE),""))</f>
        <v>2023-Q1</v>
      </c>
      <c r="D28" s="3" t="s">
        <v>135</v>
      </c>
      <c r="E28" s="219">
        <v>54</v>
      </c>
      <c r="F28" s="166">
        <v>175</v>
      </c>
      <c r="G28" s="166">
        <v>279</v>
      </c>
      <c r="H28" s="21">
        <v>550</v>
      </c>
      <c r="I28" s="21">
        <v>72</v>
      </c>
      <c r="J28" s="21">
        <v>131</v>
      </c>
      <c r="K28" s="21">
        <v>32</v>
      </c>
      <c r="L28" s="21">
        <v>661</v>
      </c>
      <c r="M28" s="21">
        <v>108</v>
      </c>
      <c r="N28" s="21">
        <v>176</v>
      </c>
      <c r="O28" s="19">
        <v>396</v>
      </c>
      <c r="P28" s="22">
        <v>42</v>
      </c>
      <c r="Q28" s="22">
        <v>28</v>
      </c>
      <c r="R28" s="20" t="s">
        <v>51</v>
      </c>
      <c r="S28" s="234">
        <f>COUNTIFS(INP_DATA!$R$5:$R$3027,S$4,INP_DATA!$D$5:$D$3027,$D28,INP_DATA!$B$5:$B$3027,$B28)</f>
        <v>0</v>
      </c>
      <c r="T28" s="235">
        <f>COUNTIFS(INP_DATA!$R$5:$R$3027,T$4,INP_DATA!$D$5:$D$3027,$D28,INP_DATA!$B$5:$B$3027,$B28)</f>
        <v>1</v>
      </c>
    </row>
    <row r="29" spans="1:20" x14ac:dyDescent="0.35">
      <c r="A29" s="3" t="s">
        <v>16</v>
      </c>
      <c r="B29" s="165">
        <v>44927</v>
      </c>
      <c r="C29" s="57" t="str">
        <f>IF($B29="","",YEAR($B29)&amp;"-"&amp;IFERROR(VLOOKUP(MONTH(B29),KEY!$AE$5:$AF$16,2,FALSE),""))</f>
        <v>2023-Q1</v>
      </c>
      <c r="D29" s="3" t="s">
        <v>196</v>
      </c>
      <c r="E29" s="219">
        <v>20</v>
      </c>
      <c r="F29" s="166">
        <v>58</v>
      </c>
      <c r="G29" s="166">
        <v>37</v>
      </c>
      <c r="H29" s="21">
        <v>76</v>
      </c>
      <c r="I29" s="21">
        <v>14</v>
      </c>
      <c r="J29" s="21">
        <v>74</v>
      </c>
      <c r="K29" s="21">
        <v>11</v>
      </c>
      <c r="L29" s="21">
        <v>80</v>
      </c>
      <c r="M29" s="21">
        <v>40</v>
      </c>
      <c r="N29" s="21">
        <v>58</v>
      </c>
      <c r="O29" s="19">
        <v>88</v>
      </c>
      <c r="P29" s="22">
        <v>4</v>
      </c>
      <c r="Q29" s="22">
        <v>4</v>
      </c>
      <c r="R29" s="20" t="s">
        <v>58</v>
      </c>
      <c r="S29" s="234">
        <f>COUNTIFS(INP_DATA!$R$5:$R$3027,S$4,INP_DATA!$D$5:$D$3027,$D29,INP_DATA!$B$5:$B$3027,$B29)</f>
        <v>1</v>
      </c>
      <c r="T29" s="235">
        <f>COUNTIFS(INP_DATA!$R$5:$R$3027,T$4,INP_DATA!$D$5:$D$3027,$D29,INP_DATA!$B$5:$B$3027,$B29)</f>
        <v>0</v>
      </c>
    </row>
    <row r="30" spans="1:20" x14ac:dyDescent="0.35">
      <c r="A30" s="3" t="s">
        <v>16</v>
      </c>
      <c r="B30" s="165">
        <v>44927</v>
      </c>
      <c r="C30" s="57" t="str">
        <f>IF($B30="","",YEAR($B30)&amp;"-"&amp;IFERROR(VLOOKUP(MONTH(B30),KEY!$AE$5:$AF$16,2,FALSE),""))</f>
        <v>2023-Q1</v>
      </c>
      <c r="D30" s="3" t="s">
        <v>197</v>
      </c>
      <c r="E30" s="219">
        <v>21</v>
      </c>
      <c r="F30" s="166">
        <v>106</v>
      </c>
      <c r="G30" s="166">
        <v>86</v>
      </c>
      <c r="H30" s="21">
        <v>162</v>
      </c>
      <c r="I30" s="21">
        <v>25</v>
      </c>
      <c r="J30" s="21">
        <v>120</v>
      </c>
      <c r="K30" s="21">
        <v>26</v>
      </c>
      <c r="L30" s="21">
        <v>132</v>
      </c>
      <c r="M30" s="21">
        <v>63</v>
      </c>
      <c r="N30" s="21">
        <v>109</v>
      </c>
      <c r="O30" s="19">
        <v>176</v>
      </c>
      <c r="P30" s="22">
        <v>11</v>
      </c>
      <c r="Q30" s="22">
        <v>8</v>
      </c>
      <c r="R30" s="20" t="s">
        <v>58</v>
      </c>
      <c r="S30" s="234">
        <f>COUNTIFS(INP_DATA!$R$5:$R$3027,S$4,INP_DATA!$D$5:$D$3027,$D30,INP_DATA!$B$5:$B$3027,$B30)</f>
        <v>1</v>
      </c>
      <c r="T30" s="235">
        <f>COUNTIFS(INP_DATA!$R$5:$R$3027,T$4,INP_DATA!$D$5:$D$3027,$D30,INP_DATA!$B$5:$B$3027,$B30)</f>
        <v>0</v>
      </c>
    </row>
    <row r="31" spans="1:20" x14ac:dyDescent="0.35">
      <c r="A31" s="3" t="s">
        <v>109</v>
      </c>
      <c r="B31" s="165">
        <v>44927</v>
      </c>
      <c r="C31" s="57" t="str">
        <f>IF($B31="","",YEAR($B31)&amp;"-"&amp;IFERROR(VLOOKUP(MONTH(B31),KEY!$AE$5:$AF$16,2,FALSE),""))</f>
        <v>2023-Q1</v>
      </c>
      <c r="D31" s="3" t="s">
        <v>136</v>
      </c>
      <c r="E31" s="219">
        <v>96</v>
      </c>
      <c r="F31" s="166">
        <v>198</v>
      </c>
      <c r="G31" s="166">
        <v>220</v>
      </c>
      <c r="H31" s="21">
        <v>482</v>
      </c>
      <c r="I31" s="21">
        <v>28</v>
      </c>
      <c r="J31" s="21">
        <v>314</v>
      </c>
      <c r="K31" s="21">
        <v>35</v>
      </c>
      <c r="L31" s="21">
        <v>213</v>
      </c>
      <c r="M31" s="21">
        <v>78</v>
      </c>
      <c r="N31" s="21">
        <v>243</v>
      </c>
      <c r="O31" s="19">
        <v>308</v>
      </c>
      <c r="P31" s="22">
        <v>27</v>
      </c>
      <c r="Q31" s="22">
        <v>15</v>
      </c>
      <c r="R31" s="20" t="s">
        <v>51</v>
      </c>
      <c r="S31" s="234">
        <f>COUNTIFS(INP_DATA!$R$5:$R$3027,S$4,INP_DATA!$D$5:$D$3027,$D31,INP_DATA!$B$5:$B$3027,$B31)</f>
        <v>0</v>
      </c>
      <c r="T31" s="235">
        <f>COUNTIFS(INP_DATA!$R$5:$R$3027,T$4,INP_DATA!$D$5:$D$3027,$D31,INP_DATA!$B$5:$B$3027,$B31)</f>
        <v>1</v>
      </c>
    </row>
    <row r="32" spans="1:20" x14ac:dyDescent="0.35">
      <c r="A32" s="3" t="s">
        <v>16</v>
      </c>
      <c r="B32" s="165">
        <v>44927</v>
      </c>
      <c r="C32" s="57" t="str">
        <f>IF($B32="","",YEAR($B32)&amp;"-"&amp;IFERROR(VLOOKUP(MONTH(B32),KEY!$AE$5:$AF$16,2,FALSE),""))</f>
        <v>2023-Q1</v>
      </c>
      <c r="D32" s="3" t="s">
        <v>137</v>
      </c>
      <c r="E32" s="219">
        <v>17</v>
      </c>
      <c r="F32" s="166">
        <v>77</v>
      </c>
      <c r="G32" s="166">
        <v>79</v>
      </c>
      <c r="H32" s="21">
        <v>252</v>
      </c>
      <c r="I32" s="21">
        <v>22</v>
      </c>
      <c r="J32" s="21">
        <v>153</v>
      </c>
      <c r="K32" s="21">
        <v>18</v>
      </c>
      <c r="L32" s="21">
        <v>118</v>
      </c>
      <c r="M32" s="21">
        <v>60</v>
      </c>
      <c r="N32" s="21">
        <v>79</v>
      </c>
      <c r="O32" s="19">
        <v>154</v>
      </c>
      <c r="P32" s="22">
        <v>7</v>
      </c>
      <c r="Q32" s="22">
        <v>3</v>
      </c>
      <c r="R32" s="20" t="s">
        <v>51</v>
      </c>
      <c r="S32" s="234">
        <f>COUNTIFS(INP_DATA!$R$5:$R$3027,S$4,INP_DATA!$D$5:$D$3027,$D32,INP_DATA!$B$5:$B$3027,$B32)</f>
        <v>0</v>
      </c>
      <c r="T32" s="235">
        <f>COUNTIFS(INP_DATA!$R$5:$R$3027,T$4,INP_DATA!$D$5:$D$3027,$D32,INP_DATA!$B$5:$B$3027,$B32)</f>
        <v>1</v>
      </c>
    </row>
    <row r="33" spans="1:20" x14ac:dyDescent="0.35">
      <c r="A33" s="3" t="s">
        <v>109</v>
      </c>
      <c r="B33" s="165">
        <v>44927</v>
      </c>
      <c r="C33" s="57" t="str">
        <f>IF($B33="","",YEAR($B33)&amp;"-"&amp;IFERROR(VLOOKUP(MONTH(B33),KEY!$AE$5:$AF$16,2,FALSE),""))</f>
        <v>2023-Q1</v>
      </c>
      <c r="D33" s="3" t="s">
        <v>138</v>
      </c>
      <c r="E33" s="219">
        <v>20</v>
      </c>
      <c r="F33" s="166">
        <v>123</v>
      </c>
      <c r="G33" s="166">
        <v>99</v>
      </c>
      <c r="H33" s="21">
        <v>174</v>
      </c>
      <c r="I33" s="21">
        <v>33</v>
      </c>
      <c r="J33" s="21">
        <v>111</v>
      </c>
      <c r="K33" s="21">
        <v>34</v>
      </c>
      <c r="L33" s="21">
        <v>186</v>
      </c>
      <c r="M33" s="21">
        <v>91</v>
      </c>
      <c r="N33" s="21">
        <v>132</v>
      </c>
      <c r="O33" s="19">
        <v>110</v>
      </c>
      <c r="P33" s="22">
        <v>19</v>
      </c>
      <c r="Q33" s="22">
        <v>12</v>
      </c>
      <c r="R33" s="20" t="s">
        <v>51</v>
      </c>
      <c r="S33" s="234">
        <f>COUNTIFS(INP_DATA!$R$5:$R$3027,S$4,INP_DATA!$D$5:$D$3027,$D33,INP_DATA!$B$5:$B$3027,$B33)</f>
        <v>0</v>
      </c>
      <c r="T33" s="235">
        <f>COUNTIFS(INP_DATA!$R$5:$R$3027,T$4,INP_DATA!$D$5:$D$3027,$D33,INP_DATA!$B$5:$B$3027,$B33)</f>
        <v>1</v>
      </c>
    </row>
    <row r="34" spans="1:20" x14ac:dyDescent="0.35">
      <c r="A34" s="3" t="s">
        <v>108</v>
      </c>
      <c r="B34" s="165">
        <v>44927</v>
      </c>
      <c r="C34" s="57" t="str">
        <f>IF($B34="","",YEAR($B34)&amp;"-"&amp;IFERROR(VLOOKUP(MONTH(B34),KEY!$AE$5:$AF$16,2,FALSE),""))</f>
        <v>2023-Q1</v>
      </c>
      <c r="D34" s="3" t="s">
        <v>139</v>
      </c>
      <c r="E34" s="219">
        <v>71</v>
      </c>
      <c r="F34" s="166">
        <v>138</v>
      </c>
      <c r="G34" s="166">
        <v>190</v>
      </c>
      <c r="H34" s="21">
        <v>326</v>
      </c>
      <c r="I34" s="21">
        <v>25</v>
      </c>
      <c r="J34" s="21">
        <v>189</v>
      </c>
      <c r="K34" s="21">
        <v>18</v>
      </c>
      <c r="L34" s="21">
        <v>218</v>
      </c>
      <c r="M34" s="21">
        <v>75</v>
      </c>
      <c r="N34" s="21">
        <v>141</v>
      </c>
      <c r="O34" s="19">
        <v>330</v>
      </c>
      <c r="P34" s="22">
        <v>55</v>
      </c>
      <c r="Q34" s="22">
        <v>32</v>
      </c>
      <c r="R34" s="20" t="s">
        <v>58</v>
      </c>
      <c r="S34" s="234">
        <f>COUNTIFS(INP_DATA!$R$5:$R$3027,S$4,INP_DATA!$D$5:$D$3027,$D34,INP_DATA!$B$5:$B$3027,$B34)</f>
        <v>1</v>
      </c>
      <c r="T34" s="235">
        <f>COUNTIFS(INP_DATA!$R$5:$R$3027,T$4,INP_DATA!$D$5:$D$3027,$D34,INP_DATA!$B$5:$B$3027,$B34)</f>
        <v>0</v>
      </c>
    </row>
    <row r="35" spans="1:20" x14ac:dyDescent="0.35">
      <c r="A35" s="3" t="s">
        <v>107</v>
      </c>
      <c r="B35" s="165">
        <v>44927</v>
      </c>
      <c r="C35" s="57" t="str">
        <f>IF($B35="","",YEAR($B35)&amp;"-"&amp;IFERROR(VLOOKUP(MONTH(B35),KEY!$AE$5:$AF$16,2,FALSE),""))</f>
        <v>2023-Q1</v>
      </c>
      <c r="D35" s="3" t="s">
        <v>140</v>
      </c>
      <c r="E35" s="219">
        <v>6</v>
      </c>
      <c r="F35" s="166">
        <v>43</v>
      </c>
      <c r="G35" s="166">
        <v>43</v>
      </c>
      <c r="H35" s="21">
        <v>158</v>
      </c>
      <c r="I35" s="21">
        <v>12</v>
      </c>
      <c r="J35" s="21">
        <v>59</v>
      </c>
      <c r="K35" s="21">
        <v>10</v>
      </c>
      <c r="L35" s="21">
        <v>30</v>
      </c>
      <c r="M35" s="21">
        <v>9</v>
      </c>
      <c r="N35" s="21">
        <v>43</v>
      </c>
      <c r="O35" s="19">
        <v>88</v>
      </c>
      <c r="P35" s="22">
        <v>13</v>
      </c>
      <c r="Q35" s="22">
        <v>8</v>
      </c>
      <c r="R35" s="20" t="s">
        <v>51</v>
      </c>
      <c r="S35" s="234">
        <f>COUNTIFS(INP_DATA!$R$5:$R$3027,S$4,INP_DATA!$D$5:$D$3027,$D35,INP_DATA!$B$5:$B$3027,$B35)</f>
        <v>0</v>
      </c>
      <c r="T35" s="235">
        <f>COUNTIFS(INP_DATA!$R$5:$R$3027,T$4,INP_DATA!$D$5:$D$3027,$D35,INP_DATA!$B$5:$B$3027,$B35)</f>
        <v>1</v>
      </c>
    </row>
    <row r="36" spans="1:20" x14ac:dyDescent="0.35">
      <c r="A36" s="3" t="s">
        <v>108</v>
      </c>
      <c r="B36" s="165">
        <v>44927</v>
      </c>
      <c r="C36" s="57" t="str">
        <f>IF($B36="","",YEAR($B36)&amp;"-"&amp;IFERROR(VLOOKUP(MONTH(B36),KEY!$AE$5:$AF$16,2,FALSE),""))</f>
        <v>2023-Q1</v>
      </c>
      <c r="D36" s="3" t="s">
        <v>142</v>
      </c>
      <c r="E36" s="219">
        <v>13</v>
      </c>
      <c r="F36" s="166">
        <v>73</v>
      </c>
      <c r="G36" s="166">
        <v>114</v>
      </c>
      <c r="H36" s="21">
        <v>178</v>
      </c>
      <c r="I36" s="21">
        <v>17</v>
      </c>
      <c r="J36" s="21">
        <v>79</v>
      </c>
      <c r="K36" s="21">
        <v>11</v>
      </c>
      <c r="L36" s="21">
        <v>103</v>
      </c>
      <c r="M36" s="21">
        <v>37</v>
      </c>
      <c r="N36" s="21">
        <v>73</v>
      </c>
      <c r="O36" s="19">
        <v>110</v>
      </c>
      <c r="P36" s="22">
        <v>30</v>
      </c>
      <c r="Q36" s="22">
        <v>22</v>
      </c>
      <c r="R36" s="20" t="s">
        <v>58</v>
      </c>
      <c r="S36" s="234">
        <f>COUNTIFS(INP_DATA!$R$5:$R$3027,S$4,INP_DATA!$D$5:$D$3027,$D36,INP_DATA!$B$5:$B$3027,$B36)</f>
        <v>1</v>
      </c>
      <c r="T36" s="235">
        <f>COUNTIFS(INP_DATA!$R$5:$R$3027,T$4,INP_DATA!$D$5:$D$3027,$D36,INP_DATA!$B$5:$B$3027,$B36)</f>
        <v>0</v>
      </c>
    </row>
    <row r="37" spans="1:20" x14ac:dyDescent="0.35">
      <c r="A37" s="3" t="s">
        <v>16</v>
      </c>
      <c r="B37" s="165">
        <v>44927</v>
      </c>
      <c r="C37" s="57" t="str">
        <f>IF($B37="","",YEAR($B37)&amp;"-"&amp;IFERROR(VLOOKUP(MONTH(B37),KEY!$AE$5:$AF$16,2,FALSE),""))</f>
        <v>2023-Q1</v>
      </c>
      <c r="D37" s="3" t="s">
        <v>143</v>
      </c>
      <c r="E37" s="219">
        <v>17</v>
      </c>
      <c r="F37" s="166">
        <v>77</v>
      </c>
      <c r="G37" s="166">
        <v>71</v>
      </c>
      <c r="H37" s="21">
        <v>145</v>
      </c>
      <c r="I37" s="21">
        <v>19</v>
      </c>
      <c r="J37" s="21">
        <v>99</v>
      </c>
      <c r="K37" s="21">
        <v>13</v>
      </c>
      <c r="L37" s="21">
        <v>146</v>
      </c>
      <c r="M37" s="21">
        <v>53</v>
      </c>
      <c r="N37" s="21">
        <v>77</v>
      </c>
      <c r="O37" s="19">
        <v>198</v>
      </c>
      <c r="P37" s="22">
        <v>10</v>
      </c>
      <c r="Q37" s="22">
        <v>2</v>
      </c>
      <c r="R37" s="20" t="s">
        <v>58</v>
      </c>
      <c r="S37" s="234">
        <f>COUNTIFS(INP_DATA!$R$5:$R$3027,S$4,INP_DATA!$D$5:$D$3027,$D37,INP_DATA!$B$5:$B$3027,$B37)</f>
        <v>1</v>
      </c>
      <c r="T37" s="235">
        <f>COUNTIFS(INP_DATA!$R$5:$R$3027,T$4,INP_DATA!$D$5:$D$3027,$D37,INP_DATA!$B$5:$B$3027,$B37)</f>
        <v>0</v>
      </c>
    </row>
    <row r="38" spans="1:20" x14ac:dyDescent="0.35">
      <c r="A38" s="3" t="s">
        <v>16</v>
      </c>
      <c r="B38" s="165">
        <v>44927</v>
      </c>
      <c r="C38" s="57" t="str">
        <f>IF($B38="","",YEAR($B38)&amp;"-"&amp;IFERROR(VLOOKUP(MONTH(B38),KEY!$AE$5:$AF$16,2,FALSE),""))</f>
        <v>2023-Q1</v>
      </c>
      <c r="D38" s="3" t="s">
        <v>144</v>
      </c>
      <c r="E38" s="219">
        <v>45</v>
      </c>
      <c r="F38" s="166">
        <v>184</v>
      </c>
      <c r="G38" s="166">
        <v>167</v>
      </c>
      <c r="H38" s="21">
        <v>260</v>
      </c>
      <c r="I38" s="21">
        <v>38</v>
      </c>
      <c r="J38" s="21">
        <v>120</v>
      </c>
      <c r="K38" s="21">
        <v>14</v>
      </c>
      <c r="L38" s="21">
        <v>261</v>
      </c>
      <c r="M38" s="21">
        <v>111</v>
      </c>
      <c r="N38" s="21">
        <v>187</v>
      </c>
      <c r="O38" s="19">
        <v>352</v>
      </c>
      <c r="P38" s="22">
        <v>25</v>
      </c>
      <c r="Q38" s="22">
        <v>18</v>
      </c>
      <c r="R38" s="20" t="s">
        <v>58</v>
      </c>
      <c r="S38" s="234">
        <f>COUNTIFS(INP_DATA!$R$5:$R$3027,S$4,INP_DATA!$D$5:$D$3027,$D38,INP_DATA!$B$5:$B$3027,$B38)</f>
        <v>1</v>
      </c>
      <c r="T38" s="235">
        <f>COUNTIFS(INP_DATA!$R$5:$R$3027,T$4,INP_DATA!$D$5:$D$3027,$D38,INP_DATA!$B$5:$B$3027,$B38)</f>
        <v>0</v>
      </c>
    </row>
    <row r="39" spans="1:20" x14ac:dyDescent="0.35">
      <c r="A39" s="3" t="s">
        <v>108</v>
      </c>
      <c r="B39" s="165">
        <v>44927</v>
      </c>
      <c r="C39" s="57" t="str">
        <f>IF($B39="","",YEAR($B39)&amp;"-"&amp;IFERROR(VLOOKUP(MONTH(B39),KEY!$AE$5:$AF$16,2,FALSE),""))</f>
        <v>2023-Q1</v>
      </c>
      <c r="D39" s="3" t="s">
        <v>145</v>
      </c>
      <c r="E39" s="219">
        <v>63</v>
      </c>
      <c r="F39" s="166">
        <v>175</v>
      </c>
      <c r="G39" s="166">
        <v>191</v>
      </c>
      <c r="H39" s="21">
        <v>246</v>
      </c>
      <c r="I39" s="21">
        <v>40</v>
      </c>
      <c r="J39" s="21">
        <v>171</v>
      </c>
      <c r="K39" s="21">
        <v>25</v>
      </c>
      <c r="L39" s="21">
        <v>397</v>
      </c>
      <c r="M39" s="21">
        <v>108</v>
      </c>
      <c r="N39" s="21">
        <v>182</v>
      </c>
      <c r="O39" s="19">
        <v>396</v>
      </c>
      <c r="P39" s="22">
        <v>61</v>
      </c>
      <c r="Q39" s="22">
        <v>36</v>
      </c>
      <c r="R39" s="20" t="s">
        <v>51</v>
      </c>
      <c r="S39" s="234">
        <f>COUNTIFS(INP_DATA!$R$5:$R$3027,S$4,INP_DATA!$D$5:$D$3027,$D39,INP_DATA!$B$5:$B$3027,$B39)</f>
        <v>0</v>
      </c>
      <c r="T39" s="235">
        <f>COUNTIFS(INP_DATA!$R$5:$R$3027,T$4,INP_DATA!$D$5:$D$3027,$D39,INP_DATA!$B$5:$B$3027,$B39)</f>
        <v>1</v>
      </c>
    </row>
    <row r="40" spans="1:20" x14ac:dyDescent="0.35">
      <c r="A40" s="3" t="s">
        <v>16</v>
      </c>
      <c r="B40" s="165">
        <v>44927</v>
      </c>
      <c r="C40" s="57" t="str">
        <f>IF($B40="","",YEAR($B40)&amp;"-"&amp;IFERROR(VLOOKUP(MONTH(B40),KEY!$AE$5:$AF$16,2,FALSE),""))</f>
        <v>2023-Q1</v>
      </c>
      <c r="D40" s="3" t="s">
        <v>146</v>
      </c>
      <c r="E40" s="219">
        <v>6</v>
      </c>
      <c r="F40" s="166">
        <v>43</v>
      </c>
      <c r="G40" s="166">
        <v>48</v>
      </c>
      <c r="H40" s="21">
        <v>99</v>
      </c>
      <c r="I40" s="21">
        <v>10</v>
      </c>
      <c r="J40" s="21">
        <v>40</v>
      </c>
      <c r="K40" s="21">
        <v>3</v>
      </c>
      <c r="L40" s="21">
        <v>43</v>
      </c>
      <c r="M40" s="21">
        <v>19</v>
      </c>
      <c r="N40" s="21">
        <v>31</v>
      </c>
      <c r="O40" s="19">
        <v>88</v>
      </c>
      <c r="P40" s="22">
        <v>2</v>
      </c>
      <c r="Q40" s="22">
        <v>1</v>
      </c>
      <c r="R40" s="20" t="s">
        <v>58</v>
      </c>
      <c r="S40" s="234">
        <f>COUNTIFS(INP_DATA!$R$5:$R$3027,S$4,INP_DATA!$D$5:$D$3027,$D40,INP_DATA!$B$5:$B$3027,$B40)</f>
        <v>1</v>
      </c>
      <c r="T40" s="235">
        <f>COUNTIFS(INP_DATA!$R$5:$R$3027,T$4,INP_DATA!$D$5:$D$3027,$D40,INP_DATA!$B$5:$B$3027,$B40)</f>
        <v>0</v>
      </c>
    </row>
    <row r="41" spans="1:20" x14ac:dyDescent="0.35">
      <c r="A41" s="3" t="s">
        <v>109</v>
      </c>
      <c r="B41" s="165">
        <v>44927</v>
      </c>
      <c r="C41" s="57" t="str">
        <f>IF($B41="","",YEAR($B41)&amp;"-"&amp;IFERROR(VLOOKUP(MONTH(B41),KEY!$AE$5:$AF$16,2,FALSE),""))</f>
        <v>2023-Q1</v>
      </c>
      <c r="D41" s="3" t="s">
        <v>147</v>
      </c>
      <c r="E41" s="219">
        <v>15</v>
      </c>
      <c r="F41" s="166">
        <v>57</v>
      </c>
      <c r="G41" s="166">
        <v>77</v>
      </c>
      <c r="H41" s="21">
        <v>92</v>
      </c>
      <c r="I41" s="21">
        <v>15</v>
      </c>
      <c r="J41" s="21">
        <v>24</v>
      </c>
      <c r="K41" s="21">
        <v>3</v>
      </c>
      <c r="L41" s="21">
        <v>71</v>
      </c>
      <c r="M41" s="21">
        <v>36</v>
      </c>
      <c r="N41" s="21">
        <v>58</v>
      </c>
      <c r="O41" s="19">
        <v>110</v>
      </c>
      <c r="P41" s="22">
        <v>9</v>
      </c>
      <c r="Q41" s="22">
        <v>5</v>
      </c>
      <c r="R41" s="20" t="s">
        <v>58</v>
      </c>
      <c r="S41" s="234">
        <f>COUNTIFS(INP_DATA!$R$5:$R$3027,S$4,INP_DATA!$D$5:$D$3027,$D41,INP_DATA!$B$5:$B$3027,$B41)</f>
        <v>1</v>
      </c>
      <c r="T41" s="235">
        <f>COUNTIFS(INP_DATA!$R$5:$R$3027,T$4,INP_DATA!$D$5:$D$3027,$D41,INP_DATA!$B$5:$B$3027,$B41)</f>
        <v>0</v>
      </c>
    </row>
    <row r="42" spans="1:20" x14ac:dyDescent="0.35">
      <c r="A42" s="3" t="s">
        <v>106</v>
      </c>
      <c r="B42" s="165">
        <v>44927</v>
      </c>
      <c r="C42" s="57" t="str">
        <f>IF($B42="","",YEAR($B42)&amp;"-"&amp;IFERROR(VLOOKUP(MONTH(B42),KEY!$AE$5:$AF$16,2,FALSE),""))</f>
        <v>2023-Q1</v>
      </c>
      <c r="D42" s="3" t="s">
        <v>148</v>
      </c>
      <c r="E42" s="219">
        <v>9</v>
      </c>
      <c r="F42" s="166">
        <v>50</v>
      </c>
      <c r="G42" s="166">
        <v>68</v>
      </c>
      <c r="H42" s="21">
        <v>268</v>
      </c>
      <c r="I42" s="21">
        <v>16</v>
      </c>
      <c r="J42" s="21">
        <v>76</v>
      </c>
      <c r="K42" s="21">
        <v>13</v>
      </c>
      <c r="L42" s="21">
        <v>119</v>
      </c>
      <c r="M42" s="21">
        <v>40</v>
      </c>
      <c r="N42" s="21">
        <v>51</v>
      </c>
      <c r="O42" s="19">
        <v>88</v>
      </c>
      <c r="P42" s="22">
        <v>4</v>
      </c>
      <c r="Q42" s="22">
        <v>1</v>
      </c>
      <c r="R42" s="20" t="s">
        <v>58</v>
      </c>
      <c r="S42" s="234">
        <f>COUNTIFS(INP_DATA!$R$5:$R$3027,S$4,INP_DATA!$D$5:$D$3027,$D42,INP_DATA!$B$5:$B$3027,$B42)</f>
        <v>1</v>
      </c>
      <c r="T42" s="235">
        <f>COUNTIFS(INP_DATA!$R$5:$R$3027,T$4,INP_DATA!$D$5:$D$3027,$D42,INP_DATA!$B$5:$B$3027,$B42)</f>
        <v>0</v>
      </c>
    </row>
    <row r="43" spans="1:20" x14ac:dyDescent="0.35">
      <c r="A43" s="3" t="s">
        <v>107</v>
      </c>
      <c r="B43" s="165">
        <v>44927</v>
      </c>
      <c r="C43" s="57" t="str">
        <f>IF($B43="","",YEAR($B43)&amp;"-"&amp;IFERROR(VLOOKUP(MONTH(B43),KEY!$AE$5:$AF$16,2,FALSE),""))</f>
        <v>2023-Q1</v>
      </c>
      <c r="D43" s="3" t="s">
        <v>149</v>
      </c>
      <c r="E43" s="219">
        <v>1</v>
      </c>
      <c r="F43" s="166">
        <v>23</v>
      </c>
      <c r="G43" s="166">
        <v>31</v>
      </c>
      <c r="H43" s="21">
        <v>49</v>
      </c>
      <c r="I43" s="21">
        <v>7</v>
      </c>
      <c r="J43" s="21">
        <v>24</v>
      </c>
      <c r="K43" s="21">
        <v>3</v>
      </c>
      <c r="L43" s="21">
        <v>23</v>
      </c>
      <c r="M43" s="21">
        <v>12</v>
      </c>
      <c r="N43" s="21">
        <v>25</v>
      </c>
      <c r="O43" s="19">
        <v>44</v>
      </c>
      <c r="P43" s="22">
        <v>2</v>
      </c>
      <c r="Q43" s="22">
        <v>1</v>
      </c>
      <c r="R43" s="20" t="s">
        <v>58</v>
      </c>
      <c r="S43" s="234">
        <f>COUNTIFS(INP_DATA!$R$5:$R$3027,S$4,INP_DATA!$D$5:$D$3027,$D43,INP_DATA!$B$5:$B$3027,$B43)</f>
        <v>1</v>
      </c>
      <c r="T43" s="235">
        <f>COUNTIFS(INP_DATA!$R$5:$R$3027,T$4,INP_DATA!$D$5:$D$3027,$D43,INP_DATA!$B$5:$B$3027,$B43)</f>
        <v>0</v>
      </c>
    </row>
    <row r="44" spans="1:20" x14ac:dyDescent="0.35">
      <c r="A44" s="3" t="s">
        <v>108</v>
      </c>
      <c r="B44" s="165">
        <v>44927</v>
      </c>
      <c r="C44" s="57" t="str">
        <f>IF($B44="","",YEAR($B44)&amp;"-"&amp;IFERROR(VLOOKUP(MONTH(B44),KEY!$AE$5:$AF$16,2,FALSE),""))</f>
        <v>2023-Q1</v>
      </c>
      <c r="D44" s="3" t="s">
        <v>150</v>
      </c>
      <c r="E44" s="219">
        <v>10</v>
      </c>
      <c r="F44" s="166">
        <v>43</v>
      </c>
      <c r="G44" s="166">
        <v>69</v>
      </c>
      <c r="H44" s="21">
        <v>69</v>
      </c>
      <c r="I44" s="21">
        <v>10</v>
      </c>
      <c r="J44" s="21">
        <v>28</v>
      </c>
      <c r="K44" s="21">
        <v>6</v>
      </c>
      <c r="L44" s="21">
        <v>46</v>
      </c>
      <c r="M44" s="21">
        <v>23</v>
      </c>
      <c r="N44" s="21">
        <v>43</v>
      </c>
      <c r="O44" s="19">
        <v>110</v>
      </c>
      <c r="P44" s="22">
        <v>18</v>
      </c>
      <c r="Q44" s="22">
        <v>10</v>
      </c>
      <c r="R44" s="20" t="s">
        <v>58</v>
      </c>
      <c r="S44" s="234">
        <f>COUNTIFS(INP_DATA!$R$5:$R$3027,S$4,INP_DATA!$D$5:$D$3027,$D44,INP_DATA!$B$5:$B$3027,$B44)</f>
        <v>1</v>
      </c>
      <c r="T44" s="235">
        <f>COUNTIFS(INP_DATA!$R$5:$R$3027,T$4,INP_DATA!$D$5:$D$3027,$D44,INP_DATA!$B$5:$B$3027,$B44)</f>
        <v>0</v>
      </c>
    </row>
    <row r="45" spans="1:20" x14ac:dyDescent="0.35">
      <c r="A45" s="3" t="s">
        <v>16</v>
      </c>
      <c r="B45" s="165">
        <v>44927</v>
      </c>
      <c r="C45" s="57" t="str">
        <f>IF($B45="","",YEAR($B45)&amp;"-"&amp;IFERROR(VLOOKUP(MONTH(B45),KEY!$AE$5:$AF$16,2,FALSE),""))</f>
        <v>2023-Q1</v>
      </c>
      <c r="D45" s="3" t="s">
        <v>151</v>
      </c>
      <c r="E45" s="219">
        <v>4</v>
      </c>
      <c r="F45" s="166">
        <v>29</v>
      </c>
      <c r="G45" s="166">
        <v>49</v>
      </c>
      <c r="H45" s="21">
        <v>77</v>
      </c>
      <c r="I45" s="21">
        <v>10</v>
      </c>
      <c r="J45" s="21">
        <v>24</v>
      </c>
      <c r="K45" s="21">
        <v>5</v>
      </c>
      <c r="L45" s="21">
        <v>45</v>
      </c>
      <c r="M45" s="21">
        <v>19</v>
      </c>
      <c r="N45" s="21">
        <v>28</v>
      </c>
      <c r="O45" s="19">
        <v>66</v>
      </c>
      <c r="P45" s="22">
        <v>0</v>
      </c>
      <c r="Q45" s="22">
        <v>0</v>
      </c>
      <c r="R45" s="20" t="s">
        <v>58</v>
      </c>
      <c r="S45" s="234">
        <f>COUNTIFS(INP_DATA!$R$5:$R$3027,S$4,INP_DATA!$D$5:$D$3027,$D45,INP_DATA!$B$5:$B$3027,$B45)</f>
        <v>1</v>
      </c>
      <c r="T45" s="235">
        <f>COUNTIFS(INP_DATA!$R$5:$R$3027,T$4,INP_DATA!$D$5:$D$3027,$D45,INP_DATA!$B$5:$B$3027,$B45)</f>
        <v>0</v>
      </c>
    </row>
    <row r="46" spans="1:20" x14ac:dyDescent="0.35">
      <c r="A46" s="3" t="s">
        <v>106</v>
      </c>
      <c r="B46" s="165">
        <v>44927</v>
      </c>
      <c r="C46" s="57" t="str">
        <f>IF($B46="","",YEAR($B46)&amp;"-"&amp;IFERROR(VLOOKUP(MONTH(B46),KEY!$AE$5:$AF$16,2,FALSE),""))</f>
        <v>2023-Q1</v>
      </c>
      <c r="D46" s="3" t="s">
        <v>152</v>
      </c>
      <c r="E46" s="219">
        <v>34</v>
      </c>
      <c r="F46" s="166">
        <v>179</v>
      </c>
      <c r="G46" s="166">
        <v>209</v>
      </c>
      <c r="H46" s="21">
        <v>476</v>
      </c>
      <c r="I46" s="21">
        <v>46</v>
      </c>
      <c r="J46" s="21">
        <v>114</v>
      </c>
      <c r="K46" s="21">
        <v>17</v>
      </c>
      <c r="L46" s="21">
        <v>247</v>
      </c>
      <c r="M46" s="21">
        <v>80</v>
      </c>
      <c r="N46" s="21">
        <v>179</v>
      </c>
      <c r="O46" s="19">
        <v>264</v>
      </c>
      <c r="P46" s="22">
        <v>69</v>
      </c>
      <c r="Q46" s="22">
        <v>44</v>
      </c>
      <c r="R46" s="20" t="s">
        <v>58</v>
      </c>
      <c r="S46" s="234">
        <f>COUNTIFS(INP_DATA!$R$5:$R$3027,S$4,INP_DATA!$D$5:$D$3027,$D46,INP_DATA!$B$5:$B$3027,$B46)</f>
        <v>1</v>
      </c>
      <c r="T46" s="235">
        <f>COUNTIFS(INP_DATA!$R$5:$R$3027,T$4,INP_DATA!$D$5:$D$3027,$D46,INP_DATA!$B$5:$B$3027,$B46)</f>
        <v>0</v>
      </c>
    </row>
    <row r="47" spans="1:20" x14ac:dyDescent="0.35">
      <c r="A47" s="3" t="s">
        <v>16</v>
      </c>
      <c r="B47" s="165">
        <v>44927</v>
      </c>
      <c r="C47" s="57" t="str">
        <f>IF($B47="","",YEAR($B47)&amp;"-"&amp;IFERROR(VLOOKUP(MONTH(B47),KEY!$AE$5:$AF$16,2,FALSE),""))</f>
        <v>2023-Q1</v>
      </c>
      <c r="D47" s="3" t="s">
        <v>153</v>
      </c>
      <c r="E47" s="219">
        <v>31</v>
      </c>
      <c r="F47" s="166">
        <v>93</v>
      </c>
      <c r="G47" s="166">
        <v>109</v>
      </c>
      <c r="H47" s="21">
        <v>161</v>
      </c>
      <c r="I47" s="21">
        <v>15</v>
      </c>
      <c r="J47" s="21">
        <v>83</v>
      </c>
      <c r="K47" s="21">
        <v>5</v>
      </c>
      <c r="L47" s="21">
        <v>113</v>
      </c>
      <c r="M47" s="21">
        <v>19</v>
      </c>
      <c r="N47" s="21">
        <v>93</v>
      </c>
      <c r="O47" s="19">
        <v>264</v>
      </c>
      <c r="P47" s="22">
        <v>5</v>
      </c>
      <c r="Q47" s="22">
        <v>5</v>
      </c>
      <c r="R47" s="20" t="s">
        <v>194</v>
      </c>
      <c r="S47" s="234">
        <f>COUNTIFS(INP_DATA!$R$5:$R$3027,S$4,INP_DATA!$D$5:$D$3027,$D47,INP_DATA!$B$5:$B$3027,$B47)</f>
        <v>0</v>
      </c>
      <c r="T47" s="235">
        <f>COUNTIFS(INP_DATA!$R$5:$R$3027,T$4,INP_DATA!$D$5:$D$3027,$D47,INP_DATA!$B$5:$B$3027,$B47)</f>
        <v>0</v>
      </c>
    </row>
    <row r="48" spans="1:20" x14ac:dyDescent="0.35">
      <c r="A48" s="3" t="s">
        <v>106</v>
      </c>
      <c r="B48" s="165">
        <v>44927</v>
      </c>
      <c r="C48" s="57" t="str">
        <f>IF($B48="","",YEAR($B48)&amp;"-"&amp;IFERROR(VLOOKUP(MONTH(B48),KEY!$AE$5:$AF$16,2,FALSE),""))</f>
        <v>2023-Q1</v>
      </c>
      <c r="D48" s="3" t="s">
        <v>154</v>
      </c>
      <c r="E48" s="219">
        <v>12</v>
      </c>
      <c r="F48" s="166">
        <v>65</v>
      </c>
      <c r="G48" s="166">
        <v>82</v>
      </c>
      <c r="H48" s="21">
        <v>210</v>
      </c>
      <c r="I48" s="21">
        <v>33</v>
      </c>
      <c r="J48" s="21">
        <v>129</v>
      </c>
      <c r="K48" s="21">
        <v>9</v>
      </c>
      <c r="L48" s="21">
        <v>157</v>
      </c>
      <c r="M48" s="21">
        <v>41</v>
      </c>
      <c r="N48" s="21">
        <v>58</v>
      </c>
      <c r="O48" s="19">
        <v>110</v>
      </c>
      <c r="P48" s="22">
        <v>14</v>
      </c>
      <c r="Q48" s="22">
        <v>10</v>
      </c>
      <c r="R48" s="20" t="s">
        <v>194</v>
      </c>
      <c r="S48" s="234">
        <f>COUNTIFS(INP_DATA!$R$5:$R$3027,S$4,INP_DATA!$D$5:$D$3027,$D48,INP_DATA!$B$5:$B$3027,$B48)</f>
        <v>0</v>
      </c>
      <c r="T48" s="235">
        <f>COUNTIFS(INP_DATA!$R$5:$R$3027,T$4,INP_DATA!$D$5:$D$3027,$D48,INP_DATA!$B$5:$B$3027,$B48)</f>
        <v>0</v>
      </c>
    </row>
    <row r="49" spans="1:20" x14ac:dyDescent="0.35">
      <c r="A49" s="3" t="s">
        <v>109</v>
      </c>
      <c r="B49" s="165">
        <v>44927</v>
      </c>
      <c r="C49" s="57" t="str">
        <f>IF($B49="","",YEAR($B49)&amp;"-"&amp;IFERROR(VLOOKUP(MONTH(B49),KEY!$AE$5:$AF$16,2,FALSE),""))</f>
        <v>2023-Q1</v>
      </c>
      <c r="D49" s="3" t="s">
        <v>155</v>
      </c>
      <c r="E49" s="219">
        <v>33</v>
      </c>
      <c r="F49" s="166">
        <v>249</v>
      </c>
      <c r="G49" s="166">
        <v>254</v>
      </c>
      <c r="H49" s="21">
        <v>686</v>
      </c>
      <c r="I49" s="21">
        <v>66</v>
      </c>
      <c r="J49" s="21">
        <v>257</v>
      </c>
      <c r="K49" s="21">
        <v>38</v>
      </c>
      <c r="L49" s="21">
        <v>301</v>
      </c>
      <c r="M49" s="21">
        <v>129</v>
      </c>
      <c r="N49" s="21">
        <v>255</v>
      </c>
      <c r="O49" s="19">
        <v>506</v>
      </c>
      <c r="P49" s="22">
        <v>34</v>
      </c>
      <c r="Q49" s="22">
        <v>19</v>
      </c>
      <c r="R49" s="20" t="s">
        <v>51</v>
      </c>
      <c r="S49" s="234">
        <f>COUNTIFS(INP_DATA!$R$5:$R$3027,S$4,INP_DATA!$D$5:$D$3027,$D49,INP_DATA!$B$5:$B$3027,$B49)</f>
        <v>0</v>
      </c>
      <c r="T49" s="235">
        <f>COUNTIFS(INP_DATA!$R$5:$R$3027,T$4,INP_DATA!$D$5:$D$3027,$D49,INP_DATA!$B$5:$B$3027,$B49)</f>
        <v>1</v>
      </c>
    </row>
    <row r="50" spans="1:20" x14ac:dyDescent="0.35">
      <c r="A50" s="3" t="s">
        <v>109</v>
      </c>
      <c r="B50" s="165">
        <v>44927</v>
      </c>
      <c r="C50" s="57" t="str">
        <f>IF($B50="","",YEAR($B50)&amp;"-"&amp;IFERROR(VLOOKUP(MONTH(B50),KEY!$AE$5:$AF$16,2,FALSE),""))</f>
        <v>2023-Q1</v>
      </c>
      <c r="D50" s="3" t="s">
        <v>156</v>
      </c>
      <c r="E50" s="219">
        <v>83</v>
      </c>
      <c r="F50" s="166">
        <v>259</v>
      </c>
      <c r="G50" s="166">
        <v>203</v>
      </c>
      <c r="H50" s="21">
        <v>867</v>
      </c>
      <c r="I50" s="21">
        <v>71</v>
      </c>
      <c r="J50" s="21">
        <v>362</v>
      </c>
      <c r="K50" s="21">
        <v>31</v>
      </c>
      <c r="L50" s="21">
        <v>417</v>
      </c>
      <c r="M50" s="21">
        <v>121</v>
      </c>
      <c r="N50" s="21">
        <v>266</v>
      </c>
      <c r="O50" s="19">
        <v>418</v>
      </c>
      <c r="P50" s="22">
        <v>9</v>
      </c>
      <c r="Q50" s="22">
        <v>6</v>
      </c>
      <c r="R50" s="20" t="s">
        <v>51</v>
      </c>
      <c r="S50" s="234">
        <f>COUNTIFS(INP_DATA!$R$5:$R$3027,S$4,INP_DATA!$D$5:$D$3027,$D50,INP_DATA!$B$5:$B$3027,$B50)</f>
        <v>0</v>
      </c>
      <c r="T50" s="235">
        <f>COUNTIFS(INP_DATA!$R$5:$R$3027,T$4,INP_DATA!$D$5:$D$3027,$D50,INP_DATA!$B$5:$B$3027,$B50)</f>
        <v>1</v>
      </c>
    </row>
    <row r="51" spans="1:20" x14ac:dyDescent="0.35">
      <c r="A51" s="3" t="s">
        <v>109</v>
      </c>
      <c r="B51" s="165">
        <v>44927</v>
      </c>
      <c r="C51" s="57" t="str">
        <f>IF($B51="","",YEAR($B51)&amp;"-"&amp;IFERROR(VLOOKUP(MONTH(B51),KEY!$AE$5:$AF$16,2,FALSE),""))</f>
        <v>2023-Q1</v>
      </c>
      <c r="D51" s="3" t="s">
        <v>157</v>
      </c>
      <c r="E51" s="219">
        <v>24</v>
      </c>
      <c r="F51" s="166">
        <v>164</v>
      </c>
      <c r="G51" s="166">
        <v>228</v>
      </c>
      <c r="H51" s="21">
        <v>693</v>
      </c>
      <c r="I51" s="21">
        <v>41</v>
      </c>
      <c r="J51" s="21">
        <v>357</v>
      </c>
      <c r="K51" s="21">
        <v>28</v>
      </c>
      <c r="L51" s="21">
        <v>155</v>
      </c>
      <c r="M51" s="21">
        <v>50</v>
      </c>
      <c r="N51" s="21">
        <v>181</v>
      </c>
      <c r="O51" s="19">
        <v>506</v>
      </c>
      <c r="P51" s="22">
        <v>15</v>
      </c>
      <c r="Q51" s="22">
        <v>11</v>
      </c>
      <c r="R51" s="20" t="s">
        <v>51</v>
      </c>
      <c r="S51" s="234">
        <f>COUNTIFS(INP_DATA!$R$5:$R$3027,S$4,INP_DATA!$D$5:$D$3027,$D51,INP_DATA!$B$5:$B$3027,$B51)</f>
        <v>0</v>
      </c>
      <c r="T51" s="235">
        <f>COUNTIFS(INP_DATA!$R$5:$R$3027,T$4,INP_DATA!$D$5:$D$3027,$D51,INP_DATA!$B$5:$B$3027,$B51)</f>
        <v>1</v>
      </c>
    </row>
    <row r="52" spans="1:20" x14ac:dyDescent="0.35">
      <c r="A52" s="3" t="s">
        <v>16</v>
      </c>
      <c r="B52" s="165">
        <v>44927</v>
      </c>
      <c r="C52" s="57" t="str">
        <f>IF($B52="","",YEAR($B52)&amp;"-"&amp;IFERROR(VLOOKUP(MONTH(B52),KEY!$AE$5:$AF$16,2,FALSE),""))</f>
        <v>2023-Q1</v>
      </c>
      <c r="D52" s="3" t="s">
        <v>158</v>
      </c>
      <c r="E52" s="219">
        <v>2</v>
      </c>
      <c r="F52" s="166">
        <v>26</v>
      </c>
      <c r="G52" s="166">
        <v>48</v>
      </c>
      <c r="H52" s="21">
        <v>45</v>
      </c>
      <c r="I52" s="21">
        <v>6</v>
      </c>
      <c r="J52" s="21">
        <v>33</v>
      </c>
      <c r="K52" s="21">
        <v>5</v>
      </c>
      <c r="L52" s="21">
        <v>66</v>
      </c>
      <c r="M52" s="21">
        <v>8</v>
      </c>
      <c r="N52" s="21">
        <v>26</v>
      </c>
      <c r="O52" s="19">
        <v>110</v>
      </c>
      <c r="P52" s="22" t="s">
        <v>194</v>
      </c>
      <c r="Q52" s="22" t="s">
        <v>194</v>
      </c>
      <c r="R52" s="20" t="s">
        <v>194</v>
      </c>
      <c r="S52" s="234">
        <f>COUNTIFS(INP_DATA!$R$5:$R$3027,S$4,INP_DATA!$D$5:$D$3027,$D52,INP_DATA!$B$5:$B$3027,$B52)</f>
        <v>0</v>
      </c>
      <c r="T52" s="235">
        <f>COUNTIFS(INP_DATA!$R$5:$R$3027,T$4,INP_DATA!$D$5:$D$3027,$D52,INP_DATA!$B$5:$B$3027,$B52)</f>
        <v>0</v>
      </c>
    </row>
    <row r="53" spans="1:20" x14ac:dyDescent="0.35">
      <c r="A53" s="3" t="s">
        <v>107</v>
      </c>
      <c r="B53" s="165">
        <v>44927</v>
      </c>
      <c r="C53" s="57" t="str">
        <f>IF($B53="","",YEAR($B53)&amp;"-"&amp;IFERROR(VLOOKUP(MONTH(B53),KEY!$AE$5:$AF$16,2,FALSE),""))</f>
        <v>2023-Q1</v>
      </c>
      <c r="D53" s="3" t="s">
        <v>159</v>
      </c>
      <c r="E53" s="219">
        <v>22</v>
      </c>
      <c r="F53" s="166">
        <v>103</v>
      </c>
      <c r="G53" s="166">
        <v>148</v>
      </c>
      <c r="H53" s="21">
        <v>319</v>
      </c>
      <c r="I53" s="21">
        <v>24</v>
      </c>
      <c r="J53" s="21">
        <v>118</v>
      </c>
      <c r="K53" s="21">
        <v>21</v>
      </c>
      <c r="L53" s="21">
        <v>244</v>
      </c>
      <c r="M53" s="21">
        <v>86</v>
      </c>
      <c r="N53" s="21">
        <v>109</v>
      </c>
      <c r="O53" s="19">
        <v>198</v>
      </c>
      <c r="P53" s="22">
        <v>33</v>
      </c>
      <c r="Q53" s="22">
        <v>17</v>
      </c>
      <c r="R53" s="20" t="s">
        <v>194</v>
      </c>
      <c r="S53" s="234">
        <f>COUNTIFS(INP_DATA!$R$5:$R$3027,S$4,INP_DATA!$D$5:$D$3027,$D53,INP_DATA!$B$5:$B$3027,$B53)</f>
        <v>0</v>
      </c>
      <c r="T53" s="235">
        <f>COUNTIFS(INP_DATA!$R$5:$R$3027,T$4,INP_DATA!$D$5:$D$3027,$D53,INP_DATA!$B$5:$B$3027,$B53)</f>
        <v>0</v>
      </c>
    </row>
    <row r="54" spans="1:20" x14ac:dyDescent="0.35">
      <c r="A54" s="3" t="s">
        <v>16</v>
      </c>
      <c r="B54" s="165">
        <v>44927</v>
      </c>
      <c r="C54" s="57" t="str">
        <f>IF($B54="","",YEAR($B54)&amp;"-"&amp;IFERROR(VLOOKUP(MONTH(B54),KEY!$AE$5:$AF$16,2,FALSE),""))</f>
        <v>2023-Q1</v>
      </c>
      <c r="D54" s="3" t="s">
        <v>160</v>
      </c>
      <c r="E54" s="219">
        <v>99</v>
      </c>
      <c r="F54" s="166">
        <v>353</v>
      </c>
      <c r="G54" s="166">
        <v>312</v>
      </c>
      <c r="H54" s="21">
        <v>731</v>
      </c>
      <c r="I54" s="21">
        <v>113</v>
      </c>
      <c r="J54" s="21">
        <v>281</v>
      </c>
      <c r="K54" s="21">
        <v>38</v>
      </c>
      <c r="L54" s="21">
        <v>463</v>
      </c>
      <c r="M54" s="21">
        <v>189</v>
      </c>
      <c r="N54" s="21">
        <v>351</v>
      </c>
      <c r="O54" s="19">
        <v>440</v>
      </c>
      <c r="P54" s="22">
        <v>51</v>
      </c>
      <c r="Q54" s="22">
        <v>29</v>
      </c>
      <c r="R54" s="20" t="s">
        <v>51</v>
      </c>
      <c r="S54" s="234">
        <f>COUNTIFS(INP_DATA!$R$5:$R$3027,S$4,INP_DATA!$D$5:$D$3027,$D54,INP_DATA!$B$5:$B$3027,$B54)</f>
        <v>0</v>
      </c>
      <c r="T54" s="235">
        <f>COUNTIFS(INP_DATA!$R$5:$R$3027,T$4,INP_DATA!$D$5:$D$3027,$D54,INP_DATA!$B$5:$B$3027,$B54)</f>
        <v>1</v>
      </c>
    </row>
    <row r="55" spans="1:20" x14ac:dyDescent="0.35">
      <c r="A55" s="3" t="s">
        <v>106</v>
      </c>
      <c r="B55" s="165">
        <v>44927</v>
      </c>
      <c r="C55" s="57" t="str">
        <f>IF($B55="","",YEAR($B55)&amp;"-"&amp;IFERROR(VLOOKUP(MONTH(B55),KEY!$AE$5:$AF$16,2,FALSE),""))</f>
        <v>2023-Q1</v>
      </c>
      <c r="D55" s="3" t="s">
        <v>161</v>
      </c>
      <c r="E55" s="219">
        <v>27</v>
      </c>
      <c r="F55" s="166">
        <v>233</v>
      </c>
      <c r="G55" s="166">
        <v>265</v>
      </c>
      <c r="H55" s="21">
        <v>598</v>
      </c>
      <c r="I55" s="21">
        <v>52</v>
      </c>
      <c r="J55" s="21">
        <v>249</v>
      </c>
      <c r="K55" s="21">
        <v>39</v>
      </c>
      <c r="L55" s="21">
        <v>365</v>
      </c>
      <c r="M55" s="21">
        <v>104</v>
      </c>
      <c r="N55" s="21">
        <v>235</v>
      </c>
      <c r="O55" s="19">
        <v>440</v>
      </c>
      <c r="P55" s="22">
        <v>16</v>
      </c>
      <c r="Q55" s="22">
        <v>8</v>
      </c>
      <c r="R55" s="20" t="s">
        <v>58</v>
      </c>
      <c r="S55" s="234">
        <f>COUNTIFS(INP_DATA!$R$5:$R$3027,S$4,INP_DATA!$D$5:$D$3027,$D55,INP_DATA!$B$5:$B$3027,$B55)</f>
        <v>1</v>
      </c>
      <c r="T55" s="235">
        <f>COUNTIFS(INP_DATA!$R$5:$R$3027,T$4,INP_DATA!$D$5:$D$3027,$D55,INP_DATA!$B$5:$B$3027,$B55)</f>
        <v>0</v>
      </c>
    </row>
    <row r="56" spans="1:20" x14ac:dyDescent="0.35">
      <c r="A56" s="3" t="s">
        <v>109</v>
      </c>
      <c r="B56" s="165">
        <v>44927</v>
      </c>
      <c r="C56" s="57" t="str">
        <f>IF($B56="","",YEAR($B56)&amp;"-"&amp;IFERROR(VLOOKUP(MONTH(B56),KEY!$AE$5:$AF$16,2,FALSE),""))</f>
        <v>2023-Q1</v>
      </c>
      <c r="D56" s="3" t="s">
        <v>162</v>
      </c>
      <c r="E56" s="219">
        <v>52</v>
      </c>
      <c r="F56" s="166">
        <v>340</v>
      </c>
      <c r="G56" s="166">
        <v>423</v>
      </c>
      <c r="H56" s="21">
        <v>817</v>
      </c>
      <c r="I56" s="21">
        <v>68</v>
      </c>
      <c r="J56" s="21">
        <v>454</v>
      </c>
      <c r="K56" s="21">
        <v>53</v>
      </c>
      <c r="L56" s="21">
        <v>614</v>
      </c>
      <c r="M56" s="21">
        <v>162</v>
      </c>
      <c r="N56" s="21">
        <v>373</v>
      </c>
      <c r="O56" s="19">
        <v>726</v>
      </c>
      <c r="P56" s="22">
        <v>26</v>
      </c>
      <c r="Q56" s="22">
        <v>18</v>
      </c>
      <c r="R56" s="20" t="s">
        <v>58</v>
      </c>
      <c r="S56" s="234">
        <f>COUNTIFS(INP_DATA!$R$5:$R$3027,S$4,INP_DATA!$D$5:$D$3027,$D56,INP_DATA!$B$5:$B$3027,$B56)</f>
        <v>1</v>
      </c>
      <c r="T56" s="235">
        <f>COUNTIFS(INP_DATA!$R$5:$R$3027,T$4,INP_DATA!$D$5:$D$3027,$D56,INP_DATA!$B$5:$B$3027,$B56)</f>
        <v>0</v>
      </c>
    </row>
    <row r="57" spans="1:20" x14ac:dyDescent="0.35">
      <c r="A57" s="3" t="s">
        <v>16</v>
      </c>
      <c r="B57" s="165">
        <v>44927</v>
      </c>
      <c r="C57" s="57" t="str">
        <f>IF($B57="","",YEAR($B57)&amp;"-"&amp;IFERROR(VLOOKUP(MONTH(B57),KEY!$AE$5:$AF$16,2,FALSE),""))</f>
        <v>2023-Q1</v>
      </c>
      <c r="D57" s="3" t="s">
        <v>163</v>
      </c>
      <c r="E57" s="219">
        <v>33</v>
      </c>
      <c r="F57" s="166">
        <v>236</v>
      </c>
      <c r="G57" s="166">
        <v>207</v>
      </c>
      <c r="H57" s="21">
        <v>411</v>
      </c>
      <c r="I57" s="21">
        <v>71</v>
      </c>
      <c r="J57" s="21">
        <v>321</v>
      </c>
      <c r="K57" s="21">
        <v>68</v>
      </c>
      <c r="L57" s="21">
        <v>463</v>
      </c>
      <c r="M57" s="21">
        <v>157</v>
      </c>
      <c r="N57" s="21">
        <v>242</v>
      </c>
      <c r="O57" s="19">
        <v>462</v>
      </c>
      <c r="P57" s="22">
        <v>15</v>
      </c>
      <c r="Q57" s="22">
        <v>7</v>
      </c>
      <c r="R57" s="20" t="s">
        <v>51</v>
      </c>
      <c r="S57" s="234">
        <f>COUNTIFS(INP_DATA!$R$5:$R$3027,S$4,INP_DATA!$D$5:$D$3027,$D57,INP_DATA!$B$5:$B$3027,$B57)</f>
        <v>0</v>
      </c>
      <c r="T57" s="235">
        <f>COUNTIFS(INP_DATA!$R$5:$R$3027,T$4,INP_DATA!$D$5:$D$3027,$D57,INP_DATA!$B$5:$B$3027,$B57)</f>
        <v>1</v>
      </c>
    </row>
    <row r="58" spans="1:20" x14ac:dyDescent="0.35">
      <c r="A58" s="3" t="s">
        <v>16</v>
      </c>
      <c r="B58" s="165">
        <v>44927</v>
      </c>
      <c r="C58" s="57" t="str">
        <f>IF($B58="","",YEAR($B58)&amp;"-"&amp;IFERROR(VLOOKUP(MONTH(B58),KEY!$AE$5:$AF$16,2,FALSE),""))</f>
        <v>2023-Q1</v>
      </c>
      <c r="D58" s="3" t="s">
        <v>164</v>
      </c>
      <c r="E58" s="219">
        <v>16</v>
      </c>
      <c r="F58" s="166">
        <v>82</v>
      </c>
      <c r="G58" s="166">
        <v>91</v>
      </c>
      <c r="H58" s="21">
        <v>235</v>
      </c>
      <c r="I58" s="21">
        <v>24</v>
      </c>
      <c r="J58" s="21">
        <v>90</v>
      </c>
      <c r="K58" s="21">
        <v>13</v>
      </c>
      <c r="L58" s="21">
        <v>115</v>
      </c>
      <c r="M58" s="21">
        <v>43</v>
      </c>
      <c r="N58" s="21">
        <v>84</v>
      </c>
      <c r="O58" s="19">
        <v>176</v>
      </c>
      <c r="P58" s="22">
        <v>9</v>
      </c>
      <c r="Q58" s="22">
        <v>3</v>
      </c>
      <c r="R58" s="20" t="s">
        <v>58</v>
      </c>
      <c r="S58" s="234">
        <f>COUNTIFS(INP_DATA!$R$5:$R$3027,S$4,INP_DATA!$D$5:$D$3027,$D58,INP_DATA!$B$5:$B$3027,$B58)</f>
        <v>1</v>
      </c>
      <c r="T58" s="235">
        <f>COUNTIFS(INP_DATA!$R$5:$R$3027,T$4,INP_DATA!$D$5:$D$3027,$D58,INP_DATA!$B$5:$B$3027,$B58)</f>
        <v>0</v>
      </c>
    </row>
    <row r="59" spans="1:20" x14ac:dyDescent="0.35">
      <c r="A59" s="3" t="s">
        <v>107</v>
      </c>
      <c r="B59" s="165">
        <v>44927</v>
      </c>
      <c r="C59" s="57" t="str">
        <f>IF($B59="","",YEAR($B59)&amp;"-"&amp;IFERROR(VLOOKUP(MONTH(B59),KEY!$AE$5:$AF$16,2,FALSE),""))</f>
        <v>2023-Q1</v>
      </c>
      <c r="D59" s="3" t="s">
        <v>165</v>
      </c>
      <c r="E59" s="219">
        <v>17</v>
      </c>
      <c r="F59" s="166">
        <v>98</v>
      </c>
      <c r="G59" s="166">
        <v>90</v>
      </c>
      <c r="H59" s="21">
        <v>207</v>
      </c>
      <c r="I59" s="21">
        <v>30</v>
      </c>
      <c r="J59" s="21">
        <v>66</v>
      </c>
      <c r="K59" s="21">
        <v>15</v>
      </c>
      <c r="L59" s="21">
        <v>135</v>
      </c>
      <c r="M59" s="21">
        <v>65</v>
      </c>
      <c r="N59" s="21">
        <v>98</v>
      </c>
      <c r="O59" s="19">
        <v>176</v>
      </c>
      <c r="P59" s="22">
        <v>34</v>
      </c>
      <c r="Q59" s="22">
        <v>20</v>
      </c>
      <c r="R59" s="20" t="s">
        <v>51</v>
      </c>
      <c r="S59" s="234">
        <f>COUNTIFS(INP_DATA!$R$5:$R$3027,S$4,INP_DATA!$D$5:$D$3027,$D59,INP_DATA!$B$5:$B$3027,$B59)</f>
        <v>0</v>
      </c>
      <c r="T59" s="235">
        <f>COUNTIFS(INP_DATA!$R$5:$R$3027,T$4,INP_DATA!$D$5:$D$3027,$D59,INP_DATA!$B$5:$B$3027,$B59)</f>
        <v>1</v>
      </c>
    </row>
    <row r="60" spans="1:20" x14ac:dyDescent="0.35">
      <c r="A60" s="3" t="s">
        <v>16</v>
      </c>
      <c r="B60" s="165">
        <v>44958</v>
      </c>
      <c r="C60" s="57" t="str">
        <f>IF($B60="","",YEAR($B60)&amp;"-"&amp;IFERROR(VLOOKUP(MONTH(B60),KEY!$AE$5:$AF$16,2,FALSE),""))</f>
        <v>2023-Q1</v>
      </c>
      <c r="D60" s="3" t="s">
        <v>111</v>
      </c>
      <c r="E60" s="219">
        <v>12</v>
      </c>
      <c r="F60" s="166">
        <v>71</v>
      </c>
      <c r="G60" s="166">
        <v>86</v>
      </c>
      <c r="H60" s="21">
        <v>202</v>
      </c>
      <c r="I60" s="21">
        <v>32</v>
      </c>
      <c r="J60" s="21">
        <v>67</v>
      </c>
      <c r="K60" s="21">
        <v>10</v>
      </c>
      <c r="L60" s="21">
        <v>146</v>
      </c>
      <c r="M60" s="21">
        <v>49</v>
      </c>
      <c r="N60" s="21">
        <v>74</v>
      </c>
      <c r="O60" s="19">
        <v>160</v>
      </c>
      <c r="P60" s="22">
        <v>13</v>
      </c>
      <c r="Q60" s="22">
        <v>12</v>
      </c>
      <c r="R60" s="20" t="s">
        <v>58</v>
      </c>
      <c r="S60" s="234">
        <f>COUNTIFS(INP_DATA!$R$5:$R$3027,S$4,INP_DATA!$D$5:$D$3027,$D60,INP_DATA!$B$5:$B$3027,$B60)</f>
        <v>1</v>
      </c>
      <c r="T60" s="235">
        <f>COUNTIFS(INP_DATA!$R$5:$R$3027,T$4,INP_DATA!$D$5:$D$3027,$D60,INP_DATA!$B$5:$B$3027,$B60)</f>
        <v>0</v>
      </c>
    </row>
    <row r="61" spans="1:20" x14ac:dyDescent="0.35">
      <c r="A61" s="3" t="s">
        <v>108</v>
      </c>
      <c r="B61" s="165">
        <v>44958</v>
      </c>
      <c r="C61" s="57" t="str">
        <f>IF($B61="","",YEAR($B61)&amp;"-"&amp;IFERROR(VLOOKUP(MONTH(B61),KEY!$AE$5:$AF$16,2,FALSE),""))</f>
        <v>2023-Q1</v>
      </c>
      <c r="D61" s="3" t="s">
        <v>112</v>
      </c>
      <c r="E61" s="219">
        <v>6</v>
      </c>
      <c r="F61" s="166">
        <v>32</v>
      </c>
      <c r="G61" s="166">
        <v>38</v>
      </c>
      <c r="H61" s="21">
        <v>84</v>
      </c>
      <c r="I61" s="21">
        <v>8</v>
      </c>
      <c r="J61" s="21">
        <v>28</v>
      </c>
      <c r="K61" s="21">
        <v>2</v>
      </c>
      <c r="L61" s="21">
        <v>69</v>
      </c>
      <c r="M61" s="21">
        <v>21</v>
      </c>
      <c r="N61" s="21">
        <v>32</v>
      </c>
      <c r="O61" s="19">
        <v>80</v>
      </c>
      <c r="P61" s="22">
        <v>11</v>
      </c>
      <c r="Q61" s="22">
        <v>5</v>
      </c>
      <c r="R61" s="20" t="s">
        <v>51</v>
      </c>
      <c r="S61" s="234">
        <f>COUNTIFS(INP_DATA!$R$5:$R$3027,S$4,INP_DATA!$D$5:$D$3027,$D61,INP_DATA!$B$5:$B$3027,$B61)</f>
        <v>0</v>
      </c>
      <c r="T61" s="235">
        <f>COUNTIFS(INP_DATA!$R$5:$R$3027,T$4,INP_DATA!$D$5:$D$3027,$D61,INP_DATA!$B$5:$B$3027,$B61)</f>
        <v>1</v>
      </c>
    </row>
    <row r="62" spans="1:20" x14ac:dyDescent="0.35">
      <c r="A62" s="3" t="s">
        <v>16</v>
      </c>
      <c r="B62" s="165">
        <v>44958</v>
      </c>
      <c r="C62" s="57" t="str">
        <f>IF($B62="","",YEAR($B62)&amp;"-"&amp;IFERROR(VLOOKUP(MONTH(B62),KEY!$AE$5:$AF$16,2,FALSE),""))</f>
        <v>2023-Q1</v>
      </c>
      <c r="D62" s="3" t="s">
        <v>113</v>
      </c>
      <c r="E62" s="219">
        <v>19</v>
      </c>
      <c r="F62" s="166">
        <v>76</v>
      </c>
      <c r="G62" s="166">
        <v>92</v>
      </c>
      <c r="H62" s="21">
        <v>273</v>
      </c>
      <c r="I62" s="21">
        <v>21</v>
      </c>
      <c r="J62" s="21">
        <v>81</v>
      </c>
      <c r="K62" s="21">
        <v>21</v>
      </c>
      <c r="L62" s="21">
        <v>131</v>
      </c>
      <c r="M62" s="21">
        <v>56</v>
      </c>
      <c r="N62" s="21">
        <v>76</v>
      </c>
      <c r="O62" s="19">
        <v>160</v>
      </c>
      <c r="P62" s="22">
        <v>27</v>
      </c>
      <c r="Q62" s="22">
        <v>20</v>
      </c>
      <c r="R62" s="20" t="s">
        <v>51</v>
      </c>
      <c r="S62" s="234">
        <f>COUNTIFS(INP_DATA!$R$5:$R$3027,S$4,INP_DATA!$D$5:$D$3027,$D62,INP_DATA!$B$5:$B$3027,$B62)</f>
        <v>0</v>
      </c>
      <c r="T62" s="235">
        <f>COUNTIFS(INP_DATA!$R$5:$R$3027,T$4,INP_DATA!$D$5:$D$3027,$D62,INP_DATA!$B$5:$B$3027,$B62)</f>
        <v>1</v>
      </c>
    </row>
    <row r="63" spans="1:20" x14ac:dyDescent="0.35">
      <c r="A63" s="3" t="s">
        <v>108</v>
      </c>
      <c r="B63" s="165">
        <v>44958</v>
      </c>
      <c r="C63" s="57" t="str">
        <f>IF($B63="","",YEAR($B63)&amp;"-"&amp;IFERROR(VLOOKUP(MONTH(B63),KEY!$AE$5:$AF$16,2,FALSE),""))</f>
        <v>2023-Q1</v>
      </c>
      <c r="D63" s="3" t="s">
        <v>114</v>
      </c>
      <c r="E63" s="219">
        <v>13</v>
      </c>
      <c r="F63" s="166">
        <v>45</v>
      </c>
      <c r="G63" s="166">
        <v>58</v>
      </c>
      <c r="H63" s="21">
        <v>117</v>
      </c>
      <c r="I63" s="21">
        <v>11</v>
      </c>
      <c r="J63" s="21">
        <v>47</v>
      </c>
      <c r="K63" s="21">
        <v>5</v>
      </c>
      <c r="L63" s="21">
        <v>47</v>
      </c>
      <c r="M63" s="21">
        <v>20</v>
      </c>
      <c r="N63" s="21">
        <v>46</v>
      </c>
      <c r="O63" s="19">
        <v>120</v>
      </c>
      <c r="P63" s="22">
        <v>13</v>
      </c>
      <c r="Q63" s="22">
        <v>9</v>
      </c>
      <c r="R63" s="20" t="s">
        <v>58</v>
      </c>
      <c r="S63" s="234">
        <f>COUNTIFS(INP_DATA!$R$5:$R$3027,S$4,INP_DATA!$D$5:$D$3027,$D63,INP_DATA!$B$5:$B$3027,$B63)</f>
        <v>1</v>
      </c>
      <c r="T63" s="235">
        <f>COUNTIFS(INP_DATA!$R$5:$R$3027,T$4,INP_DATA!$D$5:$D$3027,$D63,INP_DATA!$B$5:$B$3027,$B63)</f>
        <v>0</v>
      </c>
    </row>
    <row r="64" spans="1:20" x14ac:dyDescent="0.35">
      <c r="A64" s="3" t="s">
        <v>107</v>
      </c>
      <c r="B64" s="165">
        <v>44958</v>
      </c>
      <c r="C64" s="57" t="str">
        <f>IF($B64="","",YEAR($B64)&amp;"-"&amp;IFERROR(VLOOKUP(MONTH(B64),KEY!$AE$5:$AF$16,2,FALSE),""))</f>
        <v>2023-Q1</v>
      </c>
      <c r="D64" s="3" t="s">
        <v>115</v>
      </c>
      <c r="E64" s="219">
        <v>1</v>
      </c>
      <c r="F64" s="166">
        <v>0</v>
      </c>
      <c r="G64" s="166">
        <v>0</v>
      </c>
      <c r="H64" s="21">
        <v>164</v>
      </c>
      <c r="I64" s="21">
        <v>15</v>
      </c>
      <c r="J64" s="21">
        <v>57</v>
      </c>
      <c r="K64" s="21">
        <v>11</v>
      </c>
      <c r="L64" s="21">
        <v>61</v>
      </c>
      <c r="M64" s="21">
        <v>26</v>
      </c>
      <c r="N64" s="21">
        <v>51</v>
      </c>
      <c r="O64" s="19">
        <v>100</v>
      </c>
      <c r="P64" s="22" t="s">
        <v>194</v>
      </c>
      <c r="Q64" s="22" t="s">
        <v>194</v>
      </c>
      <c r="R64" s="20" t="s">
        <v>194</v>
      </c>
      <c r="S64" s="234">
        <f>COUNTIFS(INP_DATA!$R$5:$R$3027,S$4,INP_DATA!$D$5:$D$3027,$D64,INP_DATA!$B$5:$B$3027,$B64)</f>
        <v>0</v>
      </c>
      <c r="T64" s="235">
        <f>COUNTIFS(INP_DATA!$R$5:$R$3027,T$4,INP_DATA!$D$5:$D$3027,$D64,INP_DATA!$B$5:$B$3027,$B64)</f>
        <v>0</v>
      </c>
    </row>
    <row r="65" spans="1:20" x14ac:dyDescent="0.35">
      <c r="A65" s="3" t="s">
        <v>16</v>
      </c>
      <c r="B65" s="165">
        <v>44958</v>
      </c>
      <c r="C65" s="57" t="str">
        <f>IF($B65="","",YEAR($B65)&amp;"-"&amp;IFERROR(VLOOKUP(MONTH(B65),KEY!$AE$5:$AF$16,2,FALSE),""))</f>
        <v>2023-Q1</v>
      </c>
      <c r="D65" s="3" t="s">
        <v>116</v>
      </c>
      <c r="E65" s="219">
        <v>24</v>
      </c>
      <c r="F65" s="166">
        <v>130</v>
      </c>
      <c r="G65" s="166">
        <v>165</v>
      </c>
      <c r="H65" s="21">
        <v>188</v>
      </c>
      <c r="I65" s="21">
        <v>24</v>
      </c>
      <c r="J65" s="21">
        <v>110</v>
      </c>
      <c r="K65" s="21">
        <v>11</v>
      </c>
      <c r="L65" s="21">
        <v>222</v>
      </c>
      <c r="M65" s="21">
        <v>71</v>
      </c>
      <c r="N65" s="21">
        <v>130</v>
      </c>
      <c r="O65" s="19">
        <v>240</v>
      </c>
      <c r="P65" s="22">
        <v>41</v>
      </c>
      <c r="Q65" s="22">
        <v>28</v>
      </c>
      <c r="R65" s="20" t="s">
        <v>51</v>
      </c>
      <c r="S65" s="234">
        <f>COUNTIFS(INP_DATA!$R$5:$R$3027,S$4,INP_DATA!$D$5:$D$3027,$D65,INP_DATA!$B$5:$B$3027,$B65)</f>
        <v>0</v>
      </c>
      <c r="T65" s="235">
        <f>COUNTIFS(INP_DATA!$R$5:$R$3027,T$4,INP_DATA!$D$5:$D$3027,$D65,INP_DATA!$B$5:$B$3027,$B65)</f>
        <v>1</v>
      </c>
    </row>
    <row r="66" spans="1:20" x14ac:dyDescent="0.35">
      <c r="A66" s="3" t="s">
        <v>107</v>
      </c>
      <c r="B66" s="165">
        <v>44958</v>
      </c>
      <c r="C66" s="57" t="str">
        <f>IF($B66="","",YEAR($B66)&amp;"-"&amp;IFERROR(VLOOKUP(MONTH(B66),KEY!$AE$5:$AF$16,2,FALSE),""))</f>
        <v>2023-Q1</v>
      </c>
      <c r="D66" s="3" t="s">
        <v>117</v>
      </c>
      <c r="E66" s="219">
        <v>38</v>
      </c>
      <c r="F66" s="166">
        <v>169</v>
      </c>
      <c r="G66" s="166">
        <v>182</v>
      </c>
      <c r="H66" s="21">
        <v>275</v>
      </c>
      <c r="I66" s="21">
        <v>43</v>
      </c>
      <c r="J66" s="21">
        <v>148</v>
      </c>
      <c r="K66" s="21">
        <v>37</v>
      </c>
      <c r="L66" s="21">
        <v>266</v>
      </c>
      <c r="M66" s="21">
        <v>106</v>
      </c>
      <c r="N66" s="21">
        <v>168</v>
      </c>
      <c r="O66" s="19">
        <v>280</v>
      </c>
      <c r="P66" s="22">
        <v>97</v>
      </c>
      <c r="Q66" s="22">
        <v>58</v>
      </c>
      <c r="R66" s="20" t="s">
        <v>51</v>
      </c>
      <c r="S66" s="234">
        <f>COUNTIFS(INP_DATA!$R$5:$R$3027,S$4,INP_DATA!$D$5:$D$3027,$D66,INP_DATA!$B$5:$B$3027,$B66)</f>
        <v>0</v>
      </c>
      <c r="T66" s="235">
        <f>COUNTIFS(INP_DATA!$R$5:$R$3027,T$4,INP_DATA!$D$5:$D$3027,$D66,INP_DATA!$B$5:$B$3027,$B66)</f>
        <v>1</v>
      </c>
    </row>
    <row r="67" spans="1:20" x14ac:dyDescent="0.35">
      <c r="A67" s="3" t="s">
        <v>106</v>
      </c>
      <c r="B67" s="165">
        <v>44958</v>
      </c>
      <c r="C67" s="57" t="str">
        <f>IF($B67="","",YEAR($B67)&amp;"-"&amp;IFERROR(VLOOKUP(MONTH(B67),KEY!$AE$5:$AF$16,2,FALSE),""))</f>
        <v>2023-Q1</v>
      </c>
      <c r="D67" s="3" t="s">
        <v>118</v>
      </c>
      <c r="E67" s="219">
        <v>19</v>
      </c>
      <c r="F67" s="166">
        <v>230</v>
      </c>
      <c r="G67" s="166">
        <v>195</v>
      </c>
      <c r="H67" s="21">
        <v>535</v>
      </c>
      <c r="I67" s="21">
        <v>53</v>
      </c>
      <c r="J67" s="21">
        <v>286</v>
      </c>
      <c r="K67" s="21">
        <v>41</v>
      </c>
      <c r="L67" s="21">
        <v>275</v>
      </c>
      <c r="M67" s="21">
        <v>91</v>
      </c>
      <c r="N67" s="21">
        <v>234</v>
      </c>
      <c r="O67" s="19">
        <v>260</v>
      </c>
      <c r="P67" s="22">
        <v>95</v>
      </c>
      <c r="Q67" s="22">
        <v>58</v>
      </c>
      <c r="R67" s="20" t="s">
        <v>51</v>
      </c>
      <c r="S67" s="234">
        <f>COUNTIFS(INP_DATA!$R$5:$R$3027,S$4,INP_DATA!$D$5:$D$3027,$D67,INP_DATA!$B$5:$B$3027,$B67)</f>
        <v>0</v>
      </c>
      <c r="T67" s="235">
        <f>COUNTIFS(INP_DATA!$R$5:$R$3027,T$4,INP_DATA!$D$5:$D$3027,$D67,INP_DATA!$B$5:$B$3027,$B67)</f>
        <v>1</v>
      </c>
    </row>
    <row r="68" spans="1:20" x14ac:dyDescent="0.35">
      <c r="A68" s="3" t="s">
        <v>16</v>
      </c>
      <c r="B68" s="165">
        <v>44958</v>
      </c>
      <c r="C68" s="57" t="str">
        <f>IF($B68="","",YEAR($B68)&amp;"-"&amp;IFERROR(VLOOKUP(MONTH(B68),KEY!$AE$5:$AF$16,2,FALSE),""))</f>
        <v>2023-Q1</v>
      </c>
      <c r="D68" s="3" t="s">
        <v>119</v>
      </c>
      <c r="E68" s="219">
        <v>8</v>
      </c>
      <c r="F68" s="166">
        <v>26</v>
      </c>
      <c r="G68" s="166">
        <v>29</v>
      </c>
      <c r="H68" s="21">
        <v>46</v>
      </c>
      <c r="I68" s="21">
        <v>6</v>
      </c>
      <c r="J68" s="21">
        <v>31</v>
      </c>
      <c r="K68" s="21">
        <v>2</v>
      </c>
      <c r="L68" s="21">
        <v>20</v>
      </c>
      <c r="M68" s="21">
        <v>4</v>
      </c>
      <c r="N68" s="21">
        <v>25</v>
      </c>
      <c r="O68" s="19">
        <v>80</v>
      </c>
      <c r="P68" s="22" t="s">
        <v>194</v>
      </c>
      <c r="Q68" s="22" t="s">
        <v>194</v>
      </c>
      <c r="R68" s="20" t="s">
        <v>194</v>
      </c>
      <c r="S68" s="234">
        <f>COUNTIFS(INP_DATA!$R$5:$R$3027,S$4,INP_DATA!$D$5:$D$3027,$D68,INP_DATA!$B$5:$B$3027,$B68)</f>
        <v>0</v>
      </c>
      <c r="T68" s="235">
        <f>COUNTIFS(INP_DATA!$R$5:$R$3027,T$4,INP_DATA!$D$5:$D$3027,$D68,INP_DATA!$B$5:$B$3027,$B68)</f>
        <v>0</v>
      </c>
    </row>
    <row r="69" spans="1:20" x14ac:dyDescent="0.35">
      <c r="A69" s="3" t="s">
        <v>16</v>
      </c>
      <c r="B69" s="165">
        <v>44958</v>
      </c>
      <c r="C69" s="57" t="str">
        <f>IF($B69="","",YEAR($B69)&amp;"-"&amp;IFERROR(VLOOKUP(MONTH(B69),KEY!$AE$5:$AF$16,2,FALSE),""))</f>
        <v>2023-Q1</v>
      </c>
      <c r="D69" s="3" t="s">
        <v>120</v>
      </c>
      <c r="E69" s="219">
        <v>49</v>
      </c>
      <c r="F69" s="166">
        <v>326</v>
      </c>
      <c r="G69" s="166">
        <v>360</v>
      </c>
      <c r="H69" s="21">
        <v>803</v>
      </c>
      <c r="I69" s="21">
        <v>91</v>
      </c>
      <c r="J69" s="21">
        <v>307</v>
      </c>
      <c r="K69" s="21">
        <v>39</v>
      </c>
      <c r="L69" s="21">
        <v>412</v>
      </c>
      <c r="M69" s="21">
        <v>161</v>
      </c>
      <c r="N69" s="21">
        <v>332</v>
      </c>
      <c r="O69" s="19">
        <v>500</v>
      </c>
      <c r="P69" s="22">
        <v>46</v>
      </c>
      <c r="Q69" s="22">
        <v>28</v>
      </c>
      <c r="R69" s="20" t="s">
        <v>58</v>
      </c>
      <c r="S69" s="234">
        <f>COUNTIFS(INP_DATA!$R$5:$R$3027,S$4,INP_DATA!$D$5:$D$3027,$D69,INP_DATA!$B$5:$B$3027,$B69)</f>
        <v>1</v>
      </c>
      <c r="T69" s="235">
        <f>COUNTIFS(INP_DATA!$R$5:$R$3027,T$4,INP_DATA!$D$5:$D$3027,$D69,INP_DATA!$B$5:$B$3027,$B69)</f>
        <v>0</v>
      </c>
    </row>
    <row r="70" spans="1:20" x14ac:dyDescent="0.35">
      <c r="A70" s="3" t="s">
        <v>109</v>
      </c>
      <c r="B70" s="165">
        <v>44958</v>
      </c>
      <c r="C70" s="57" t="str">
        <f>IF($B70="","",YEAR($B70)&amp;"-"&amp;IFERROR(VLOOKUP(MONTH(B70),KEY!$AE$5:$AF$16,2,FALSE),""))</f>
        <v>2023-Q1</v>
      </c>
      <c r="D70" s="3" t="s">
        <v>121</v>
      </c>
      <c r="E70" s="219">
        <v>47</v>
      </c>
      <c r="F70" s="166">
        <v>226</v>
      </c>
      <c r="G70" s="166">
        <v>241</v>
      </c>
      <c r="H70" s="21">
        <v>559</v>
      </c>
      <c r="I70" s="21">
        <v>67</v>
      </c>
      <c r="J70" s="21">
        <v>232</v>
      </c>
      <c r="K70" s="21">
        <v>43</v>
      </c>
      <c r="L70" s="21">
        <v>320</v>
      </c>
      <c r="M70" s="21">
        <v>103</v>
      </c>
      <c r="N70" s="21">
        <v>227</v>
      </c>
      <c r="O70" s="19">
        <v>380</v>
      </c>
      <c r="P70" s="22">
        <v>25</v>
      </c>
      <c r="Q70" s="22">
        <v>21</v>
      </c>
      <c r="R70" s="20" t="s">
        <v>58</v>
      </c>
      <c r="S70" s="234">
        <f>COUNTIFS(INP_DATA!$R$5:$R$3027,S$4,INP_DATA!$D$5:$D$3027,$D70,INP_DATA!$B$5:$B$3027,$B70)</f>
        <v>1</v>
      </c>
      <c r="T70" s="235">
        <f>COUNTIFS(INP_DATA!$R$5:$R$3027,T$4,INP_DATA!$D$5:$D$3027,$D70,INP_DATA!$B$5:$B$3027,$B70)</f>
        <v>0</v>
      </c>
    </row>
    <row r="71" spans="1:20" x14ac:dyDescent="0.35">
      <c r="A71" s="3" t="s">
        <v>108</v>
      </c>
      <c r="B71" s="165">
        <v>44958</v>
      </c>
      <c r="C71" s="57" t="str">
        <f>IF($B71="","",YEAR($B71)&amp;"-"&amp;IFERROR(VLOOKUP(MONTH(B71),KEY!$AE$5:$AF$16,2,FALSE),""))</f>
        <v>2023-Q1</v>
      </c>
      <c r="D71" s="3" t="s">
        <v>122</v>
      </c>
      <c r="E71" s="219">
        <v>6</v>
      </c>
      <c r="F71" s="166">
        <v>0</v>
      </c>
      <c r="G71" s="166">
        <v>0</v>
      </c>
      <c r="H71" s="21">
        <v>343</v>
      </c>
      <c r="I71" s="21">
        <v>21</v>
      </c>
      <c r="J71" s="21">
        <v>173</v>
      </c>
      <c r="K71" s="21">
        <v>15</v>
      </c>
      <c r="L71" s="21">
        <v>151</v>
      </c>
      <c r="M71" s="21">
        <v>35</v>
      </c>
      <c r="N71" s="21">
        <v>63</v>
      </c>
      <c r="O71" s="19">
        <v>200</v>
      </c>
      <c r="P71" s="22" t="s">
        <v>194</v>
      </c>
      <c r="Q71" s="22" t="s">
        <v>194</v>
      </c>
      <c r="R71" s="20" t="s">
        <v>58</v>
      </c>
      <c r="S71" s="234">
        <f>COUNTIFS(INP_DATA!$R$5:$R$3027,S$4,INP_DATA!$D$5:$D$3027,$D71,INP_DATA!$B$5:$B$3027,$B71)</f>
        <v>1</v>
      </c>
      <c r="T71" s="235">
        <f>COUNTIFS(INP_DATA!$R$5:$R$3027,T$4,INP_DATA!$D$5:$D$3027,$D71,INP_DATA!$B$5:$B$3027,$B71)</f>
        <v>0</v>
      </c>
    </row>
    <row r="72" spans="1:20" x14ac:dyDescent="0.35">
      <c r="A72" s="3" t="s">
        <v>107</v>
      </c>
      <c r="B72" s="165">
        <v>44958</v>
      </c>
      <c r="C72" s="57" t="str">
        <f>IF($B72="","",YEAR($B72)&amp;"-"&amp;IFERROR(VLOOKUP(MONTH(B72),KEY!$AE$5:$AF$16,2,FALSE),""))</f>
        <v>2023-Q1</v>
      </c>
      <c r="D72" s="3" t="s">
        <v>123</v>
      </c>
      <c r="E72" s="219">
        <v>22</v>
      </c>
      <c r="F72" s="166">
        <v>155</v>
      </c>
      <c r="G72" s="166">
        <v>170</v>
      </c>
      <c r="H72" s="21">
        <v>419</v>
      </c>
      <c r="I72" s="21">
        <v>36</v>
      </c>
      <c r="J72" s="21">
        <v>181</v>
      </c>
      <c r="K72" s="21">
        <v>16</v>
      </c>
      <c r="L72" s="21">
        <v>231</v>
      </c>
      <c r="M72" s="21">
        <v>77</v>
      </c>
      <c r="N72" s="21">
        <v>157</v>
      </c>
      <c r="O72" s="19">
        <v>300</v>
      </c>
      <c r="P72" s="22">
        <v>33</v>
      </c>
      <c r="Q72" s="22">
        <v>20</v>
      </c>
      <c r="R72" s="20" t="s">
        <v>58</v>
      </c>
      <c r="S72" s="234">
        <f>COUNTIFS(INP_DATA!$R$5:$R$3027,S$4,INP_DATA!$D$5:$D$3027,$D72,INP_DATA!$B$5:$B$3027,$B72)</f>
        <v>1</v>
      </c>
      <c r="T72" s="235">
        <f>COUNTIFS(INP_DATA!$R$5:$R$3027,T$4,INP_DATA!$D$5:$D$3027,$D72,INP_DATA!$B$5:$B$3027,$B72)</f>
        <v>0</v>
      </c>
    </row>
    <row r="73" spans="1:20" x14ac:dyDescent="0.35">
      <c r="A73" s="3" t="s">
        <v>108</v>
      </c>
      <c r="B73" s="165">
        <v>44958</v>
      </c>
      <c r="C73" s="57" t="str">
        <f>IF($B73="","",YEAR($B73)&amp;"-"&amp;IFERROR(VLOOKUP(MONTH(B73),KEY!$AE$5:$AF$16,2,FALSE),""))</f>
        <v>2023-Q1</v>
      </c>
      <c r="D73" s="3" t="s">
        <v>124</v>
      </c>
      <c r="E73" s="219">
        <v>90</v>
      </c>
      <c r="F73" s="166">
        <v>226</v>
      </c>
      <c r="G73" s="166">
        <v>227</v>
      </c>
      <c r="H73" s="21">
        <v>430</v>
      </c>
      <c r="I73" s="21">
        <v>56</v>
      </c>
      <c r="J73" s="21">
        <v>184</v>
      </c>
      <c r="K73" s="21">
        <v>16</v>
      </c>
      <c r="L73" s="21">
        <v>340</v>
      </c>
      <c r="M73" s="21">
        <v>138</v>
      </c>
      <c r="N73" s="21">
        <v>227</v>
      </c>
      <c r="O73" s="19">
        <v>420</v>
      </c>
      <c r="P73" s="22">
        <v>61</v>
      </c>
      <c r="Q73" s="22">
        <v>35</v>
      </c>
      <c r="R73" s="20" t="s">
        <v>58</v>
      </c>
      <c r="S73" s="234">
        <f>COUNTIFS(INP_DATA!$R$5:$R$3027,S$4,INP_DATA!$D$5:$D$3027,$D73,INP_DATA!$B$5:$B$3027,$B73)</f>
        <v>1</v>
      </c>
      <c r="T73" s="235">
        <f>COUNTIFS(INP_DATA!$R$5:$R$3027,T$4,INP_DATA!$D$5:$D$3027,$D73,INP_DATA!$B$5:$B$3027,$B73)</f>
        <v>0</v>
      </c>
    </row>
    <row r="74" spans="1:20" x14ac:dyDescent="0.35">
      <c r="A74" s="3" t="s">
        <v>106</v>
      </c>
      <c r="B74" s="165">
        <v>44958</v>
      </c>
      <c r="C74" s="57" t="str">
        <f>IF($B74="","",YEAR($B74)&amp;"-"&amp;IFERROR(VLOOKUP(MONTH(B74),KEY!$AE$5:$AF$16,2,FALSE),""))</f>
        <v>2023-Q1</v>
      </c>
      <c r="D74" s="3" t="s">
        <v>195</v>
      </c>
      <c r="E74" s="219">
        <v>7</v>
      </c>
      <c r="F74" s="166">
        <v>36</v>
      </c>
      <c r="G74" s="166">
        <v>25</v>
      </c>
      <c r="H74" s="21">
        <v>81</v>
      </c>
      <c r="I74" s="21">
        <v>12</v>
      </c>
      <c r="J74" s="21">
        <v>35</v>
      </c>
      <c r="K74" s="21">
        <v>7</v>
      </c>
      <c r="L74" s="21">
        <v>58</v>
      </c>
      <c r="M74" s="21">
        <v>29</v>
      </c>
      <c r="N74" s="21">
        <v>37</v>
      </c>
      <c r="O74" s="19">
        <v>80</v>
      </c>
      <c r="P74" s="22">
        <v>15</v>
      </c>
      <c r="Q74" s="22">
        <v>13</v>
      </c>
      <c r="R74" s="20" t="s">
        <v>58</v>
      </c>
      <c r="S74" s="234">
        <f>COUNTIFS(INP_DATA!$R$5:$R$3027,S$4,INP_DATA!$D$5:$D$3027,$D74,INP_DATA!$B$5:$B$3027,$B74)</f>
        <v>1</v>
      </c>
      <c r="T74" s="235">
        <f>COUNTIFS(INP_DATA!$R$5:$R$3027,T$4,INP_DATA!$D$5:$D$3027,$D74,INP_DATA!$B$5:$B$3027,$B74)</f>
        <v>0</v>
      </c>
    </row>
    <row r="75" spans="1:20" x14ac:dyDescent="0.35">
      <c r="A75" s="3" t="s">
        <v>106</v>
      </c>
      <c r="B75" s="165">
        <v>44958</v>
      </c>
      <c r="C75" s="57" t="str">
        <f>IF($B75="","",YEAR($B75)&amp;"-"&amp;IFERROR(VLOOKUP(MONTH(B75),KEY!$AE$5:$AF$16,2,FALSE),""))</f>
        <v>2023-Q1</v>
      </c>
      <c r="D75" s="3" t="s">
        <v>125</v>
      </c>
      <c r="E75" s="219">
        <v>26</v>
      </c>
      <c r="F75" s="166">
        <v>263</v>
      </c>
      <c r="G75" s="166">
        <v>194</v>
      </c>
      <c r="H75" s="21">
        <v>632</v>
      </c>
      <c r="I75" s="21">
        <v>92</v>
      </c>
      <c r="J75" s="21">
        <v>238</v>
      </c>
      <c r="K75" s="21">
        <v>28</v>
      </c>
      <c r="L75" s="21">
        <v>524</v>
      </c>
      <c r="M75" s="21">
        <v>109</v>
      </c>
      <c r="N75" s="21">
        <v>268</v>
      </c>
      <c r="O75" s="19">
        <v>360</v>
      </c>
      <c r="P75" s="22">
        <v>49</v>
      </c>
      <c r="Q75" s="22">
        <v>37</v>
      </c>
      <c r="R75" s="20" t="s">
        <v>58</v>
      </c>
      <c r="S75" s="234">
        <f>COUNTIFS(INP_DATA!$R$5:$R$3027,S$4,INP_DATA!$D$5:$D$3027,$D75,INP_DATA!$B$5:$B$3027,$B75)</f>
        <v>1</v>
      </c>
      <c r="T75" s="235">
        <f>COUNTIFS(INP_DATA!$R$5:$R$3027,T$4,INP_DATA!$D$5:$D$3027,$D75,INP_DATA!$B$5:$B$3027,$B75)</f>
        <v>0</v>
      </c>
    </row>
    <row r="76" spans="1:20" x14ac:dyDescent="0.35">
      <c r="A76" s="3" t="s">
        <v>107</v>
      </c>
      <c r="B76" s="165">
        <v>44958</v>
      </c>
      <c r="C76" s="57" t="str">
        <f>IF($B76="","",YEAR($B76)&amp;"-"&amp;IFERROR(VLOOKUP(MONTH(B76),KEY!$AE$5:$AF$16,2,FALSE),""))</f>
        <v>2023-Q1</v>
      </c>
      <c r="D76" s="3" t="s">
        <v>126</v>
      </c>
      <c r="E76" s="219">
        <v>97</v>
      </c>
      <c r="F76" s="166">
        <v>401</v>
      </c>
      <c r="G76" s="166">
        <v>534</v>
      </c>
      <c r="H76" s="21">
        <v>665</v>
      </c>
      <c r="I76" s="21">
        <v>112</v>
      </c>
      <c r="J76" s="21">
        <v>511</v>
      </c>
      <c r="K76" s="21">
        <v>116</v>
      </c>
      <c r="L76" s="21">
        <v>658</v>
      </c>
      <c r="M76" s="21">
        <v>235</v>
      </c>
      <c r="N76" s="21">
        <v>404</v>
      </c>
      <c r="O76" s="19">
        <v>600</v>
      </c>
      <c r="P76" s="22">
        <v>147</v>
      </c>
      <c r="Q76" s="22">
        <v>78</v>
      </c>
      <c r="R76" s="20" t="s">
        <v>58</v>
      </c>
      <c r="S76" s="234">
        <f>COUNTIFS(INP_DATA!$R$5:$R$3027,S$4,INP_DATA!$D$5:$D$3027,$D76,INP_DATA!$B$5:$B$3027,$B76)</f>
        <v>1</v>
      </c>
      <c r="T76" s="235">
        <f>COUNTIFS(INP_DATA!$R$5:$R$3027,T$4,INP_DATA!$D$5:$D$3027,$D76,INP_DATA!$B$5:$B$3027,$B76)</f>
        <v>0</v>
      </c>
    </row>
    <row r="77" spans="1:20" x14ac:dyDescent="0.35">
      <c r="A77" s="3" t="s">
        <v>107</v>
      </c>
      <c r="B77" s="165">
        <v>44958</v>
      </c>
      <c r="C77" s="57" t="str">
        <f>IF($B77="","",YEAR($B77)&amp;"-"&amp;IFERROR(VLOOKUP(MONTH(B77),KEY!$AE$5:$AF$16,2,FALSE),""))</f>
        <v>2023-Q1</v>
      </c>
      <c r="D77" s="3" t="s">
        <v>127</v>
      </c>
      <c r="E77" s="219">
        <v>9</v>
      </c>
      <c r="F77" s="166">
        <v>56</v>
      </c>
      <c r="G77" s="166">
        <v>72</v>
      </c>
      <c r="H77" s="21">
        <v>131</v>
      </c>
      <c r="I77" s="21">
        <v>16</v>
      </c>
      <c r="J77" s="21">
        <v>58</v>
      </c>
      <c r="K77" s="21">
        <v>7</v>
      </c>
      <c r="L77" s="21">
        <v>76</v>
      </c>
      <c r="M77" s="21">
        <v>33</v>
      </c>
      <c r="N77" s="21">
        <v>57</v>
      </c>
      <c r="O77" s="19">
        <v>80</v>
      </c>
      <c r="P77" s="22">
        <v>8</v>
      </c>
      <c r="Q77" s="22">
        <v>7</v>
      </c>
      <c r="R77" s="20" t="s">
        <v>58</v>
      </c>
      <c r="S77" s="234">
        <f>COUNTIFS(INP_DATA!$R$5:$R$3027,S$4,INP_DATA!$D$5:$D$3027,$D77,INP_DATA!$B$5:$B$3027,$B77)</f>
        <v>1</v>
      </c>
      <c r="T77" s="235">
        <f>COUNTIFS(INP_DATA!$R$5:$R$3027,T$4,INP_DATA!$D$5:$D$3027,$D77,INP_DATA!$B$5:$B$3027,$B77)</f>
        <v>0</v>
      </c>
    </row>
    <row r="78" spans="1:20" x14ac:dyDescent="0.35">
      <c r="A78" s="3" t="s">
        <v>109</v>
      </c>
      <c r="B78" s="165">
        <v>44958</v>
      </c>
      <c r="C78" s="57" t="str">
        <f>IF($B78="","",YEAR($B78)&amp;"-"&amp;IFERROR(VLOOKUP(MONTH(B78),KEY!$AE$5:$AF$16,2,FALSE),""))</f>
        <v>2023-Q1</v>
      </c>
      <c r="D78" s="3" t="s">
        <v>128</v>
      </c>
      <c r="E78" s="219">
        <v>4</v>
      </c>
      <c r="F78" s="166">
        <v>217</v>
      </c>
      <c r="G78" s="166">
        <v>240</v>
      </c>
      <c r="H78" s="21">
        <v>606</v>
      </c>
      <c r="I78" s="21">
        <v>74</v>
      </c>
      <c r="J78" s="21">
        <v>323</v>
      </c>
      <c r="K78" s="21">
        <v>70</v>
      </c>
      <c r="L78" s="21">
        <v>419</v>
      </c>
      <c r="M78" s="21">
        <v>140</v>
      </c>
      <c r="N78" s="21">
        <v>219</v>
      </c>
      <c r="O78" s="19">
        <v>280</v>
      </c>
      <c r="P78" s="22" t="s">
        <v>194</v>
      </c>
      <c r="Q78" s="22" t="s">
        <v>194</v>
      </c>
      <c r="R78" s="20" t="s">
        <v>51</v>
      </c>
      <c r="S78" s="234">
        <f>COUNTIFS(INP_DATA!$R$5:$R$3027,S$4,INP_DATA!$D$5:$D$3027,$D78,INP_DATA!$B$5:$B$3027,$B78)</f>
        <v>0</v>
      </c>
      <c r="T78" s="235">
        <f>COUNTIFS(INP_DATA!$R$5:$R$3027,T$4,INP_DATA!$D$5:$D$3027,$D78,INP_DATA!$B$5:$B$3027,$B78)</f>
        <v>1</v>
      </c>
    </row>
    <row r="79" spans="1:20" x14ac:dyDescent="0.35">
      <c r="A79" s="3" t="s">
        <v>106</v>
      </c>
      <c r="B79" s="165">
        <v>44958</v>
      </c>
      <c r="C79" s="57" t="str">
        <f>IF($B79="","",YEAR($B79)&amp;"-"&amp;IFERROR(VLOOKUP(MONTH(B79),KEY!$AE$5:$AF$16,2,FALSE),""))</f>
        <v>2023-Q1</v>
      </c>
      <c r="D79" s="3" t="s">
        <v>129</v>
      </c>
      <c r="E79" s="219">
        <v>24</v>
      </c>
      <c r="F79" s="166">
        <v>156</v>
      </c>
      <c r="G79" s="166">
        <v>151</v>
      </c>
      <c r="H79" s="21">
        <v>257</v>
      </c>
      <c r="I79" s="21">
        <v>36</v>
      </c>
      <c r="J79" s="21">
        <v>222</v>
      </c>
      <c r="K79" s="21">
        <v>29</v>
      </c>
      <c r="L79" s="21">
        <v>339</v>
      </c>
      <c r="M79" s="21">
        <v>83</v>
      </c>
      <c r="N79" s="21">
        <v>159</v>
      </c>
      <c r="O79" s="19">
        <v>300</v>
      </c>
      <c r="P79" s="22">
        <v>39</v>
      </c>
      <c r="Q79" s="22">
        <v>25</v>
      </c>
      <c r="R79" s="20" t="s">
        <v>58</v>
      </c>
      <c r="S79" s="234">
        <f>COUNTIFS(INP_DATA!$R$5:$R$3027,S$4,INP_DATA!$D$5:$D$3027,$D79,INP_DATA!$B$5:$B$3027,$B79)</f>
        <v>1</v>
      </c>
      <c r="T79" s="235">
        <f>COUNTIFS(INP_DATA!$R$5:$R$3027,T$4,INP_DATA!$D$5:$D$3027,$D79,INP_DATA!$B$5:$B$3027,$B79)</f>
        <v>0</v>
      </c>
    </row>
    <row r="80" spans="1:20" x14ac:dyDescent="0.35">
      <c r="A80" s="3" t="s">
        <v>108</v>
      </c>
      <c r="B80" s="165">
        <v>44958</v>
      </c>
      <c r="C80" s="57" t="str">
        <f>IF($B80="","",YEAR($B80)&amp;"-"&amp;IFERROR(VLOOKUP(MONTH(B80),KEY!$AE$5:$AF$16,2,FALSE),""))</f>
        <v>2023-Q1</v>
      </c>
      <c r="D80" s="3" t="s">
        <v>130</v>
      </c>
      <c r="E80" s="219">
        <v>21</v>
      </c>
      <c r="F80" s="166">
        <v>116</v>
      </c>
      <c r="G80" s="166">
        <v>140</v>
      </c>
      <c r="H80" s="21">
        <v>229</v>
      </c>
      <c r="I80" s="21">
        <v>40</v>
      </c>
      <c r="J80" s="21">
        <v>129</v>
      </c>
      <c r="K80" s="21">
        <v>35</v>
      </c>
      <c r="L80" s="21">
        <v>147</v>
      </c>
      <c r="M80" s="21">
        <v>51</v>
      </c>
      <c r="N80" s="21">
        <v>119</v>
      </c>
      <c r="O80" s="19">
        <v>120</v>
      </c>
      <c r="P80" s="22">
        <v>30</v>
      </c>
      <c r="Q80" s="22">
        <v>20</v>
      </c>
      <c r="R80" s="20" t="s">
        <v>51</v>
      </c>
      <c r="S80" s="234">
        <f>COUNTIFS(INP_DATA!$R$5:$R$3027,S$4,INP_DATA!$D$5:$D$3027,$D80,INP_DATA!$B$5:$B$3027,$B80)</f>
        <v>0</v>
      </c>
      <c r="T80" s="235">
        <f>COUNTIFS(INP_DATA!$R$5:$R$3027,T$4,INP_DATA!$D$5:$D$3027,$D80,INP_DATA!$B$5:$B$3027,$B80)</f>
        <v>1</v>
      </c>
    </row>
    <row r="81" spans="1:20" x14ac:dyDescent="0.35">
      <c r="A81" s="3" t="s">
        <v>109</v>
      </c>
      <c r="B81" s="165">
        <v>44958</v>
      </c>
      <c r="C81" s="57" t="str">
        <f>IF($B81="","",YEAR($B81)&amp;"-"&amp;IFERROR(VLOOKUP(MONTH(B81),KEY!$AE$5:$AF$16,2,FALSE),""))</f>
        <v>2023-Q1</v>
      </c>
      <c r="D81" s="3" t="s">
        <v>131</v>
      </c>
      <c r="E81" s="219">
        <v>8</v>
      </c>
      <c r="F81" s="166">
        <v>163</v>
      </c>
      <c r="G81" s="166">
        <v>126</v>
      </c>
      <c r="H81" s="21">
        <v>170</v>
      </c>
      <c r="I81" s="21">
        <v>15</v>
      </c>
      <c r="J81" s="21">
        <v>157</v>
      </c>
      <c r="K81" s="21">
        <v>23</v>
      </c>
      <c r="L81" s="21">
        <v>232</v>
      </c>
      <c r="M81" s="21">
        <v>43</v>
      </c>
      <c r="N81" s="21">
        <v>173</v>
      </c>
      <c r="O81" s="19">
        <v>260</v>
      </c>
      <c r="P81" s="22">
        <v>7</v>
      </c>
      <c r="Q81" s="22">
        <v>4</v>
      </c>
      <c r="R81" s="20" t="s">
        <v>58</v>
      </c>
      <c r="S81" s="234">
        <f>COUNTIFS(INP_DATA!$R$5:$R$3027,S$4,INP_DATA!$D$5:$D$3027,$D81,INP_DATA!$B$5:$B$3027,$B81)</f>
        <v>1</v>
      </c>
      <c r="T81" s="235">
        <f>COUNTIFS(INP_DATA!$R$5:$R$3027,T$4,INP_DATA!$D$5:$D$3027,$D81,INP_DATA!$B$5:$B$3027,$B81)</f>
        <v>0</v>
      </c>
    </row>
    <row r="82" spans="1:20" x14ac:dyDescent="0.35">
      <c r="A82" s="3" t="s">
        <v>108</v>
      </c>
      <c r="B82" s="165">
        <v>44958</v>
      </c>
      <c r="C82" s="57" t="str">
        <f>IF($B82="","",YEAR($B82)&amp;"-"&amp;IFERROR(VLOOKUP(MONTH(B82),KEY!$AE$5:$AF$16,2,FALSE),""))</f>
        <v>2023-Q1</v>
      </c>
      <c r="D82" s="3" t="s">
        <v>134</v>
      </c>
      <c r="E82" s="219">
        <v>17</v>
      </c>
      <c r="F82" s="166">
        <v>41</v>
      </c>
      <c r="G82" s="166">
        <v>39</v>
      </c>
      <c r="H82" s="21">
        <v>63</v>
      </c>
      <c r="I82" s="21">
        <v>4</v>
      </c>
      <c r="J82" s="21">
        <v>35</v>
      </c>
      <c r="K82" s="21">
        <v>1</v>
      </c>
      <c r="L82" s="21">
        <v>48</v>
      </c>
      <c r="M82" s="21">
        <v>22</v>
      </c>
      <c r="N82" s="21">
        <v>43</v>
      </c>
      <c r="O82" s="19">
        <v>80</v>
      </c>
      <c r="P82" s="22">
        <v>24</v>
      </c>
      <c r="Q82" s="22">
        <v>19</v>
      </c>
      <c r="R82" s="20" t="s">
        <v>58</v>
      </c>
      <c r="S82" s="234">
        <f>COUNTIFS(INP_DATA!$R$5:$R$3027,S$4,INP_DATA!$D$5:$D$3027,$D82,INP_DATA!$B$5:$B$3027,$B82)</f>
        <v>1</v>
      </c>
      <c r="T82" s="235">
        <f>COUNTIFS(INP_DATA!$R$5:$R$3027,T$4,INP_DATA!$D$5:$D$3027,$D82,INP_DATA!$B$5:$B$3027,$B82)</f>
        <v>0</v>
      </c>
    </row>
    <row r="83" spans="1:20" x14ac:dyDescent="0.35">
      <c r="A83" s="3" t="s">
        <v>108</v>
      </c>
      <c r="B83" s="165">
        <v>44958</v>
      </c>
      <c r="C83" s="57" t="str">
        <f>IF($B83="","",YEAR($B83)&amp;"-"&amp;IFERROR(VLOOKUP(MONTH(B83),KEY!$AE$5:$AF$16,2,FALSE),""))</f>
        <v>2023-Q1</v>
      </c>
      <c r="D83" s="3" t="s">
        <v>135</v>
      </c>
      <c r="E83" s="219">
        <v>55</v>
      </c>
      <c r="F83" s="166">
        <v>161</v>
      </c>
      <c r="G83" s="166">
        <v>277</v>
      </c>
      <c r="H83" s="21">
        <v>380</v>
      </c>
      <c r="I83" s="21">
        <v>53</v>
      </c>
      <c r="J83" s="21">
        <v>152</v>
      </c>
      <c r="K83" s="21">
        <v>38</v>
      </c>
      <c r="L83" s="21">
        <v>555</v>
      </c>
      <c r="M83" s="21">
        <v>94</v>
      </c>
      <c r="N83" s="21">
        <v>164</v>
      </c>
      <c r="O83" s="19">
        <v>320</v>
      </c>
      <c r="P83" s="22">
        <v>40</v>
      </c>
      <c r="Q83" s="22">
        <v>27</v>
      </c>
      <c r="R83" s="20" t="s">
        <v>51</v>
      </c>
      <c r="S83" s="234">
        <f>COUNTIFS(INP_DATA!$R$5:$R$3027,S$4,INP_DATA!$D$5:$D$3027,$D83,INP_DATA!$B$5:$B$3027,$B83)</f>
        <v>0</v>
      </c>
      <c r="T83" s="235">
        <f>COUNTIFS(INP_DATA!$R$5:$R$3027,T$4,INP_DATA!$D$5:$D$3027,$D83,INP_DATA!$B$5:$B$3027,$B83)</f>
        <v>1</v>
      </c>
    </row>
    <row r="84" spans="1:20" x14ac:dyDescent="0.35">
      <c r="A84" s="3" t="s">
        <v>16</v>
      </c>
      <c r="B84" s="165">
        <v>44958</v>
      </c>
      <c r="C84" s="57" t="str">
        <f>IF($B84="","",YEAR($B84)&amp;"-"&amp;IFERROR(VLOOKUP(MONTH(B84),KEY!$AE$5:$AF$16,2,FALSE),""))</f>
        <v>2023-Q1</v>
      </c>
      <c r="D84" s="3" t="s">
        <v>196</v>
      </c>
      <c r="E84" s="219">
        <v>6</v>
      </c>
      <c r="F84" s="166">
        <v>27</v>
      </c>
      <c r="G84" s="166">
        <v>34</v>
      </c>
      <c r="H84" s="21">
        <v>55</v>
      </c>
      <c r="I84" s="21">
        <v>9</v>
      </c>
      <c r="J84" s="21">
        <v>45</v>
      </c>
      <c r="K84" s="21">
        <v>6</v>
      </c>
      <c r="L84" s="21">
        <v>44</v>
      </c>
      <c r="M84" s="21">
        <v>20</v>
      </c>
      <c r="N84" s="21">
        <v>27</v>
      </c>
      <c r="O84" s="19">
        <v>80</v>
      </c>
      <c r="P84" s="22">
        <v>9</v>
      </c>
      <c r="Q84" s="22">
        <v>7</v>
      </c>
      <c r="R84" s="20" t="s">
        <v>58</v>
      </c>
      <c r="S84" s="234">
        <f>COUNTIFS(INP_DATA!$R$5:$R$3027,S$4,INP_DATA!$D$5:$D$3027,$D84,INP_DATA!$B$5:$B$3027,$B84)</f>
        <v>1</v>
      </c>
      <c r="T84" s="235">
        <f>COUNTIFS(INP_DATA!$R$5:$R$3027,T$4,INP_DATA!$D$5:$D$3027,$D84,INP_DATA!$B$5:$B$3027,$B84)</f>
        <v>0</v>
      </c>
    </row>
    <row r="85" spans="1:20" x14ac:dyDescent="0.35">
      <c r="A85" s="3" t="s">
        <v>16</v>
      </c>
      <c r="B85" s="165">
        <v>44958</v>
      </c>
      <c r="C85" s="57" t="str">
        <f>IF($B85="","",YEAR($B85)&amp;"-"&amp;IFERROR(VLOOKUP(MONTH(B85),KEY!$AE$5:$AF$16,2,FALSE),""))</f>
        <v>2023-Q1</v>
      </c>
      <c r="D85" s="3" t="s">
        <v>197</v>
      </c>
      <c r="E85" s="219">
        <v>14</v>
      </c>
      <c r="F85" s="166">
        <v>47</v>
      </c>
      <c r="G85" s="166">
        <v>70</v>
      </c>
      <c r="H85" s="21">
        <v>113</v>
      </c>
      <c r="I85" s="21">
        <v>12</v>
      </c>
      <c r="J85" s="21">
        <v>79</v>
      </c>
      <c r="K85" s="21">
        <v>8</v>
      </c>
      <c r="L85" s="21">
        <v>76</v>
      </c>
      <c r="M85" s="21">
        <v>26</v>
      </c>
      <c r="N85" s="21">
        <v>47</v>
      </c>
      <c r="O85" s="19">
        <v>160</v>
      </c>
      <c r="P85" s="22">
        <v>9</v>
      </c>
      <c r="Q85" s="22">
        <v>7</v>
      </c>
      <c r="R85" s="20" t="s">
        <v>58</v>
      </c>
      <c r="S85" s="234">
        <f>COUNTIFS(INP_DATA!$R$5:$R$3027,S$4,INP_DATA!$D$5:$D$3027,$D85,INP_DATA!$B$5:$B$3027,$B85)</f>
        <v>1</v>
      </c>
      <c r="T85" s="235">
        <f>COUNTIFS(INP_DATA!$R$5:$R$3027,T$4,INP_DATA!$D$5:$D$3027,$D85,INP_DATA!$B$5:$B$3027,$B85)</f>
        <v>0</v>
      </c>
    </row>
    <row r="86" spans="1:20" x14ac:dyDescent="0.35">
      <c r="A86" s="3" t="s">
        <v>109</v>
      </c>
      <c r="B86" s="165">
        <v>44958</v>
      </c>
      <c r="C86" s="57" t="str">
        <f>IF($B86="","",YEAR($B86)&amp;"-"&amp;IFERROR(VLOOKUP(MONTH(B86),KEY!$AE$5:$AF$16,2,FALSE),""))</f>
        <v>2023-Q1</v>
      </c>
      <c r="D86" s="3" t="s">
        <v>136</v>
      </c>
      <c r="E86" s="219">
        <v>70</v>
      </c>
      <c r="F86" s="166">
        <v>207</v>
      </c>
      <c r="G86" s="166">
        <v>186</v>
      </c>
      <c r="H86" s="21">
        <v>432</v>
      </c>
      <c r="I86" s="21">
        <v>50</v>
      </c>
      <c r="J86" s="21">
        <v>294</v>
      </c>
      <c r="K86" s="21">
        <v>31</v>
      </c>
      <c r="L86" s="21">
        <v>166</v>
      </c>
      <c r="M86" s="21">
        <v>63</v>
      </c>
      <c r="N86" s="21">
        <v>217</v>
      </c>
      <c r="O86" s="19">
        <v>280</v>
      </c>
      <c r="P86" s="22">
        <v>46</v>
      </c>
      <c r="Q86" s="22">
        <v>32</v>
      </c>
      <c r="R86" s="20" t="s">
        <v>51</v>
      </c>
      <c r="S86" s="234">
        <f>COUNTIFS(INP_DATA!$R$5:$R$3027,S$4,INP_DATA!$D$5:$D$3027,$D86,INP_DATA!$B$5:$B$3027,$B86)</f>
        <v>0</v>
      </c>
      <c r="T86" s="235">
        <f>COUNTIFS(INP_DATA!$R$5:$R$3027,T$4,INP_DATA!$D$5:$D$3027,$D86,INP_DATA!$B$5:$B$3027,$B86)</f>
        <v>1</v>
      </c>
    </row>
    <row r="87" spans="1:20" x14ac:dyDescent="0.35">
      <c r="A87" s="3" t="s">
        <v>16</v>
      </c>
      <c r="B87" s="165">
        <v>44958</v>
      </c>
      <c r="C87" s="57" t="str">
        <f>IF($B87="","",YEAR($B87)&amp;"-"&amp;IFERROR(VLOOKUP(MONTH(B87),KEY!$AE$5:$AF$16,2,FALSE),""))</f>
        <v>2023-Q1</v>
      </c>
      <c r="D87" s="3" t="s">
        <v>137</v>
      </c>
      <c r="E87" s="219">
        <v>18</v>
      </c>
      <c r="F87" s="166">
        <v>89</v>
      </c>
      <c r="G87" s="166">
        <v>78</v>
      </c>
      <c r="H87" s="21">
        <v>235</v>
      </c>
      <c r="I87" s="21">
        <v>31</v>
      </c>
      <c r="J87" s="21">
        <v>142</v>
      </c>
      <c r="K87" s="21">
        <v>19</v>
      </c>
      <c r="L87" s="21">
        <v>126</v>
      </c>
      <c r="M87" s="21">
        <v>60</v>
      </c>
      <c r="N87" s="21">
        <v>91</v>
      </c>
      <c r="O87" s="19">
        <v>140</v>
      </c>
      <c r="P87" s="22">
        <v>15</v>
      </c>
      <c r="Q87" s="22">
        <v>7</v>
      </c>
      <c r="R87" s="20" t="s">
        <v>51</v>
      </c>
      <c r="S87" s="234">
        <f>COUNTIFS(INP_DATA!$R$5:$R$3027,S$4,INP_DATA!$D$5:$D$3027,$D87,INP_DATA!$B$5:$B$3027,$B87)</f>
        <v>0</v>
      </c>
      <c r="T87" s="235">
        <f>COUNTIFS(INP_DATA!$R$5:$R$3027,T$4,INP_DATA!$D$5:$D$3027,$D87,INP_DATA!$B$5:$B$3027,$B87)</f>
        <v>1</v>
      </c>
    </row>
    <row r="88" spans="1:20" x14ac:dyDescent="0.35">
      <c r="A88" s="3" t="s">
        <v>109</v>
      </c>
      <c r="B88" s="165">
        <v>44958</v>
      </c>
      <c r="C88" s="57" t="str">
        <f>IF($B88="","",YEAR($B88)&amp;"-"&amp;IFERROR(VLOOKUP(MONTH(B88),KEY!$AE$5:$AF$16,2,FALSE),""))</f>
        <v>2023-Q1</v>
      </c>
      <c r="D88" s="3" t="s">
        <v>138</v>
      </c>
      <c r="E88" s="219">
        <v>19</v>
      </c>
      <c r="F88" s="166">
        <v>86</v>
      </c>
      <c r="G88" s="166">
        <v>77</v>
      </c>
      <c r="H88" s="21">
        <v>154</v>
      </c>
      <c r="I88" s="21">
        <v>25</v>
      </c>
      <c r="J88" s="21">
        <v>76</v>
      </c>
      <c r="K88" s="21">
        <v>20</v>
      </c>
      <c r="L88" s="21">
        <v>120</v>
      </c>
      <c r="M88" s="21">
        <v>50</v>
      </c>
      <c r="N88" s="21">
        <v>86</v>
      </c>
      <c r="O88" s="19">
        <v>100</v>
      </c>
      <c r="P88" s="22">
        <v>23</v>
      </c>
      <c r="Q88" s="22">
        <v>20</v>
      </c>
      <c r="R88" s="20" t="s">
        <v>58</v>
      </c>
      <c r="S88" s="234">
        <f>COUNTIFS(INP_DATA!$R$5:$R$3027,S$4,INP_DATA!$D$5:$D$3027,$D88,INP_DATA!$B$5:$B$3027,$B88)</f>
        <v>1</v>
      </c>
      <c r="T88" s="235">
        <f>COUNTIFS(INP_DATA!$R$5:$R$3027,T$4,INP_DATA!$D$5:$D$3027,$D88,INP_DATA!$B$5:$B$3027,$B88)</f>
        <v>0</v>
      </c>
    </row>
    <row r="89" spans="1:20" x14ac:dyDescent="0.35">
      <c r="A89" s="3" t="s">
        <v>108</v>
      </c>
      <c r="B89" s="165">
        <v>44958</v>
      </c>
      <c r="C89" s="57" t="str">
        <f>IF($B89="","",YEAR($B89)&amp;"-"&amp;IFERROR(VLOOKUP(MONTH(B89),KEY!$AE$5:$AF$16,2,FALSE),""))</f>
        <v>2023-Q1</v>
      </c>
      <c r="D89" s="3" t="s">
        <v>139</v>
      </c>
      <c r="E89" s="219">
        <v>41</v>
      </c>
      <c r="F89" s="166">
        <v>134</v>
      </c>
      <c r="G89" s="166">
        <v>165</v>
      </c>
      <c r="H89" s="21">
        <v>244</v>
      </c>
      <c r="I89" s="21">
        <v>21</v>
      </c>
      <c r="J89" s="21">
        <v>173</v>
      </c>
      <c r="K89" s="21">
        <v>26</v>
      </c>
      <c r="L89" s="21">
        <v>54</v>
      </c>
      <c r="M89" s="21">
        <v>25</v>
      </c>
      <c r="N89" s="21">
        <v>134</v>
      </c>
      <c r="O89" s="19">
        <v>260</v>
      </c>
      <c r="P89" s="22">
        <v>61</v>
      </c>
      <c r="Q89" s="22">
        <v>37</v>
      </c>
      <c r="R89" s="20" t="s">
        <v>51</v>
      </c>
      <c r="S89" s="234">
        <f>COUNTIFS(INP_DATA!$R$5:$R$3027,S$4,INP_DATA!$D$5:$D$3027,$D89,INP_DATA!$B$5:$B$3027,$B89)</f>
        <v>0</v>
      </c>
      <c r="T89" s="235">
        <f>COUNTIFS(INP_DATA!$R$5:$R$3027,T$4,INP_DATA!$D$5:$D$3027,$D89,INP_DATA!$B$5:$B$3027,$B89)</f>
        <v>1</v>
      </c>
    </row>
    <row r="90" spans="1:20" x14ac:dyDescent="0.35">
      <c r="A90" s="3" t="s">
        <v>107</v>
      </c>
      <c r="B90" s="165">
        <v>44958</v>
      </c>
      <c r="C90" s="57" t="str">
        <f>IF($B90="","",YEAR($B90)&amp;"-"&amp;IFERROR(VLOOKUP(MONTH(B90),KEY!$AE$5:$AF$16,2,FALSE),""))</f>
        <v>2023-Q1</v>
      </c>
      <c r="D90" s="3" t="s">
        <v>140</v>
      </c>
      <c r="E90" s="219">
        <v>5</v>
      </c>
      <c r="F90" s="166">
        <v>39</v>
      </c>
      <c r="G90" s="166">
        <v>28</v>
      </c>
      <c r="H90" s="21">
        <v>148</v>
      </c>
      <c r="I90" s="21">
        <v>12</v>
      </c>
      <c r="J90" s="21">
        <v>67</v>
      </c>
      <c r="K90" s="21">
        <v>4</v>
      </c>
      <c r="L90" s="21">
        <v>48</v>
      </c>
      <c r="M90" s="21">
        <v>13</v>
      </c>
      <c r="N90" s="21">
        <v>43</v>
      </c>
      <c r="O90" s="19">
        <v>80</v>
      </c>
      <c r="P90" s="22">
        <v>8</v>
      </c>
      <c r="Q90" s="22">
        <v>4</v>
      </c>
      <c r="R90" s="20" t="s">
        <v>51</v>
      </c>
      <c r="S90" s="234">
        <f>COUNTIFS(INP_DATA!$R$5:$R$3027,S$4,INP_DATA!$D$5:$D$3027,$D90,INP_DATA!$B$5:$B$3027,$B90)</f>
        <v>0</v>
      </c>
      <c r="T90" s="235">
        <f>COUNTIFS(INP_DATA!$R$5:$R$3027,T$4,INP_DATA!$D$5:$D$3027,$D90,INP_DATA!$B$5:$B$3027,$B90)</f>
        <v>1</v>
      </c>
    </row>
    <row r="91" spans="1:20" x14ac:dyDescent="0.35">
      <c r="A91" s="3" t="s">
        <v>108</v>
      </c>
      <c r="B91" s="165">
        <v>44958</v>
      </c>
      <c r="C91" s="57" t="str">
        <f>IF($B91="","",YEAR($B91)&amp;"-"&amp;IFERROR(VLOOKUP(MONTH(B91),KEY!$AE$5:$AF$16,2,FALSE),""))</f>
        <v>2023-Q1</v>
      </c>
      <c r="D91" s="3" t="s">
        <v>142</v>
      </c>
      <c r="E91" s="219">
        <v>17</v>
      </c>
      <c r="F91" s="166">
        <v>64</v>
      </c>
      <c r="G91" s="166">
        <v>95</v>
      </c>
      <c r="H91" s="21">
        <v>283</v>
      </c>
      <c r="I91" s="21">
        <v>21</v>
      </c>
      <c r="J91" s="21">
        <v>46</v>
      </c>
      <c r="K91" s="21">
        <v>5</v>
      </c>
      <c r="L91" s="21">
        <v>74</v>
      </c>
      <c r="M91" s="21">
        <v>30</v>
      </c>
      <c r="N91" s="21">
        <v>64</v>
      </c>
      <c r="O91" s="19">
        <v>80</v>
      </c>
      <c r="P91" s="22">
        <v>33</v>
      </c>
      <c r="Q91" s="22">
        <v>23</v>
      </c>
      <c r="R91" s="20" t="s">
        <v>51</v>
      </c>
      <c r="S91" s="234">
        <f>COUNTIFS(INP_DATA!$R$5:$R$3027,S$4,INP_DATA!$D$5:$D$3027,$D91,INP_DATA!$B$5:$B$3027,$B91)</f>
        <v>0</v>
      </c>
      <c r="T91" s="235">
        <f>COUNTIFS(INP_DATA!$R$5:$R$3027,T$4,INP_DATA!$D$5:$D$3027,$D91,INP_DATA!$B$5:$B$3027,$B91)</f>
        <v>1</v>
      </c>
    </row>
    <row r="92" spans="1:20" x14ac:dyDescent="0.35">
      <c r="A92" s="3" t="s">
        <v>16</v>
      </c>
      <c r="B92" s="165">
        <v>44958</v>
      </c>
      <c r="C92" s="57" t="str">
        <f>IF($B92="","",YEAR($B92)&amp;"-"&amp;IFERROR(VLOOKUP(MONTH(B92),KEY!$AE$5:$AF$16,2,FALSE),""))</f>
        <v>2023-Q1</v>
      </c>
      <c r="D92" s="3" t="s">
        <v>143</v>
      </c>
      <c r="E92" s="219">
        <v>19</v>
      </c>
      <c r="F92" s="166">
        <v>64</v>
      </c>
      <c r="G92" s="166">
        <v>60</v>
      </c>
      <c r="H92" s="21">
        <v>142</v>
      </c>
      <c r="I92" s="21">
        <v>14</v>
      </c>
      <c r="J92" s="21">
        <v>98</v>
      </c>
      <c r="K92" s="21">
        <v>15</v>
      </c>
      <c r="L92" s="21">
        <v>123</v>
      </c>
      <c r="M92" s="21">
        <v>42</v>
      </c>
      <c r="N92" s="21">
        <v>64</v>
      </c>
      <c r="O92" s="19">
        <v>180</v>
      </c>
      <c r="P92" s="22">
        <v>7</v>
      </c>
      <c r="Q92" s="22">
        <v>5</v>
      </c>
      <c r="R92" s="20" t="s">
        <v>58</v>
      </c>
      <c r="S92" s="234">
        <f>COUNTIFS(INP_DATA!$R$5:$R$3027,S$4,INP_DATA!$D$5:$D$3027,$D92,INP_DATA!$B$5:$B$3027,$B92)</f>
        <v>1</v>
      </c>
      <c r="T92" s="235">
        <f>COUNTIFS(INP_DATA!$R$5:$R$3027,T$4,INP_DATA!$D$5:$D$3027,$D92,INP_DATA!$B$5:$B$3027,$B92)</f>
        <v>0</v>
      </c>
    </row>
    <row r="93" spans="1:20" x14ac:dyDescent="0.35">
      <c r="A93" s="3" t="s">
        <v>16</v>
      </c>
      <c r="B93" s="165">
        <v>44958</v>
      </c>
      <c r="C93" s="57" t="str">
        <f>IF($B93="","",YEAR($B93)&amp;"-"&amp;IFERROR(VLOOKUP(MONTH(B93),KEY!$AE$5:$AF$16,2,FALSE),""))</f>
        <v>2023-Q1</v>
      </c>
      <c r="D93" s="3" t="s">
        <v>144</v>
      </c>
      <c r="E93" s="219">
        <v>39</v>
      </c>
      <c r="F93" s="166">
        <v>154</v>
      </c>
      <c r="G93" s="166">
        <v>174</v>
      </c>
      <c r="H93" s="21">
        <v>188</v>
      </c>
      <c r="I93" s="21">
        <v>28</v>
      </c>
      <c r="J93" s="21">
        <v>125</v>
      </c>
      <c r="K93" s="21">
        <v>11</v>
      </c>
      <c r="L93" s="21">
        <v>247</v>
      </c>
      <c r="M93" s="21">
        <v>85</v>
      </c>
      <c r="N93" s="21">
        <v>156</v>
      </c>
      <c r="O93" s="19">
        <v>320</v>
      </c>
      <c r="P93" s="22">
        <v>14</v>
      </c>
      <c r="Q93" s="22">
        <v>11</v>
      </c>
      <c r="R93" s="20" t="s">
        <v>58</v>
      </c>
      <c r="S93" s="234">
        <f>COUNTIFS(INP_DATA!$R$5:$R$3027,S$4,INP_DATA!$D$5:$D$3027,$D93,INP_DATA!$B$5:$B$3027,$B93)</f>
        <v>1</v>
      </c>
      <c r="T93" s="235">
        <f>COUNTIFS(INP_DATA!$R$5:$R$3027,T$4,INP_DATA!$D$5:$D$3027,$D93,INP_DATA!$B$5:$B$3027,$B93)</f>
        <v>0</v>
      </c>
    </row>
    <row r="94" spans="1:20" x14ac:dyDescent="0.35">
      <c r="A94" s="3" t="s">
        <v>108</v>
      </c>
      <c r="B94" s="165">
        <v>44958</v>
      </c>
      <c r="C94" s="57" t="str">
        <f>IF($B94="","",YEAR($B94)&amp;"-"&amp;IFERROR(VLOOKUP(MONTH(B94),KEY!$AE$5:$AF$16,2,FALSE),""))</f>
        <v>2023-Q1</v>
      </c>
      <c r="D94" s="3" t="s">
        <v>145</v>
      </c>
      <c r="E94" s="219">
        <v>67</v>
      </c>
      <c r="F94" s="166">
        <v>165</v>
      </c>
      <c r="G94" s="166">
        <v>221</v>
      </c>
      <c r="H94" s="21">
        <v>247</v>
      </c>
      <c r="I94" s="21">
        <v>42</v>
      </c>
      <c r="J94" s="21">
        <v>166</v>
      </c>
      <c r="K94" s="21">
        <v>25</v>
      </c>
      <c r="L94" s="21">
        <v>338</v>
      </c>
      <c r="M94" s="21">
        <v>98</v>
      </c>
      <c r="N94" s="21">
        <v>164</v>
      </c>
      <c r="O94" s="19">
        <v>360</v>
      </c>
      <c r="P94" s="22">
        <v>50</v>
      </c>
      <c r="Q94" s="22">
        <v>27</v>
      </c>
      <c r="R94" s="20" t="s">
        <v>51</v>
      </c>
      <c r="S94" s="234">
        <f>COUNTIFS(INP_DATA!$R$5:$R$3027,S$4,INP_DATA!$D$5:$D$3027,$D94,INP_DATA!$B$5:$B$3027,$B94)</f>
        <v>0</v>
      </c>
      <c r="T94" s="235">
        <f>COUNTIFS(INP_DATA!$R$5:$R$3027,T$4,INP_DATA!$D$5:$D$3027,$D94,INP_DATA!$B$5:$B$3027,$B94)</f>
        <v>1</v>
      </c>
    </row>
    <row r="95" spans="1:20" x14ac:dyDescent="0.35">
      <c r="A95" s="3" t="s">
        <v>16</v>
      </c>
      <c r="B95" s="165">
        <v>44958</v>
      </c>
      <c r="C95" s="57" t="str">
        <f>IF($B95="","",YEAR($B95)&amp;"-"&amp;IFERROR(VLOOKUP(MONTH(B95),KEY!$AE$5:$AF$16,2,FALSE),""))</f>
        <v>2023-Q1</v>
      </c>
      <c r="D95" s="3" t="s">
        <v>146</v>
      </c>
      <c r="E95" s="219">
        <v>5</v>
      </c>
      <c r="F95" s="166">
        <v>48</v>
      </c>
      <c r="G95" s="166">
        <v>41</v>
      </c>
      <c r="H95" s="21">
        <v>97</v>
      </c>
      <c r="I95" s="21">
        <v>10</v>
      </c>
      <c r="J95" s="21">
        <v>37</v>
      </c>
      <c r="K95" s="21">
        <v>6</v>
      </c>
      <c r="L95" s="21">
        <v>60</v>
      </c>
      <c r="M95" s="21">
        <v>19</v>
      </c>
      <c r="N95" s="21">
        <v>33</v>
      </c>
      <c r="O95" s="19">
        <v>80</v>
      </c>
      <c r="P95" s="22">
        <v>6</v>
      </c>
      <c r="Q95" s="22">
        <v>4</v>
      </c>
      <c r="R95" s="20" t="s">
        <v>58</v>
      </c>
      <c r="S95" s="234">
        <f>COUNTIFS(INP_DATA!$R$5:$R$3027,S$4,INP_DATA!$D$5:$D$3027,$D95,INP_DATA!$B$5:$B$3027,$B95)</f>
        <v>1</v>
      </c>
      <c r="T95" s="235">
        <f>COUNTIFS(INP_DATA!$R$5:$R$3027,T$4,INP_DATA!$D$5:$D$3027,$D95,INP_DATA!$B$5:$B$3027,$B95)</f>
        <v>0</v>
      </c>
    </row>
    <row r="96" spans="1:20" x14ac:dyDescent="0.35">
      <c r="A96" s="3" t="s">
        <v>109</v>
      </c>
      <c r="B96" s="165">
        <v>44958</v>
      </c>
      <c r="C96" s="57" t="str">
        <f>IF($B96="","",YEAR($B96)&amp;"-"&amp;IFERROR(VLOOKUP(MONTH(B96),KEY!$AE$5:$AF$16,2,FALSE),""))</f>
        <v>2023-Q1</v>
      </c>
      <c r="D96" s="3" t="s">
        <v>147</v>
      </c>
      <c r="E96" s="219">
        <v>13</v>
      </c>
      <c r="F96" s="166">
        <v>58</v>
      </c>
      <c r="G96" s="166">
        <v>57</v>
      </c>
      <c r="H96" s="21">
        <v>81</v>
      </c>
      <c r="I96" s="21">
        <v>23</v>
      </c>
      <c r="J96" s="21">
        <v>55</v>
      </c>
      <c r="K96" s="21">
        <v>9</v>
      </c>
      <c r="L96" s="21">
        <v>74</v>
      </c>
      <c r="M96" s="21">
        <v>42</v>
      </c>
      <c r="N96" s="21">
        <v>58</v>
      </c>
      <c r="O96" s="19">
        <v>100</v>
      </c>
      <c r="P96" s="22">
        <v>7</v>
      </c>
      <c r="Q96" s="22">
        <v>5</v>
      </c>
      <c r="R96" s="20" t="s">
        <v>58</v>
      </c>
      <c r="S96" s="234">
        <f>COUNTIFS(INP_DATA!$R$5:$R$3027,S$4,INP_DATA!$D$5:$D$3027,$D96,INP_DATA!$B$5:$B$3027,$B96)</f>
        <v>1</v>
      </c>
      <c r="T96" s="235">
        <f>COUNTIFS(INP_DATA!$R$5:$R$3027,T$4,INP_DATA!$D$5:$D$3027,$D96,INP_DATA!$B$5:$B$3027,$B96)</f>
        <v>0</v>
      </c>
    </row>
    <row r="97" spans="1:20" x14ac:dyDescent="0.35">
      <c r="A97" s="3" t="s">
        <v>106</v>
      </c>
      <c r="B97" s="165">
        <v>44958</v>
      </c>
      <c r="C97" s="57" t="str">
        <f>IF($B97="","",YEAR($B97)&amp;"-"&amp;IFERROR(VLOOKUP(MONTH(B97),KEY!$AE$5:$AF$16,2,FALSE),""))</f>
        <v>2023-Q1</v>
      </c>
      <c r="D97" s="3" t="s">
        <v>148</v>
      </c>
      <c r="E97" s="219">
        <v>6</v>
      </c>
      <c r="F97" s="166">
        <v>44</v>
      </c>
      <c r="G97" s="166">
        <v>50</v>
      </c>
      <c r="H97" s="21">
        <v>86</v>
      </c>
      <c r="I97" s="21">
        <v>12</v>
      </c>
      <c r="J97" s="21">
        <v>75</v>
      </c>
      <c r="K97" s="21">
        <v>7</v>
      </c>
      <c r="L97" s="21">
        <v>113</v>
      </c>
      <c r="M97" s="21">
        <v>40</v>
      </c>
      <c r="N97" s="21">
        <v>44</v>
      </c>
      <c r="O97" s="19">
        <v>80</v>
      </c>
      <c r="P97" s="22">
        <v>6</v>
      </c>
      <c r="Q97" s="22">
        <v>3</v>
      </c>
      <c r="R97" s="20" t="s">
        <v>58</v>
      </c>
      <c r="S97" s="234">
        <f>COUNTIFS(INP_DATA!$R$5:$R$3027,S$4,INP_DATA!$D$5:$D$3027,$D97,INP_DATA!$B$5:$B$3027,$B97)</f>
        <v>1</v>
      </c>
      <c r="T97" s="235">
        <f>COUNTIFS(INP_DATA!$R$5:$R$3027,T$4,INP_DATA!$D$5:$D$3027,$D97,INP_DATA!$B$5:$B$3027,$B97)</f>
        <v>0</v>
      </c>
    </row>
    <row r="98" spans="1:20" x14ac:dyDescent="0.35">
      <c r="A98" s="3" t="s">
        <v>107</v>
      </c>
      <c r="B98" s="165">
        <v>44958</v>
      </c>
      <c r="C98" s="57" t="str">
        <f>IF($B98="","",YEAR($B98)&amp;"-"&amp;IFERROR(VLOOKUP(MONTH(B98),KEY!$AE$5:$AF$16,2,FALSE),""))</f>
        <v>2023-Q1</v>
      </c>
      <c r="D98" s="3" t="s">
        <v>149</v>
      </c>
      <c r="E98" s="219">
        <v>2</v>
      </c>
      <c r="F98" s="166">
        <v>20</v>
      </c>
      <c r="G98" s="166">
        <v>15</v>
      </c>
      <c r="H98" s="21">
        <v>93</v>
      </c>
      <c r="I98" s="21">
        <v>10</v>
      </c>
      <c r="J98" s="21">
        <v>22</v>
      </c>
      <c r="K98" s="21">
        <v>1</v>
      </c>
      <c r="L98" s="21">
        <v>24</v>
      </c>
      <c r="M98" s="21">
        <v>12</v>
      </c>
      <c r="N98" s="21">
        <v>20</v>
      </c>
      <c r="O98" s="19">
        <v>40</v>
      </c>
      <c r="P98" s="22">
        <v>10</v>
      </c>
      <c r="Q98" s="22">
        <v>3</v>
      </c>
      <c r="R98" s="20" t="s">
        <v>58</v>
      </c>
      <c r="S98" s="234">
        <f>COUNTIFS(INP_DATA!$R$5:$R$3027,S$4,INP_DATA!$D$5:$D$3027,$D98,INP_DATA!$B$5:$B$3027,$B98)</f>
        <v>1</v>
      </c>
      <c r="T98" s="235">
        <f>COUNTIFS(INP_DATA!$R$5:$R$3027,T$4,INP_DATA!$D$5:$D$3027,$D98,INP_DATA!$B$5:$B$3027,$B98)</f>
        <v>0</v>
      </c>
    </row>
    <row r="99" spans="1:20" x14ac:dyDescent="0.35">
      <c r="A99" s="3" t="s">
        <v>108</v>
      </c>
      <c r="B99" s="165">
        <v>44958</v>
      </c>
      <c r="C99" s="57" t="str">
        <f>IF($B99="","",YEAR($B99)&amp;"-"&amp;IFERROR(VLOOKUP(MONTH(B99),KEY!$AE$5:$AF$16,2,FALSE),""))</f>
        <v>2023-Q1</v>
      </c>
      <c r="D99" s="3" t="s">
        <v>150</v>
      </c>
      <c r="E99" s="219">
        <v>7</v>
      </c>
      <c r="F99" s="166">
        <v>38</v>
      </c>
      <c r="G99" s="166">
        <v>56</v>
      </c>
      <c r="H99" s="21">
        <v>74</v>
      </c>
      <c r="I99" s="21">
        <v>16</v>
      </c>
      <c r="J99" s="21">
        <v>28</v>
      </c>
      <c r="K99" s="21">
        <v>3</v>
      </c>
      <c r="L99" s="21">
        <v>51</v>
      </c>
      <c r="M99" s="21">
        <v>22</v>
      </c>
      <c r="N99" s="21">
        <v>38</v>
      </c>
      <c r="O99" s="19">
        <v>100</v>
      </c>
      <c r="P99" s="22">
        <v>6</v>
      </c>
      <c r="Q99" s="22">
        <v>4</v>
      </c>
      <c r="R99" s="20" t="s">
        <v>58</v>
      </c>
      <c r="S99" s="234">
        <f>COUNTIFS(INP_DATA!$R$5:$R$3027,S$4,INP_DATA!$D$5:$D$3027,$D99,INP_DATA!$B$5:$B$3027,$B99)</f>
        <v>1</v>
      </c>
      <c r="T99" s="235">
        <f>COUNTIFS(INP_DATA!$R$5:$R$3027,T$4,INP_DATA!$D$5:$D$3027,$D99,INP_DATA!$B$5:$B$3027,$B99)</f>
        <v>0</v>
      </c>
    </row>
    <row r="100" spans="1:20" x14ac:dyDescent="0.35">
      <c r="A100" s="3" t="s">
        <v>16</v>
      </c>
      <c r="B100" s="165">
        <v>44958</v>
      </c>
      <c r="C100" s="57" t="str">
        <f>IF($B100="","",YEAR($B100)&amp;"-"&amp;IFERROR(VLOOKUP(MONTH(B100),KEY!$AE$5:$AF$16,2,FALSE),""))</f>
        <v>2023-Q1</v>
      </c>
      <c r="D100" s="3" t="s">
        <v>151</v>
      </c>
      <c r="E100" s="219">
        <v>5</v>
      </c>
      <c r="F100" s="166">
        <v>24</v>
      </c>
      <c r="G100" s="166">
        <v>41</v>
      </c>
      <c r="H100" s="21">
        <v>70</v>
      </c>
      <c r="I100" s="21">
        <v>10</v>
      </c>
      <c r="J100" s="21">
        <v>23</v>
      </c>
      <c r="K100" s="21">
        <v>2</v>
      </c>
      <c r="L100" s="21">
        <v>52</v>
      </c>
      <c r="M100" s="21">
        <v>17</v>
      </c>
      <c r="N100" s="21">
        <v>24</v>
      </c>
      <c r="O100" s="19">
        <v>60</v>
      </c>
      <c r="P100" s="22">
        <v>2</v>
      </c>
      <c r="Q100" s="22">
        <v>2</v>
      </c>
      <c r="R100" s="20" t="s">
        <v>58</v>
      </c>
      <c r="S100" s="234">
        <f>COUNTIFS(INP_DATA!$R$5:$R$3027,S$4,INP_DATA!$D$5:$D$3027,$D100,INP_DATA!$B$5:$B$3027,$B100)</f>
        <v>1</v>
      </c>
      <c r="T100" s="235">
        <f>COUNTIFS(INP_DATA!$R$5:$R$3027,T$4,INP_DATA!$D$5:$D$3027,$D100,INP_DATA!$B$5:$B$3027,$B100)</f>
        <v>0</v>
      </c>
    </row>
    <row r="101" spans="1:20" x14ac:dyDescent="0.35">
      <c r="A101" s="3" t="s">
        <v>106</v>
      </c>
      <c r="B101" s="165">
        <v>44958</v>
      </c>
      <c r="C101" s="57" t="str">
        <f>IF($B101="","",YEAR($B101)&amp;"-"&amp;IFERROR(VLOOKUP(MONTH(B101),KEY!$AE$5:$AF$16,2,FALSE),""))</f>
        <v>2023-Q1</v>
      </c>
      <c r="D101" s="3" t="s">
        <v>152</v>
      </c>
      <c r="E101" s="219">
        <v>18</v>
      </c>
      <c r="F101" s="166">
        <v>138</v>
      </c>
      <c r="G101" s="166">
        <v>201</v>
      </c>
      <c r="H101" s="21">
        <v>394</v>
      </c>
      <c r="I101" s="21">
        <v>53</v>
      </c>
      <c r="J101" s="21">
        <v>155</v>
      </c>
      <c r="K101" s="21">
        <v>15</v>
      </c>
      <c r="L101" s="21">
        <v>254</v>
      </c>
      <c r="M101" s="21">
        <v>92</v>
      </c>
      <c r="N101" s="21">
        <v>138</v>
      </c>
      <c r="O101" s="19">
        <v>260</v>
      </c>
      <c r="P101" s="22">
        <v>42</v>
      </c>
      <c r="Q101" s="22">
        <v>29</v>
      </c>
      <c r="R101" s="20" t="s">
        <v>58</v>
      </c>
      <c r="S101" s="234">
        <f>COUNTIFS(INP_DATA!$R$5:$R$3027,S$4,INP_DATA!$D$5:$D$3027,$D101,INP_DATA!$B$5:$B$3027,$B101)</f>
        <v>1</v>
      </c>
      <c r="T101" s="235">
        <f>COUNTIFS(INP_DATA!$R$5:$R$3027,T$4,INP_DATA!$D$5:$D$3027,$D101,INP_DATA!$B$5:$B$3027,$B101)</f>
        <v>0</v>
      </c>
    </row>
    <row r="102" spans="1:20" x14ac:dyDescent="0.35">
      <c r="A102" s="3" t="s">
        <v>16</v>
      </c>
      <c r="B102" s="165">
        <v>44958</v>
      </c>
      <c r="C102" s="57" t="str">
        <f>IF($B102="","",YEAR($B102)&amp;"-"&amp;IFERROR(VLOOKUP(MONTH(B102),KEY!$AE$5:$AF$16,2,FALSE),""))</f>
        <v>2023-Q1</v>
      </c>
      <c r="D102" s="3" t="s">
        <v>153</v>
      </c>
      <c r="E102" s="219">
        <v>50</v>
      </c>
      <c r="F102" s="166">
        <v>120</v>
      </c>
      <c r="G102" s="166">
        <v>78</v>
      </c>
      <c r="H102" s="21">
        <v>136</v>
      </c>
      <c r="I102" s="21">
        <v>18</v>
      </c>
      <c r="J102" s="21">
        <v>95</v>
      </c>
      <c r="K102" s="21">
        <v>11</v>
      </c>
      <c r="L102" s="21">
        <v>140</v>
      </c>
      <c r="M102" s="21">
        <v>35</v>
      </c>
      <c r="N102" s="21">
        <v>121</v>
      </c>
      <c r="O102" s="19">
        <v>240</v>
      </c>
      <c r="P102" s="22">
        <v>3</v>
      </c>
      <c r="Q102" s="22">
        <v>2</v>
      </c>
      <c r="R102" s="20" t="s">
        <v>194</v>
      </c>
      <c r="S102" s="234">
        <f>COUNTIFS(INP_DATA!$R$5:$R$3027,S$4,INP_DATA!$D$5:$D$3027,$D102,INP_DATA!$B$5:$B$3027,$B102)</f>
        <v>0</v>
      </c>
      <c r="T102" s="235">
        <f>COUNTIFS(INP_DATA!$R$5:$R$3027,T$4,INP_DATA!$D$5:$D$3027,$D102,INP_DATA!$B$5:$B$3027,$B102)</f>
        <v>0</v>
      </c>
    </row>
    <row r="103" spans="1:20" x14ac:dyDescent="0.35">
      <c r="A103" s="3" t="s">
        <v>106</v>
      </c>
      <c r="B103" s="165">
        <v>44958</v>
      </c>
      <c r="C103" s="57" t="str">
        <f>IF($B103="","",YEAR($B103)&amp;"-"&amp;IFERROR(VLOOKUP(MONTH(B103),KEY!$AE$5:$AF$16,2,FALSE),""))</f>
        <v>2023-Q1</v>
      </c>
      <c r="D103" s="3" t="s">
        <v>154</v>
      </c>
      <c r="E103" s="219">
        <v>10</v>
      </c>
      <c r="F103" s="166">
        <v>62</v>
      </c>
      <c r="G103" s="166">
        <v>46</v>
      </c>
      <c r="H103" s="21">
        <v>112</v>
      </c>
      <c r="I103" s="21">
        <v>16</v>
      </c>
      <c r="J103" s="21">
        <v>156</v>
      </c>
      <c r="K103" s="21">
        <v>15</v>
      </c>
      <c r="L103" s="21">
        <v>149</v>
      </c>
      <c r="M103" s="21">
        <v>36</v>
      </c>
      <c r="N103" s="21">
        <v>63</v>
      </c>
      <c r="O103" s="19">
        <v>100</v>
      </c>
      <c r="P103" s="22">
        <v>5</v>
      </c>
      <c r="Q103" s="22">
        <v>3</v>
      </c>
      <c r="R103" s="20" t="s">
        <v>194</v>
      </c>
      <c r="S103" s="234">
        <f>COUNTIFS(INP_DATA!$R$5:$R$3027,S$4,INP_DATA!$D$5:$D$3027,$D103,INP_DATA!$B$5:$B$3027,$B103)</f>
        <v>0</v>
      </c>
      <c r="T103" s="235">
        <f>COUNTIFS(INP_DATA!$R$5:$R$3027,T$4,INP_DATA!$D$5:$D$3027,$D103,INP_DATA!$B$5:$B$3027,$B103)</f>
        <v>0</v>
      </c>
    </row>
    <row r="104" spans="1:20" x14ac:dyDescent="0.35">
      <c r="A104" s="3" t="s">
        <v>109</v>
      </c>
      <c r="B104" s="165">
        <v>44958</v>
      </c>
      <c r="C104" s="57" t="str">
        <f>IF($B104="","",YEAR($B104)&amp;"-"&amp;IFERROR(VLOOKUP(MONTH(B104),KEY!$AE$5:$AF$16,2,FALSE),""))</f>
        <v>2023-Q1</v>
      </c>
      <c r="D104" s="3" t="s">
        <v>155</v>
      </c>
      <c r="E104" s="219">
        <v>32</v>
      </c>
      <c r="F104" s="166">
        <v>199</v>
      </c>
      <c r="G104" s="166">
        <v>240</v>
      </c>
      <c r="H104" s="21">
        <v>632</v>
      </c>
      <c r="I104" s="21">
        <v>60</v>
      </c>
      <c r="J104" s="21">
        <v>283</v>
      </c>
      <c r="K104" s="21">
        <v>37</v>
      </c>
      <c r="L104" s="21">
        <v>274</v>
      </c>
      <c r="M104" s="21">
        <v>110</v>
      </c>
      <c r="N104" s="21">
        <v>199</v>
      </c>
      <c r="O104" s="19">
        <v>460</v>
      </c>
      <c r="P104" s="22">
        <v>39</v>
      </c>
      <c r="Q104" s="22">
        <v>23</v>
      </c>
      <c r="R104" s="20" t="s">
        <v>51</v>
      </c>
      <c r="S104" s="234">
        <f>COUNTIFS(INP_DATA!$R$5:$R$3027,S$4,INP_DATA!$D$5:$D$3027,$D104,INP_DATA!$B$5:$B$3027,$B104)</f>
        <v>0</v>
      </c>
      <c r="T104" s="235">
        <f>COUNTIFS(INP_DATA!$R$5:$R$3027,T$4,INP_DATA!$D$5:$D$3027,$D104,INP_DATA!$B$5:$B$3027,$B104)</f>
        <v>1</v>
      </c>
    </row>
    <row r="105" spans="1:20" x14ac:dyDescent="0.35">
      <c r="A105" s="3" t="s">
        <v>109</v>
      </c>
      <c r="B105" s="165">
        <v>44958</v>
      </c>
      <c r="C105" s="57" t="str">
        <f>IF($B105="","",YEAR($B105)&amp;"-"&amp;IFERROR(VLOOKUP(MONTH(B105),KEY!$AE$5:$AF$16,2,FALSE),""))</f>
        <v>2023-Q1</v>
      </c>
      <c r="D105" s="3" t="s">
        <v>156</v>
      </c>
      <c r="E105" s="219">
        <v>60</v>
      </c>
      <c r="F105" s="166">
        <v>237</v>
      </c>
      <c r="G105" s="166">
        <v>219</v>
      </c>
      <c r="H105" s="21">
        <v>776</v>
      </c>
      <c r="I105" s="21">
        <v>81</v>
      </c>
      <c r="J105" s="21">
        <v>337</v>
      </c>
      <c r="K105" s="21">
        <v>43</v>
      </c>
      <c r="L105" s="21">
        <v>404</v>
      </c>
      <c r="M105" s="21">
        <v>129</v>
      </c>
      <c r="N105" s="21">
        <v>240</v>
      </c>
      <c r="O105" s="19">
        <v>380</v>
      </c>
      <c r="P105" s="22">
        <v>18</v>
      </c>
      <c r="Q105" s="22">
        <v>8</v>
      </c>
      <c r="R105" s="20" t="s">
        <v>51</v>
      </c>
      <c r="S105" s="234">
        <f>COUNTIFS(INP_DATA!$R$5:$R$3027,S$4,INP_DATA!$D$5:$D$3027,$D105,INP_DATA!$B$5:$B$3027,$B105)</f>
        <v>0</v>
      </c>
      <c r="T105" s="235">
        <f>COUNTIFS(INP_DATA!$R$5:$R$3027,T$4,INP_DATA!$D$5:$D$3027,$D105,INP_DATA!$B$5:$B$3027,$B105)</f>
        <v>1</v>
      </c>
    </row>
    <row r="106" spans="1:20" x14ac:dyDescent="0.35">
      <c r="A106" s="3" t="s">
        <v>109</v>
      </c>
      <c r="B106" s="165">
        <v>44958</v>
      </c>
      <c r="C106" s="57" t="str">
        <f>IF($B106="","",YEAR($B106)&amp;"-"&amp;IFERROR(VLOOKUP(MONTH(B106),KEY!$AE$5:$AF$16,2,FALSE),""))</f>
        <v>2023-Q1</v>
      </c>
      <c r="D106" s="3" t="s">
        <v>157</v>
      </c>
      <c r="E106" s="219">
        <v>26</v>
      </c>
      <c r="F106" s="166">
        <v>207</v>
      </c>
      <c r="G106" s="166">
        <v>235</v>
      </c>
      <c r="H106" s="21">
        <v>712</v>
      </c>
      <c r="I106" s="21">
        <v>42</v>
      </c>
      <c r="J106" s="21">
        <v>332</v>
      </c>
      <c r="K106" s="21">
        <v>33</v>
      </c>
      <c r="L106" s="21">
        <v>201</v>
      </c>
      <c r="M106" s="21">
        <v>75</v>
      </c>
      <c r="N106" s="21">
        <v>203</v>
      </c>
      <c r="O106" s="19">
        <v>360</v>
      </c>
      <c r="P106" s="22">
        <v>22</v>
      </c>
      <c r="Q106" s="22">
        <v>15</v>
      </c>
      <c r="R106" s="20" t="s">
        <v>51</v>
      </c>
      <c r="S106" s="234">
        <f>COUNTIFS(INP_DATA!$R$5:$R$3027,S$4,INP_DATA!$D$5:$D$3027,$D106,INP_DATA!$B$5:$B$3027,$B106)</f>
        <v>0</v>
      </c>
      <c r="T106" s="235">
        <f>COUNTIFS(INP_DATA!$R$5:$R$3027,T$4,INP_DATA!$D$5:$D$3027,$D106,INP_DATA!$B$5:$B$3027,$B106)</f>
        <v>1</v>
      </c>
    </row>
    <row r="107" spans="1:20" x14ac:dyDescent="0.35">
      <c r="A107" s="3" t="s">
        <v>16</v>
      </c>
      <c r="B107" s="165">
        <v>44958</v>
      </c>
      <c r="C107" s="57" t="str">
        <f>IF($B107="","",YEAR($B107)&amp;"-"&amp;IFERROR(VLOOKUP(MONTH(B107),KEY!$AE$5:$AF$16,2,FALSE),""))</f>
        <v>2023-Q1</v>
      </c>
      <c r="D107" s="3" t="s">
        <v>158</v>
      </c>
      <c r="E107" s="219">
        <v>3</v>
      </c>
      <c r="F107" s="166">
        <v>23</v>
      </c>
      <c r="G107" s="166">
        <v>37</v>
      </c>
      <c r="H107" s="21">
        <v>61</v>
      </c>
      <c r="I107" s="21">
        <v>7</v>
      </c>
      <c r="J107" s="21">
        <v>40</v>
      </c>
      <c r="K107" s="21">
        <v>6</v>
      </c>
      <c r="L107" s="21">
        <v>44</v>
      </c>
      <c r="M107" s="21">
        <v>8</v>
      </c>
      <c r="N107" s="21">
        <v>24</v>
      </c>
      <c r="O107" s="19">
        <v>100</v>
      </c>
      <c r="P107" s="22" t="s">
        <v>194</v>
      </c>
      <c r="Q107" s="22" t="s">
        <v>194</v>
      </c>
      <c r="R107" s="20" t="s">
        <v>194</v>
      </c>
      <c r="S107" s="234">
        <f>COUNTIFS(INP_DATA!$R$5:$R$3027,S$4,INP_DATA!$D$5:$D$3027,$D107,INP_DATA!$B$5:$B$3027,$B107)</f>
        <v>0</v>
      </c>
      <c r="T107" s="235">
        <f>COUNTIFS(INP_DATA!$R$5:$R$3027,T$4,INP_DATA!$D$5:$D$3027,$D107,INP_DATA!$B$5:$B$3027,$B107)</f>
        <v>0</v>
      </c>
    </row>
    <row r="108" spans="1:20" x14ac:dyDescent="0.35">
      <c r="A108" s="3" t="s">
        <v>107</v>
      </c>
      <c r="B108" s="165">
        <v>44958</v>
      </c>
      <c r="C108" s="57" t="str">
        <f>IF($B108="","",YEAR($B108)&amp;"-"&amp;IFERROR(VLOOKUP(MONTH(B108),KEY!$AE$5:$AF$16,2,FALSE),""))</f>
        <v>2023-Q1</v>
      </c>
      <c r="D108" s="3" t="s">
        <v>159</v>
      </c>
      <c r="E108" s="219">
        <v>23</v>
      </c>
      <c r="F108" s="166">
        <v>94</v>
      </c>
      <c r="G108" s="166">
        <v>91</v>
      </c>
      <c r="H108" s="21">
        <v>344</v>
      </c>
      <c r="I108" s="21">
        <v>28</v>
      </c>
      <c r="J108" s="21">
        <v>81</v>
      </c>
      <c r="K108" s="21">
        <v>14</v>
      </c>
      <c r="L108" s="21">
        <v>200</v>
      </c>
      <c r="M108" s="21">
        <v>68</v>
      </c>
      <c r="N108" s="21">
        <v>99</v>
      </c>
      <c r="O108" s="19">
        <v>180</v>
      </c>
      <c r="P108" s="22">
        <v>55</v>
      </c>
      <c r="Q108" s="22">
        <v>34</v>
      </c>
      <c r="R108" s="20" t="s">
        <v>194</v>
      </c>
      <c r="S108" s="234">
        <f>COUNTIFS(INP_DATA!$R$5:$R$3027,S$4,INP_DATA!$D$5:$D$3027,$D108,INP_DATA!$B$5:$B$3027,$B108)</f>
        <v>0</v>
      </c>
      <c r="T108" s="235">
        <f>COUNTIFS(INP_DATA!$R$5:$R$3027,T$4,INP_DATA!$D$5:$D$3027,$D108,INP_DATA!$B$5:$B$3027,$B108)</f>
        <v>0</v>
      </c>
    </row>
    <row r="109" spans="1:20" x14ac:dyDescent="0.35">
      <c r="A109" s="3" t="s">
        <v>16</v>
      </c>
      <c r="B109" s="165">
        <v>44958</v>
      </c>
      <c r="C109" s="57" t="str">
        <f>IF($B109="","",YEAR($B109)&amp;"-"&amp;IFERROR(VLOOKUP(MONTH(B109),KEY!$AE$5:$AF$16,2,FALSE),""))</f>
        <v>2023-Q1</v>
      </c>
      <c r="D109" s="3" t="s">
        <v>160</v>
      </c>
      <c r="E109" s="219">
        <v>84</v>
      </c>
      <c r="F109" s="166">
        <v>306</v>
      </c>
      <c r="G109" s="166">
        <v>315</v>
      </c>
      <c r="H109" s="21">
        <v>726</v>
      </c>
      <c r="I109" s="21">
        <v>122</v>
      </c>
      <c r="J109" s="21">
        <v>295</v>
      </c>
      <c r="K109" s="21">
        <v>32</v>
      </c>
      <c r="L109" s="21">
        <v>477</v>
      </c>
      <c r="M109" s="21">
        <v>179</v>
      </c>
      <c r="N109" s="21">
        <v>307</v>
      </c>
      <c r="O109" s="19">
        <v>420</v>
      </c>
      <c r="P109" s="22">
        <v>53</v>
      </c>
      <c r="Q109" s="22">
        <v>35</v>
      </c>
      <c r="R109" s="20" t="s">
        <v>51</v>
      </c>
      <c r="S109" s="234">
        <f>COUNTIFS(INP_DATA!$R$5:$R$3027,S$4,INP_DATA!$D$5:$D$3027,$D109,INP_DATA!$B$5:$B$3027,$B109)</f>
        <v>0</v>
      </c>
      <c r="T109" s="235">
        <f>COUNTIFS(INP_DATA!$R$5:$R$3027,T$4,INP_DATA!$D$5:$D$3027,$D109,INP_DATA!$B$5:$B$3027,$B109)</f>
        <v>1</v>
      </c>
    </row>
    <row r="110" spans="1:20" x14ac:dyDescent="0.35">
      <c r="A110" s="3" t="s">
        <v>106</v>
      </c>
      <c r="B110" s="165">
        <v>44958</v>
      </c>
      <c r="C110" s="57" t="str">
        <f>IF($B110="","",YEAR($B110)&amp;"-"&amp;IFERROR(VLOOKUP(MONTH(B110),KEY!$AE$5:$AF$16,2,FALSE),""))</f>
        <v>2023-Q1</v>
      </c>
      <c r="D110" s="3" t="s">
        <v>161</v>
      </c>
      <c r="E110" s="219">
        <v>31</v>
      </c>
      <c r="F110" s="166">
        <v>292</v>
      </c>
      <c r="G110" s="166">
        <v>278</v>
      </c>
      <c r="H110" s="21">
        <v>551</v>
      </c>
      <c r="I110" s="21">
        <v>83</v>
      </c>
      <c r="J110" s="21">
        <v>211</v>
      </c>
      <c r="K110" s="21">
        <v>48</v>
      </c>
      <c r="L110" s="21">
        <v>375</v>
      </c>
      <c r="M110" s="21">
        <v>119</v>
      </c>
      <c r="N110" s="21">
        <v>301</v>
      </c>
      <c r="O110" s="19">
        <v>400</v>
      </c>
      <c r="P110" s="22">
        <v>30</v>
      </c>
      <c r="Q110" s="22">
        <v>19</v>
      </c>
      <c r="R110" s="20" t="s">
        <v>51</v>
      </c>
      <c r="S110" s="234">
        <f>COUNTIFS(INP_DATA!$R$5:$R$3027,S$4,INP_DATA!$D$5:$D$3027,$D110,INP_DATA!$B$5:$B$3027,$B110)</f>
        <v>0</v>
      </c>
      <c r="T110" s="235">
        <f>COUNTIFS(INP_DATA!$R$5:$R$3027,T$4,INP_DATA!$D$5:$D$3027,$D110,INP_DATA!$B$5:$B$3027,$B110)</f>
        <v>1</v>
      </c>
    </row>
    <row r="111" spans="1:20" x14ac:dyDescent="0.35">
      <c r="A111" s="3" t="s">
        <v>109</v>
      </c>
      <c r="B111" s="165">
        <v>44958</v>
      </c>
      <c r="C111" s="57" t="str">
        <f>IF($B111="","",YEAR($B111)&amp;"-"&amp;IFERROR(VLOOKUP(MONTH(B111),KEY!$AE$5:$AF$16,2,FALSE),""))</f>
        <v>2023-Q1</v>
      </c>
      <c r="D111" s="3" t="s">
        <v>162</v>
      </c>
      <c r="E111" s="219">
        <v>40</v>
      </c>
      <c r="F111" s="166">
        <v>331</v>
      </c>
      <c r="G111" s="166">
        <v>422</v>
      </c>
      <c r="H111" s="21">
        <v>498</v>
      </c>
      <c r="I111" s="21">
        <v>74</v>
      </c>
      <c r="J111" s="21">
        <v>454</v>
      </c>
      <c r="K111" s="21">
        <v>56</v>
      </c>
      <c r="L111" s="21">
        <v>687</v>
      </c>
      <c r="M111" s="21">
        <v>162</v>
      </c>
      <c r="N111" s="21">
        <v>359</v>
      </c>
      <c r="O111" s="19">
        <v>660</v>
      </c>
      <c r="P111" s="22">
        <v>25</v>
      </c>
      <c r="Q111" s="22">
        <v>18</v>
      </c>
      <c r="R111" s="20" t="s">
        <v>58</v>
      </c>
      <c r="S111" s="234">
        <f>COUNTIFS(INP_DATA!$R$5:$R$3027,S$4,INP_DATA!$D$5:$D$3027,$D111,INP_DATA!$B$5:$B$3027,$B111)</f>
        <v>1</v>
      </c>
      <c r="T111" s="235">
        <f>COUNTIFS(INP_DATA!$R$5:$R$3027,T$4,INP_DATA!$D$5:$D$3027,$D111,INP_DATA!$B$5:$B$3027,$B111)</f>
        <v>0</v>
      </c>
    </row>
    <row r="112" spans="1:20" x14ac:dyDescent="0.35">
      <c r="A112" s="3" t="s">
        <v>16</v>
      </c>
      <c r="B112" s="165">
        <v>44958</v>
      </c>
      <c r="C112" s="57" t="str">
        <f>IF($B112="","",YEAR($B112)&amp;"-"&amp;IFERROR(VLOOKUP(MONTH(B112),KEY!$AE$5:$AF$16,2,FALSE),""))</f>
        <v>2023-Q1</v>
      </c>
      <c r="D112" s="3" t="s">
        <v>163</v>
      </c>
      <c r="E112" s="219">
        <v>39</v>
      </c>
      <c r="F112" s="166">
        <v>186</v>
      </c>
      <c r="G112" s="166">
        <v>183</v>
      </c>
      <c r="H112" s="21">
        <v>254</v>
      </c>
      <c r="I112" s="21">
        <v>48</v>
      </c>
      <c r="J112" s="21">
        <v>212</v>
      </c>
      <c r="K112" s="21">
        <v>42</v>
      </c>
      <c r="L112" s="21">
        <v>341</v>
      </c>
      <c r="M112" s="21">
        <v>104</v>
      </c>
      <c r="N112" s="21">
        <v>189</v>
      </c>
      <c r="O112" s="19">
        <v>400</v>
      </c>
      <c r="P112" s="22">
        <v>13</v>
      </c>
      <c r="Q112" s="22">
        <v>6</v>
      </c>
      <c r="R112" s="20" t="s">
        <v>51</v>
      </c>
      <c r="S112" s="234">
        <f>COUNTIFS(INP_DATA!$R$5:$R$3027,S$4,INP_DATA!$D$5:$D$3027,$D112,INP_DATA!$B$5:$B$3027,$B112)</f>
        <v>0</v>
      </c>
      <c r="T112" s="235">
        <f>COUNTIFS(INP_DATA!$R$5:$R$3027,T$4,INP_DATA!$D$5:$D$3027,$D112,INP_DATA!$B$5:$B$3027,$B112)</f>
        <v>1</v>
      </c>
    </row>
    <row r="113" spans="1:20" x14ac:dyDescent="0.35">
      <c r="A113" s="3" t="s">
        <v>16</v>
      </c>
      <c r="B113" s="165">
        <v>44958</v>
      </c>
      <c r="C113" s="57" t="str">
        <f>IF($B113="","",YEAR($B113)&amp;"-"&amp;IFERROR(VLOOKUP(MONTH(B113),KEY!$AE$5:$AF$16,2,FALSE),""))</f>
        <v>2023-Q1</v>
      </c>
      <c r="D113" s="3" t="s">
        <v>164</v>
      </c>
      <c r="E113" s="219">
        <v>3</v>
      </c>
      <c r="F113" s="166">
        <v>77</v>
      </c>
      <c r="G113" s="166">
        <v>76</v>
      </c>
      <c r="H113" s="21">
        <v>208</v>
      </c>
      <c r="I113" s="21">
        <v>22</v>
      </c>
      <c r="J113" s="21">
        <v>77</v>
      </c>
      <c r="K113" s="21">
        <v>10</v>
      </c>
      <c r="L113" s="21">
        <v>99</v>
      </c>
      <c r="M113" s="21">
        <v>39</v>
      </c>
      <c r="N113" s="21">
        <v>79</v>
      </c>
      <c r="O113" s="19">
        <v>160</v>
      </c>
      <c r="P113" s="22">
        <v>14</v>
      </c>
      <c r="Q113" s="22">
        <v>8</v>
      </c>
      <c r="R113" s="20" t="s">
        <v>58</v>
      </c>
      <c r="S113" s="234">
        <f>COUNTIFS(INP_DATA!$R$5:$R$3027,S$4,INP_DATA!$D$5:$D$3027,$D113,INP_DATA!$B$5:$B$3027,$B113)</f>
        <v>1</v>
      </c>
      <c r="T113" s="235">
        <f>COUNTIFS(INP_DATA!$R$5:$R$3027,T$4,INP_DATA!$D$5:$D$3027,$D113,INP_DATA!$B$5:$B$3027,$B113)</f>
        <v>0</v>
      </c>
    </row>
    <row r="114" spans="1:20" x14ac:dyDescent="0.35">
      <c r="A114" s="3" t="s">
        <v>107</v>
      </c>
      <c r="B114" s="165">
        <v>44958</v>
      </c>
      <c r="C114" s="57" t="str">
        <f>IF($B114="","",YEAR($B114)&amp;"-"&amp;IFERROR(VLOOKUP(MONTH(B114),KEY!$AE$5:$AF$16,2,FALSE),""))</f>
        <v>2023-Q1</v>
      </c>
      <c r="D114" s="3" t="s">
        <v>165</v>
      </c>
      <c r="E114" s="219">
        <v>18</v>
      </c>
      <c r="F114" s="166">
        <v>100</v>
      </c>
      <c r="G114" s="166">
        <v>110</v>
      </c>
      <c r="H114" s="21">
        <v>214</v>
      </c>
      <c r="I114" s="21">
        <v>32</v>
      </c>
      <c r="J114" s="21">
        <v>69</v>
      </c>
      <c r="K114" s="21">
        <v>20</v>
      </c>
      <c r="L114" s="21">
        <v>145</v>
      </c>
      <c r="M114" s="21">
        <v>61</v>
      </c>
      <c r="N114" s="21">
        <v>100</v>
      </c>
      <c r="O114" s="19">
        <v>160</v>
      </c>
      <c r="P114" s="22">
        <v>33</v>
      </c>
      <c r="Q114" s="22">
        <v>21</v>
      </c>
      <c r="R114" s="20" t="s">
        <v>51</v>
      </c>
      <c r="S114" s="234">
        <f>COUNTIFS(INP_DATA!$R$5:$R$3027,S$4,INP_DATA!$D$5:$D$3027,$D114,INP_DATA!$B$5:$B$3027,$B114)</f>
        <v>0</v>
      </c>
      <c r="T114" s="235">
        <f>COUNTIFS(INP_DATA!$R$5:$R$3027,T$4,INP_DATA!$D$5:$D$3027,$D114,INP_DATA!$B$5:$B$3027,$B114)</f>
        <v>1</v>
      </c>
    </row>
    <row r="115" spans="1:20" x14ac:dyDescent="0.35">
      <c r="A115" s="3" t="s">
        <v>16</v>
      </c>
      <c r="B115" s="165">
        <v>44986</v>
      </c>
      <c r="C115" s="57" t="str">
        <f>IF($B115="","",YEAR($B115)&amp;"-"&amp;IFERROR(VLOOKUP(MONTH(B115),KEY!$AE$5:$AF$16,2,FALSE),""))</f>
        <v>2023-Q1</v>
      </c>
      <c r="D115" s="3" t="s">
        <v>111</v>
      </c>
      <c r="E115" s="219">
        <v>12</v>
      </c>
      <c r="F115" s="166">
        <v>91</v>
      </c>
      <c r="G115" s="166">
        <v>85</v>
      </c>
      <c r="H115" s="21">
        <v>196</v>
      </c>
      <c r="I115" s="21">
        <v>30</v>
      </c>
      <c r="J115" s="21">
        <v>74</v>
      </c>
      <c r="K115" s="21">
        <v>13</v>
      </c>
      <c r="L115" s="21">
        <v>160</v>
      </c>
      <c r="M115" s="21">
        <v>56</v>
      </c>
      <c r="N115" s="21">
        <v>93</v>
      </c>
      <c r="O115" s="19">
        <v>161</v>
      </c>
      <c r="P115" s="22">
        <v>12</v>
      </c>
      <c r="Q115" s="22">
        <v>8</v>
      </c>
      <c r="R115" s="20" t="s">
        <v>58</v>
      </c>
      <c r="S115" s="234">
        <f>COUNTIFS(INP_DATA!$R$5:$R$3027,S$4,INP_DATA!$D$5:$D$3027,$D115,INP_DATA!$B$5:$B$3027,$B115)</f>
        <v>1</v>
      </c>
      <c r="T115" s="235">
        <f>COUNTIFS(INP_DATA!$R$5:$R$3027,T$4,INP_DATA!$D$5:$D$3027,$D115,INP_DATA!$B$5:$B$3027,$B115)</f>
        <v>0</v>
      </c>
    </row>
    <row r="116" spans="1:20" x14ac:dyDescent="0.35">
      <c r="A116" s="3" t="s">
        <v>108</v>
      </c>
      <c r="B116" s="165">
        <v>44986</v>
      </c>
      <c r="C116" s="57" t="str">
        <f>IF($B116="","",YEAR($B116)&amp;"-"&amp;IFERROR(VLOOKUP(MONTH(B116),KEY!$AE$5:$AF$16,2,FALSE),""))</f>
        <v>2023-Q1</v>
      </c>
      <c r="D116" s="3" t="s">
        <v>112</v>
      </c>
      <c r="E116" s="219">
        <v>9</v>
      </c>
      <c r="F116" s="166">
        <v>38</v>
      </c>
      <c r="G116" s="166">
        <v>53</v>
      </c>
      <c r="H116" s="21">
        <v>75</v>
      </c>
      <c r="I116" s="21">
        <v>8</v>
      </c>
      <c r="J116" s="21">
        <v>36</v>
      </c>
      <c r="K116" s="21">
        <v>7</v>
      </c>
      <c r="L116" s="21">
        <v>68</v>
      </c>
      <c r="M116" s="21">
        <v>31</v>
      </c>
      <c r="N116" s="21">
        <v>38</v>
      </c>
      <c r="O116" s="19">
        <v>92</v>
      </c>
      <c r="P116" s="22">
        <v>10</v>
      </c>
      <c r="Q116" s="22">
        <v>7</v>
      </c>
      <c r="R116" s="20" t="s">
        <v>51</v>
      </c>
      <c r="S116" s="234">
        <f>COUNTIFS(INP_DATA!$R$5:$R$3027,S$4,INP_DATA!$D$5:$D$3027,$D116,INP_DATA!$B$5:$B$3027,$B116)</f>
        <v>0</v>
      </c>
      <c r="T116" s="235">
        <f>COUNTIFS(INP_DATA!$R$5:$R$3027,T$4,INP_DATA!$D$5:$D$3027,$D116,INP_DATA!$B$5:$B$3027,$B116)</f>
        <v>1</v>
      </c>
    </row>
    <row r="117" spans="1:20" x14ac:dyDescent="0.35">
      <c r="A117" s="3" t="s">
        <v>16</v>
      </c>
      <c r="B117" s="165">
        <v>44986</v>
      </c>
      <c r="C117" s="57" t="str">
        <f>IF($B117="","",YEAR($B117)&amp;"-"&amp;IFERROR(VLOOKUP(MONTH(B117),KEY!$AE$5:$AF$16,2,FALSE),""))</f>
        <v>2023-Q1</v>
      </c>
      <c r="D117" s="3" t="s">
        <v>113</v>
      </c>
      <c r="E117" s="219">
        <v>14</v>
      </c>
      <c r="F117" s="166">
        <v>94</v>
      </c>
      <c r="G117" s="166">
        <v>108</v>
      </c>
      <c r="H117" s="21">
        <v>286</v>
      </c>
      <c r="I117" s="21">
        <v>34</v>
      </c>
      <c r="J117" s="21">
        <v>98</v>
      </c>
      <c r="K117" s="21">
        <v>26</v>
      </c>
      <c r="L117" s="21">
        <v>146</v>
      </c>
      <c r="M117" s="21">
        <v>56</v>
      </c>
      <c r="N117" s="21">
        <v>94</v>
      </c>
      <c r="O117" s="19">
        <v>207</v>
      </c>
      <c r="P117" s="22">
        <v>6</v>
      </c>
      <c r="Q117" s="22">
        <v>3</v>
      </c>
      <c r="R117" s="20" t="s">
        <v>51</v>
      </c>
      <c r="S117" s="234">
        <f>COUNTIFS(INP_DATA!$R$5:$R$3027,S$4,INP_DATA!$D$5:$D$3027,$D117,INP_DATA!$B$5:$B$3027,$B117)</f>
        <v>0</v>
      </c>
      <c r="T117" s="235">
        <f>COUNTIFS(INP_DATA!$R$5:$R$3027,T$4,INP_DATA!$D$5:$D$3027,$D117,INP_DATA!$B$5:$B$3027,$B117)</f>
        <v>1</v>
      </c>
    </row>
    <row r="118" spans="1:20" x14ac:dyDescent="0.35">
      <c r="A118" s="3" t="s">
        <v>108</v>
      </c>
      <c r="B118" s="165">
        <v>44986</v>
      </c>
      <c r="C118" s="57" t="str">
        <f>IF($B118="","",YEAR($B118)&amp;"-"&amp;IFERROR(VLOOKUP(MONTH(B118),KEY!$AE$5:$AF$16,2,FALSE),""))</f>
        <v>2023-Q1</v>
      </c>
      <c r="D118" s="3" t="s">
        <v>114</v>
      </c>
      <c r="E118" s="219">
        <v>30</v>
      </c>
      <c r="F118" s="166">
        <v>72</v>
      </c>
      <c r="G118" s="166">
        <v>73</v>
      </c>
      <c r="H118" s="21">
        <v>149</v>
      </c>
      <c r="I118" s="21">
        <v>16</v>
      </c>
      <c r="J118" s="21">
        <v>41</v>
      </c>
      <c r="K118" s="21">
        <v>6</v>
      </c>
      <c r="L118" s="21">
        <v>81</v>
      </c>
      <c r="M118" s="21">
        <v>41</v>
      </c>
      <c r="N118" s="21">
        <v>75</v>
      </c>
      <c r="O118" s="19">
        <v>161</v>
      </c>
      <c r="P118" s="22">
        <v>27</v>
      </c>
      <c r="Q118" s="22">
        <v>13</v>
      </c>
      <c r="R118" s="20" t="s">
        <v>58</v>
      </c>
      <c r="S118" s="234">
        <f>COUNTIFS(INP_DATA!$R$5:$R$3027,S$4,INP_DATA!$D$5:$D$3027,$D118,INP_DATA!$B$5:$B$3027,$B118)</f>
        <v>1</v>
      </c>
      <c r="T118" s="235">
        <f>COUNTIFS(INP_DATA!$R$5:$R$3027,T$4,INP_DATA!$D$5:$D$3027,$D118,INP_DATA!$B$5:$B$3027,$B118)</f>
        <v>0</v>
      </c>
    </row>
    <row r="119" spans="1:20" x14ac:dyDescent="0.35">
      <c r="A119" s="3" t="s">
        <v>107</v>
      </c>
      <c r="B119" s="165">
        <v>44986</v>
      </c>
      <c r="C119" s="57" t="str">
        <f>IF($B119="","",YEAR($B119)&amp;"-"&amp;IFERROR(VLOOKUP(MONTH(B119),KEY!$AE$5:$AF$16,2,FALSE),""))</f>
        <v>2023-Q1</v>
      </c>
      <c r="D119" s="3" t="s">
        <v>115</v>
      </c>
      <c r="E119" s="219">
        <v>2</v>
      </c>
      <c r="F119" s="166">
        <v>0</v>
      </c>
      <c r="G119" s="166">
        <v>0</v>
      </c>
      <c r="H119" s="21">
        <v>177</v>
      </c>
      <c r="I119" s="21">
        <v>23</v>
      </c>
      <c r="J119" s="21">
        <v>51</v>
      </c>
      <c r="K119" s="21">
        <v>10</v>
      </c>
      <c r="L119" s="21">
        <v>83</v>
      </c>
      <c r="M119" s="21">
        <v>37</v>
      </c>
      <c r="N119" s="21">
        <v>54</v>
      </c>
      <c r="O119" s="19">
        <v>115</v>
      </c>
      <c r="P119" s="22" t="s">
        <v>194</v>
      </c>
      <c r="Q119" s="22" t="s">
        <v>194</v>
      </c>
      <c r="R119" s="20" t="s">
        <v>194</v>
      </c>
      <c r="S119" s="234">
        <f>COUNTIFS(INP_DATA!$R$5:$R$3027,S$4,INP_DATA!$D$5:$D$3027,$D119,INP_DATA!$B$5:$B$3027,$B119)</f>
        <v>0</v>
      </c>
      <c r="T119" s="235">
        <f>COUNTIFS(INP_DATA!$R$5:$R$3027,T$4,INP_DATA!$D$5:$D$3027,$D119,INP_DATA!$B$5:$B$3027,$B119)</f>
        <v>0</v>
      </c>
    </row>
    <row r="120" spans="1:20" x14ac:dyDescent="0.35">
      <c r="A120" s="3" t="s">
        <v>16</v>
      </c>
      <c r="B120" s="165">
        <v>44986</v>
      </c>
      <c r="C120" s="57" t="str">
        <f>IF($B120="","",YEAR($B120)&amp;"-"&amp;IFERROR(VLOOKUP(MONTH(B120),KEY!$AE$5:$AF$16,2,FALSE),""))</f>
        <v>2023-Q1</v>
      </c>
      <c r="D120" s="3" t="s">
        <v>116</v>
      </c>
      <c r="E120" s="219">
        <v>44</v>
      </c>
      <c r="F120" s="166">
        <v>203</v>
      </c>
      <c r="G120" s="166">
        <v>162</v>
      </c>
      <c r="H120" s="21">
        <v>273</v>
      </c>
      <c r="I120" s="21">
        <v>42</v>
      </c>
      <c r="J120" s="21">
        <v>140</v>
      </c>
      <c r="K120" s="21">
        <v>20</v>
      </c>
      <c r="L120" s="21">
        <v>313</v>
      </c>
      <c r="M120" s="21">
        <v>122</v>
      </c>
      <c r="N120" s="21">
        <v>203</v>
      </c>
      <c r="O120" s="19">
        <v>299</v>
      </c>
      <c r="P120" s="22">
        <v>38</v>
      </c>
      <c r="Q120" s="22">
        <v>23</v>
      </c>
      <c r="R120" s="20" t="s">
        <v>51</v>
      </c>
      <c r="S120" s="234">
        <f>COUNTIFS(INP_DATA!$R$5:$R$3027,S$4,INP_DATA!$D$5:$D$3027,$D120,INP_DATA!$B$5:$B$3027,$B120)</f>
        <v>0</v>
      </c>
      <c r="T120" s="235">
        <f>COUNTIFS(INP_DATA!$R$5:$R$3027,T$4,INP_DATA!$D$5:$D$3027,$D120,INP_DATA!$B$5:$B$3027,$B120)</f>
        <v>1</v>
      </c>
    </row>
    <row r="121" spans="1:20" x14ac:dyDescent="0.35">
      <c r="A121" s="3" t="s">
        <v>107</v>
      </c>
      <c r="B121" s="165">
        <v>44986</v>
      </c>
      <c r="C121" s="57" t="str">
        <f>IF($B121="","",YEAR($B121)&amp;"-"&amp;IFERROR(VLOOKUP(MONTH(B121),KEY!$AE$5:$AF$16,2,FALSE),""))</f>
        <v>2023-Q1</v>
      </c>
      <c r="D121" s="3" t="s">
        <v>117</v>
      </c>
      <c r="E121" s="219">
        <v>36</v>
      </c>
      <c r="F121" s="166">
        <v>186</v>
      </c>
      <c r="G121" s="166">
        <v>176</v>
      </c>
      <c r="H121" s="21">
        <v>238</v>
      </c>
      <c r="I121" s="21">
        <v>35</v>
      </c>
      <c r="J121" s="21">
        <v>156</v>
      </c>
      <c r="K121" s="21">
        <v>43</v>
      </c>
      <c r="L121" s="21">
        <v>288</v>
      </c>
      <c r="M121" s="21">
        <v>123</v>
      </c>
      <c r="N121" s="21">
        <v>186</v>
      </c>
      <c r="O121" s="19">
        <v>299</v>
      </c>
      <c r="P121" s="22">
        <v>79</v>
      </c>
      <c r="Q121" s="22">
        <v>39</v>
      </c>
      <c r="R121" s="20" t="s">
        <v>58</v>
      </c>
      <c r="S121" s="234">
        <f>COUNTIFS(INP_DATA!$R$5:$R$3027,S$4,INP_DATA!$D$5:$D$3027,$D121,INP_DATA!$B$5:$B$3027,$B121)</f>
        <v>1</v>
      </c>
      <c r="T121" s="235">
        <f>COUNTIFS(INP_DATA!$R$5:$R$3027,T$4,INP_DATA!$D$5:$D$3027,$D121,INP_DATA!$B$5:$B$3027,$B121)</f>
        <v>0</v>
      </c>
    </row>
    <row r="122" spans="1:20" x14ac:dyDescent="0.35">
      <c r="A122" s="3" t="s">
        <v>106</v>
      </c>
      <c r="B122" s="165">
        <v>44986</v>
      </c>
      <c r="C122" s="57" t="str">
        <f>IF($B122="","",YEAR($B122)&amp;"-"&amp;IFERROR(VLOOKUP(MONTH(B122),KEY!$AE$5:$AF$16,2,FALSE),""))</f>
        <v>2023-Q1</v>
      </c>
      <c r="D122" s="3" t="s">
        <v>118</v>
      </c>
      <c r="E122" s="219">
        <v>7</v>
      </c>
      <c r="F122" s="166">
        <v>213</v>
      </c>
      <c r="G122" s="166">
        <v>221</v>
      </c>
      <c r="H122" s="21">
        <v>603</v>
      </c>
      <c r="I122" s="21">
        <v>51</v>
      </c>
      <c r="J122" s="21">
        <v>312</v>
      </c>
      <c r="K122" s="21">
        <v>56</v>
      </c>
      <c r="L122" s="21">
        <v>271</v>
      </c>
      <c r="M122" s="21">
        <v>76</v>
      </c>
      <c r="N122" s="21">
        <v>218</v>
      </c>
      <c r="O122" s="19">
        <v>299</v>
      </c>
      <c r="P122" s="22">
        <v>70</v>
      </c>
      <c r="Q122" s="22">
        <v>44</v>
      </c>
      <c r="R122" s="20" t="s">
        <v>51</v>
      </c>
      <c r="S122" s="234">
        <f>COUNTIFS(INP_DATA!$R$5:$R$3027,S$4,INP_DATA!$D$5:$D$3027,$D122,INP_DATA!$B$5:$B$3027,$B122)</f>
        <v>0</v>
      </c>
      <c r="T122" s="235">
        <f>COUNTIFS(INP_DATA!$R$5:$R$3027,T$4,INP_DATA!$D$5:$D$3027,$D122,INP_DATA!$B$5:$B$3027,$B122)</f>
        <v>1</v>
      </c>
    </row>
    <row r="123" spans="1:20" x14ac:dyDescent="0.35">
      <c r="A123" s="3" t="s">
        <v>16</v>
      </c>
      <c r="B123" s="165">
        <v>44986</v>
      </c>
      <c r="C123" s="57" t="str">
        <f>IF($B123="","",YEAR($B123)&amp;"-"&amp;IFERROR(VLOOKUP(MONTH(B123),KEY!$AE$5:$AF$16,2,FALSE),""))</f>
        <v>2023-Q1</v>
      </c>
      <c r="D123" s="3" t="s">
        <v>119</v>
      </c>
      <c r="E123" s="219">
        <v>12</v>
      </c>
      <c r="F123" s="166">
        <v>23</v>
      </c>
      <c r="G123" s="166">
        <v>28</v>
      </c>
      <c r="H123" s="21">
        <v>45</v>
      </c>
      <c r="I123" s="21">
        <v>6</v>
      </c>
      <c r="J123" s="21">
        <v>72</v>
      </c>
      <c r="K123" s="21">
        <v>4</v>
      </c>
      <c r="L123" s="21">
        <v>44</v>
      </c>
      <c r="M123" s="21">
        <v>14</v>
      </c>
      <c r="N123" s="21">
        <v>23</v>
      </c>
      <c r="O123" s="19">
        <v>92</v>
      </c>
      <c r="P123" s="22" t="s">
        <v>194</v>
      </c>
      <c r="Q123" s="22" t="s">
        <v>194</v>
      </c>
      <c r="R123" s="20" t="s">
        <v>194</v>
      </c>
      <c r="S123" s="234">
        <f>COUNTIFS(INP_DATA!$R$5:$R$3027,S$4,INP_DATA!$D$5:$D$3027,$D123,INP_DATA!$B$5:$B$3027,$B123)</f>
        <v>0</v>
      </c>
      <c r="T123" s="235">
        <f>COUNTIFS(INP_DATA!$R$5:$R$3027,T$4,INP_DATA!$D$5:$D$3027,$D123,INP_DATA!$B$5:$B$3027,$B123)</f>
        <v>0</v>
      </c>
    </row>
    <row r="124" spans="1:20" x14ac:dyDescent="0.35">
      <c r="A124" s="3" t="s">
        <v>16</v>
      </c>
      <c r="B124" s="165">
        <v>44986</v>
      </c>
      <c r="C124" s="57" t="str">
        <f>IF($B124="","",YEAR($B124)&amp;"-"&amp;IFERROR(VLOOKUP(MONTH(B124),KEY!$AE$5:$AF$16,2,FALSE),""))</f>
        <v>2023-Q1</v>
      </c>
      <c r="D124" s="3" t="s">
        <v>120</v>
      </c>
      <c r="E124" s="219">
        <v>56</v>
      </c>
      <c r="F124" s="166">
        <v>432</v>
      </c>
      <c r="G124" s="166">
        <v>375</v>
      </c>
      <c r="H124" s="21">
        <v>848</v>
      </c>
      <c r="I124" s="21">
        <v>114</v>
      </c>
      <c r="J124" s="21">
        <v>339</v>
      </c>
      <c r="K124" s="21">
        <v>70</v>
      </c>
      <c r="L124" s="21">
        <v>563</v>
      </c>
      <c r="M124" s="21">
        <v>228</v>
      </c>
      <c r="N124" s="21">
        <v>438</v>
      </c>
      <c r="O124" s="19">
        <v>598</v>
      </c>
      <c r="P124" s="22">
        <v>44</v>
      </c>
      <c r="Q124" s="22">
        <v>30</v>
      </c>
      <c r="R124" s="20" t="s">
        <v>58</v>
      </c>
      <c r="S124" s="234">
        <f>COUNTIFS(INP_DATA!$R$5:$R$3027,S$4,INP_DATA!$D$5:$D$3027,$D124,INP_DATA!$B$5:$B$3027,$B124)</f>
        <v>1</v>
      </c>
      <c r="T124" s="235">
        <f>COUNTIFS(INP_DATA!$R$5:$R$3027,T$4,INP_DATA!$D$5:$D$3027,$D124,INP_DATA!$B$5:$B$3027,$B124)</f>
        <v>0</v>
      </c>
    </row>
    <row r="125" spans="1:20" x14ac:dyDescent="0.35">
      <c r="A125" s="3" t="s">
        <v>109</v>
      </c>
      <c r="B125" s="165">
        <v>44986</v>
      </c>
      <c r="C125" s="57" t="str">
        <f>IF($B125="","",YEAR($B125)&amp;"-"&amp;IFERROR(VLOOKUP(MONTH(B125),KEY!$AE$5:$AF$16,2,FALSE),""))</f>
        <v>2023-Q1</v>
      </c>
      <c r="D125" s="3" t="s">
        <v>121</v>
      </c>
      <c r="E125" s="219">
        <v>50</v>
      </c>
      <c r="F125" s="166">
        <v>224</v>
      </c>
      <c r="G125" s="166">
        <v>248</v>
      </c>
      <c r="H125" s="21">
        <v>639</v>
      </c>
      <c r="I125" s="21">
        <v>64</v>
      </c>
      <c r="J125" s="21">
        <v>280</v>
      </c>
      <c r="K125" s="21">
        <v>43</v>
      </c>
      <c r="L125" s="21">
        <v>389</v>
      </c>
      <c r="M125" s="21">
        <v>113</v>
      </c>
      <c r="N125" s="21">
        <v>224</v>
      </c>
      <c r="O125" s="19">
        <v>437</v>
      </c>
      <c r="P125" s="22">
        <v>24</v>
      </c>
      <c r="Q125" s="22">
        <v>14</v>
      </c>
      <c r="R125" s="20" t="s">
        <v>58</v>
      </c>
      <c r="S125" s="234">
        <f>COUNTIFS(INP_DATA!$R$5:$R$3027,S$4,INP_DATA!$D$5:$D$3027,$D125,INP_DATA!$B$5:$B$3027,$B125)</f>
        <v>1</v>
      </c>
      <c r="T125" s="235">
        <f>COUNTIFS(INP_DATA!$R$5:$R$3027,T$4,INP_DATA!$D$5:$D$3027,$D125,INP_DATA!$B$5:$B$3027,$B125)</f>
        <v>0</v>
      </c>
    </row>
    <row r="126" spans="1:20" x14ac:dyDescent="0.35">
      <c r="A126" s="3" t="s">
        <v>108</v>
      </c>
      <c r="B126" s="165">
        <v>44986</v>
      </c>
      <c r="C126" s="57" t="str">
        <f>IF($B126="","",YEAR($B126)&amp;"-"&amp;IFERROR(VLOOKUP(MONTH(B126),KEY!$AE$5:$AF$16,2,FALSE),""))</f>
        <v>2023-Q1</v>
      </c>
      <c r="D126" s="3" t="s">
        <v>122</v>
      </c>
      <c r="E126" s="219">
        <v>4</v>
      </c>
      <c r="F126" s="166">
        <v>0</v>
      </c>
      <c r="G126" s="166">
        <v>0</v>
      </c>
      <c r="H126" s="21">
        <v>395</v>
      </c>
      <c r="I126" s="21">
        <v>40</v>
      </c>
      <c r="J126" s="21">
        <v>155</v>
      </c>
      <c r="K126" s="21">
        <v>23</v>
      </c>
      <c r="L126" s="21">
        <v>239</v>
      </c>
      <c r="M126" s="21">
        <v>73</v>
      </c>
      <c r="N126" s="21">
        <v>108</v>
      </c>
      <c r="O126" s="19">
        <v>138</v>
      </c>
      <c r="P126" s="22" t="s">
        <v>194</v>
      </c>
      <c r="Q126" s="22" t="s">
        <v>194</v>
      </c>
      <c r="R126" s="20" t="s">
        <v>58</v>
      </c>
      <c r="S126" s="234">
        <f>COUNTIFS(INP_DATA!$R$5:$R$3027,S$4,INP_DATA!$D$5:$D$3027,$D126,INP_DATA!$B$5:$B$3027,$B126)</f>
        <v>1</v>
      </c>
      <c r="T126" s="235">
        <f>COUNTIFS(INP_DATA!$R$5:$R$3027,T$4,INP_DATA!$D$5:$D$3027,$D126,INP_DATA!$B$5:$B$3027,$B126)</f>
        <v>0</v>
      </c>
    </row>
    <row r="127" spans="1:20" x14ac:dyDescent="0.35">
      <c r="A127" s="3" t="s">
        <v>107</v>
      </c>
      <c r="B127" s="165">
        <v>44986</v>
      </c>
      <c r="C127" s="57" t="str">
        <f>IF($B127="","",YEAR($B127)&amp;"-"&amp;IFERROR(VLOOKUP(MONTH(B127),KEY!$AE$5:$AF$16,2,FALSE),""))</f>
        <v>2023-Q1</v>
      </c>
      <c r="D127" s="3" t="s">
        <v>123</v>
      </c>
      <c r="E127" s="219">
        <v>22</v>
      </c>
      <c r="F127" s="166">
        <v>246</v>
      </c>
      <c r="G127" s="166">
        <v>173</v>
      </c>
      <c r="H127" s="21">
        <v>546</v>
      </c>
      <c r="I127" s="21">
        <v>64</v>
      </c>
      <c r="J127" s="21">
        <v>205</v>
      </c>
      <c r="K127" s="21">
        <v>34</v>
      </c>
      <c r="L127" s="21">
        <v>372</v>
      </c>
      <c r="M127" s="21">
        <v>157</v>
      </c>
      <c r="N127" s="21">
        <v>248</v>
      </c>
      <c r="O127" s="19">
        <v>345</v>
      </c>
      <c r="P127" s="22">
        <v>19</v>
      </c>
      <c r="Q127" s="22">
        <v>13</v>
      </c>
      <c r="R127" s="20" t="s">
        <v>58</v>
      </c>
      <c r="S127" s="234">
        <f>COUNTIFS(INP_DATA!$R$5:$R$3027,S$4,INP_DATA!$D$5:$D$3027,$D127,INP_DATA!$B$5:$B$3027,$B127)</f>
        <v>1</v>
      </c>
      <c r="T127" s="235">
        <f>COUNTIFS(INP_DATA!$R$5:$R$3027,T$4,INP_DATA!$D$5:$D$3027,$D127,INP_DATA!$B$5:$B$3027,$B127)</f>
        <v>0</v>
      </c>
    </row>
    <row r="128" spans="1:20" x14ac:dyDescent="0.35">
      <c r="A128" s="3" t="s">
        <v>108</v>
      </c>
      <c r="B128" s="165">
        <v>44986</v>
      </c>
      <c r="C128" s="57" t="str">
        <f>IF($B128="","",YEAR($B128)&amp;"-"&amp;IFERROR(VLOOKUP(MONTH(B128),KEY!$AE$5:$AF$16,2,FALSE),""))</f>
        <v>2023-Q1</v>
      </c>
      <c r="D128" s="3" t="s">
        <v>124</v>
      </c>
      <c r="E128" s="219">
        <v>88</v>
      </c>
      <c r="F128" s="166">
        <v>245</v>
      </c>
      <c r="G128" s="166">
        <v>241</v>
      </c>
      <c r="H128" s="21">
        <v>496</v>
      </c>
      <c r="I128" s="21">
        <v>56</v>
      </c>
      <c r="J128" s="21">
        <v>226</v>
      </c>
      <c r="K128" s="21">
        <v>39</v>
      </c>
      <c r="L128" s="21">
        <v>383</v>
      </c>
      <c r="M128" s="21">
        <v>154</v>
      </c>
      <c r="N128" s="21">
        <v>245</v>
      </c>
      <c r="O128" s="19">
        <v>483</v>
      </c>
      <c r="P128" s="22">
        <v>36</v>
      </c>
      <c r="Q128" s="22">
        <v>20</v>
      </c>
      <c r="R128" s="20" t="s">
        <v>58</v>
      </c>
      <c r="S128" s="234">
        <f>COUNTIFS(INP_DATA!$R$5:$R$3027,S$4,INP_DATA!$D$5:$D$3027,$D128,INP_DATA!$B$5:$B$3027,$B128)</f>
        <v>1</v>
      </c>
      <c r="T128" s="235">
        <f>COUNTIFS(INP_DATA!$R$5:$R$3027,T$4,INP_DATA!$D$5:$D$3027,$D128,INP_DATA!$B$5:$B$3027,$B128)</f>
        <v>0</v>
      </c>
    </row>
    <row r="129" spans="1:20" x14ac:dyDescent="0.35">
      <c r="A129" s="3" t="s">
        <v>106</v>
      </c>
      <c r="B129" s="165">
        <v>44986</v>
      </c>
      <c r="C129" s="57" t="str">
        <f>IF($B129="","",YEAR($B129)&amp;"-"&amp;IFERROR(VLOOKUP(MONTH(B129),KEY!$AE$5:$AF$16,2,FALSE),""))</f>
        <v>2023-Q1</v>
      </c>
      <c r="D129" s="3" t="s">
        <v>195</v>
      </c>
      <c r="E129" s="219">
        <v>13</v>
      </c>
      <c r="F129" s="166">
        <v>37</v>
      </c>
      <c r="G129" s="166">
        <v>43</v>
      </c>
      <c r="H129" s="21">
        <v>100</v>
      </c>
      <c r="I129" s="21">
        <v>9</v>
      </c>
      <c r="J129" s="21">
        <v>40</v>
      </c>
      <c r="K129" s="21">
        <v>11</v>
      </c>
      <c r="L129" s="21">
        <v>82</v>
      </c>
      <c r="M129" s="21">
        <v>32</v>
      </c>
      <c r="N129" s="21">
        <v>37</v>
      </c>
      <c r="O129" s="19">
        <v>92</v>
      </c>
      <c r="P129" s="22">
        <v>6</v>
      </c>
      <c r="Q129" s="22">
        <v>4</v>
      </c>
      <c r="R129" s="20" t="s">
        <v>58</v>
      </c>
      <c r="S129" s="234">
        <f>COUNTIFS(INP_DATA!$R$5:$R$3027,S$4,INP_DATA!$D$5:$D$3027,$D129,INP_DATA!$B$5:$B$3027,$B129)</f>
        <v>1</v>
      </c>
      <c r="T129" s="235">
        <f>COUNTIFS(INP_DATA!$R$5:$R$3027,T$4,INP_DATA!$D$5:$D$3027,$D129,INP_DATA!$B$5:$B$3027,$B129)</f>
        <v>0</v>
      </c>
    </row>
    <row r="130" spans="1:20" x14ac:dyDescent="0.35">
      <c r="A130" s="3" t="s">
        <v>106</v>
      </c>
      <c r="B130" s="165">
        <v>44986</v>
      </c>
      <c r="C130" s="57" t="str">
        <f>IF($B130="","",YEAR($B130)&amp;"-"&amp;IFERROR(VLOOKUP(MONTH(B130),KEY!$AE$5:$AF$16,2,FALSE),""))</f>
        <v>2023-Q1</v>
      </c>
      <c r="D130" s="3" t="s">
        <v>125</v>
      </c>
      <c r="E130" s="219">
        <v>28</v>
      </c>
      <c r="F130" s="166">
        <v>231</v>
      </c>
      <c r="G130" s="166">
        <v>190</v>
      </c>
      <c r="H130" s="21">
        <v>675</v>
      </c>
      <c r="I130" s="21">
        <v>86</v>
      </c>
      <c r="J130" s="21">
        <v>266</v>
      </c>
      <c r="K130" s="21">
        <v>39</v>
      </c>
      <c r="L130" s="21">
        <v>509</v>
      </c>
      <c r="M130" s="21">
        <v>111</v>
      </c>
      <c r="N130" s="21">
        <v>245</v>
      </c>
      <c r="O130" s="19">
        <v>414</v>
      </c>
      <c r="P130" s="22">
        <v>18</v>
      </c>
      <c r="Q130" s="22">
        <v>13</v>
      </c>
      <c r="R130" s="20" t="s">
        <v>58</v>
      </c>
      <c r="S130" s="234">
        <f>COUNTIFS(INP_DATA!$R$5:$R$3027,S$4,INP_DATA!$D$5:$D$3027,$D130,INP_DATA!$B$5:$B$3027,$B130)</f>
        <v>1</v>
      </c>
      <c r="T130" s="235">
        <f>COUNTIFS(INP_DATA!$R$5:$R$3027,T$4,INP_DATA!$D$5:$D$3027,$D130,INP_DATA!$B$5:$B$3027,$B130)</f>
        <v>0</v>
      </c>
    </row>
    <row r="131" spans="1:20" x14ac:dyDescent="0.35">
      <c r="A131" s="3" t="s">
        <v>107</v>
      </c>
      <c r="B131" s="165">
        <v>44986</v>
      </c>
      <c r="C131" s="57" t="str">
        <f>IF($B131="","",YEAR($B131)&amp;"-"&amp;IFERROR(VLOOKUP(MONTH(B131),KEY!$AE$5:$AF$16,2,FALSE),""))</f>
        <v>2023-Q1</v>
      </c>
      <c r="D131" s="3" t="s">
        <v>126</v>
      </c>
      <c r="E131" s="219">
        <v>117</v>
      </c>
      <c r="F131" s="166">
        <v>588</v>
      </c>
      <c r="G131" s="166">
        <v>499</v>
      </c>
      <c r="H131" s="21">
        <v>800</v>
      </c>
      <c r="I131" s="21">
        <v>149</v>
      </c>
      <c r="J131" s="21">
        <v>566</v>
      </c>
      <c r="K131" s="21">
        <v>179</v>
      </c>
      <c r="L131" s="21">
        <v>758</v>
      </c>
      <c r="M131" s="21">
        <v>296</v>
      </c>
      <c r="N131" s="21">
        <v>600</v>
      </c>
      <c r="O131" s="19">
        <v>851</v>
      </c>
      <c r="P131" s="22">
        <v>104</v>
      </c>
      <c r="Q131" s="22">
        <v>56</v>
      </c>
      <c r="R131" s="20" t="s">
        <v>58</v>
      </c>
      <c r="S131" s="234">
        <f>COUNTIFS(INP_DATA!$R$5:$R$3027,S$4,INP_DATA!$D$5:$D$3027,$D131,INP_DATA!$B$5:$B$3027,$B131)</f>
        <v>1</v>
      </c>
      <c r="T131" s="235">
        <f>COUNTIFS(INP_DATA!$R$5:$R$3027,T$4,INP_DATA!$D$5:$D$3027,$D131,INP_DATA!$B$5:$B$3027,$B131)</f>
        <v>0</v>
      </c>
    </row>
    <row r="132" spans="1:20" x14ac:dyDescent="0.35">
      <c r="A132" s="3" t="s">
        <v>107</v>
      </c>
      <c r="B132" s="165">
        <v>44986</v>
      </c>
      <c r="C132" s="57" t="str">
        <f>IF($B132="","",YEAR($B132)&amp;"-"&amp;IFERROR(VLOOKUP(MONTH(B132),KEY!$AE$5:$AF$16,2,FALSE),""))</f>
        <v>2023-Q1</v>
      </c>
      <c r="D132" s="3" t="s">
        <v>127</v>
      </c>
      <c r="E132" s="219">
        <v>10</v>
      </c>
      <c r="F132" s="166">
        <v>54</v>
      </c>
      <c r="G132" s="166">
        <v>54</v>
      </c>
      <c r="H132" s="21">
        <v>115</v>
      </c>
      <c r="I132" s="21">
        <v>19</v>
      </c>
      <c r="J132" s="21">
        <v>53</v>
      </c>
      <c r="K132" s="21">
        <v>10</v>
      </c>
      <c r="L132" s="21">
        <v>82</v>
      </c>
      <c r="M132" s="21">
        <v>43</v>
      </c>
      <c r="N132" s="21">
        <v>54</v>
      </c>
      <c r="O132" s="19">
        <v>92</v>
      </c>
      <c r="P132" s="22">
        <v>5</v>
      </c>
      <c r="Q132" s="22">
        <v>3</v>
      </c>
      <c r="R132" s="20" t="s">
        <v>58</v>
      </c>
      <c r="S132" s="234">
        <f>COUNTIFS(INP_DATA!$R$5:$R$3027,S$4,INP_DATA!$D$5:$D$3027,$D132,INP_DATA!$B$5:$B$3027,$B132)</f>
        <v>1</v>
      </c>
      <c r="T132" s="235">
        <f>COUNTIFS(INP_DATA!$R$5:$R$3027,T$4,INP_DATA!$D$5:$D$3027,$D132,INP_DATA!$B$5:$B$3027,$B132)</f>
        <v>0</v>
      </c>
    </row>
    <row r="133" spans="1:20" x14ac:dyDescent="0.35">
      <c r="A133" s="3" t="s">
        <v>109</v>
      </c>
      <c r="B133" s="165">
        <v>44986</v>
      </c>
      <c r="C133" s="57" t="str">
        <f>IF($B133="","",YEAR($B133)&amp;"-"&amp;IFERROR(VLOOKUP(MONTH(B133),KEY!$AE$5:$AF$16,2,FALSE),""))</f>
        <v>2023-Q1</v>
      </c>
      <c r="D133" s="3" t="s">
        <v>128</v>
      </c>
      <c r="E133" s="219">
        <v>8</v>
      </c>
      <c r="F133" s="166">
        <v>260</v>
      </c>
      <c r="G133" s="166">
        <v>258</v>
      </c>
      <c r="H133" s="21">
        <v>681</v>
      </c>
      <c r="I133" s="21">
        <v>96</v>
      </c>
      <c r="J133" s="21">
        <v>410</v>
      </c>
      <c r="K133" s="21">
        <v>72</v>
      </c>
      <c r="L133" s="21">
        <v>499</v>
      </c>
      <c r="M133" s="21">
        <v>177</v>
      </c>
      <c r="N133" s="21">
        <v>260</v>
      </c>
      <c r="O133" s="19">
        <v>322</v>
      </c>
      <c r="P133" s="22" t="s">
        <v>194</v>
      </c>
      <c r="Q133" s="22" t="s">
        <v>194</v>
      </c>
      <c r="R133" s="20" t="s">
        <v>58</v>
      </c>
      <c r="S133" s="234">
        <f>COUNTIFS(INP_DATA!$R$5:$R$3027,S$4,INP_DATA!$D$5:$D$3027,$D133,INP_DATA!$B$5:$B$3027,$B133)</f>
        <v>1</v>
      </c>
      <c r="T133" s="235">
        <f>COUNTIFS(INP_DATA!$R$5:$R$3027,T$4,INP_DATA!$D$5:$D$3027,$D133,INP_DATA!$B$5:$B$3027,$B133)</f>
        <v>0</v>
      </c>
    </row>
    <row r="134" spans="1:20" x14ac:dyDescent="0.35">
      <c r="A134" s="3" t="s">
        <v>106</v>
      </c>
      <c r="B134" s="165">
        <v>44986</v>
      </c>
      <c r="C134" s="57" t="str">
        <f>IF($B134="","",YEAR($B134)&amp;"-"&amp;IFERROR(VLOOKUP(MONTH(B134),KEY!$AE$5:$AF$16,2,FALSE),""))</f>
        <v>2023-Q1</v>
      </c>
      <c r="D134" s="3" t="s">
        <v>129</v>
      </c>
      <c r="E134" s="219">
        <v>27</v>
      </c>
      <c r="F134" s="166">
        <v>160</v>
      </c>
      <c r="G134" s="166">
        <v>172</v>
      </c>
      <c r="H134" s="21">
        <v>274</v>
      </c>
      <c r="I134" s="21">
        <v>38</v>
      </c>
      <c r="J134" s="21">
        <v>239</v>
      </c>
      <c r="K134" s="21">
        <v>37</v>
      </c>
      <c r="L134" s="21">
        <v>356</v>
      </c>
      <c r="M134" s="21">
        <v>86</v>
      </c>
      <c r="N134" s="21">
        <v>163</v>
      </c>
      <c r="O134" s="19">
        <v>299</v>
      </c>
      <c r="P134" s="22">
        <v>22</v>
      </c>
      <c r="Q134" s="22">
        <v>14</v>
      </c>
      <c r="R134" s="20" t="s">
        <v>51</v>
      </c>
      <c r="S134" s="234">
        <f>COUNTIFS(INP_DATA!$R$5:$R$3027,S$4,INP_DATA!$D$5:$D$3027,$D134,INP_DATA!$B$5:$B$3027,$B134)</f>
        <v>0</v>
      </c>
      <c r="T134" s="235">
        <f>COUNTIFS(INP_DATA!$R$5:$R$3027,T$4,INP_DATA!$D$5:$D$3027,$D134,INP_DATA!$B$5:$B$3027,$B134)</f>
        <v>1</v>
      </c>
    </row>
    <row r="135" spans="1:20" x14ac:dyDescent="0.35">
      <c r="A135" s="3" t="s">
        <v>108</v>
      </c>
      <c r="B135" s="165">
        <v>44986</v>
      </c>
      <c r="C135" s="57" t="str">
        <f>IF($B135="","",YEAR($B135)&amp;"-"&amp;IFERROR(VLOOKUP(MONTH(B135),KEY!$AE$5:$AF$16,2,FALSE),""))</f>
        <v>2023-Q1</v>
      </c>
      <c r="D135" s="3" t="s">
        <v>130</v>
      </c>
      <c r="E135" s="219">
        <v>20</v>
      </c>
      <c r="F135" s="166">
        <v>119</v>
      </c>
      <c r="G135" s="166">
        <v>130</v>
      </c>
      <c r="H135" s="21">
        <v>178</v>
      </c>
      <c r="I135" s="21">
        <v>33</v>
      </c>
      <c r="J135" s="21">
        <v>120</v>
      </c>
      <c r="K135" s="21">
        <v>35</v>
      </c>
      <c r="L135" s="21">
        <v>150</v>
      </c>
      <c r="M135" s="21">
        <v>52</v>
      </c>
      <c r="N135" s="21">
        <v>121</v>
      </c>
      <c r="O135" s="19">
        <v>138</v>
      </c>
      <c r="P135" s="22">
        <v>43</v>
      </c>
      <c r="Q135" s="22">
        <v>24</v>
      </c>
      <c r="R135" s="20" t="s">
        <v>51</v>
      </c>
      <c r="S135" s="234">
        <f>COUNTIFS(INP_DATA!$R$5:$R$3027,S$4,INP_DATA!$D$5:$D$3027,$D135,INP_DATA!$B$5:$B$3027,$B135)</f>
        <v>0</v>
      </c>
      <c r="T135" s="235">
        <f>COUNTIFS(INP_DATA!$R$5:$R$3027,T$4,INP_DATA!$D$5:$D$3027,$D135,INP_DATA!$B$5:$B$3027,$B135)</f>
        <v>1</v>
      </c>
    </row>
    <row r="136" spans="1:20" x14ac:dyDescent="0.35">
      <c r="A136" s="3" t="s">
        <v>109</v>
      </c>
      <c r="B136" s="165">
        <v>44986</v>
      </c>
      <c r="C136" s="57" t="str">
        <f>IF($B136="","",YEAR($B136)&amp;"-"&amp;IFERROR(VLOOKUP(MONTH(B136),KEY!$AE$5:$AF$16,2,FALSE),""))</f>
        <v>2023-Q1</v>
      </c>
      <c r="D136" s="3" t="s">
        <v>131</v>
      </c>
      <c r="E136" s="219">
        <v>39</v>
      </c>
      <c r="F136" s="166">
        <v>199</v>
      </c>
      <c r="G136" s="166">
        <v>146</v>
      </c>
      <c r="H136" s="21">
        <v>180</v>
      </c>
      <c r="I136" s="21">
        <v>10</v>
      </c>
      <c r="J136" s="21">
        <v>150</v>
      </c>
      <c r="K136" s="21">
        <v>25</v>
      </c>
      <c r="L136" s="21">
        <v>189</v>
      </c>
      <c r="M136" s="21">
        <v>39</v>
      </c>
      <c r="N136" s="21">
        <v>209</v>
      </c>
      <c r="O136" s="19">
        <v>299</v>
      </c>
      <c r="P136" s="22">
        <v>0</v>
      </c>
      <c r="Q136" s="22">
        <v>0</v>
      </c>
      <c r="R136" s="20" t="s">
        <v>58</v>
      </c>
      <c r="S136" s="234">
        <f>COUNTIFS(INP_DATA!$R$5:$R$3027,S$4,INP_DATA!$D$5:$D$3027,$D136,INP_DATA!$B$5:$B$3027,$B136)</f>
        <v>1</v>
      </c>
      <c r="T136" s="235">
        <f>COUNTIFS(INP_DATA!$R$5:$R$3027,T$4,INP_DATA!$D$5:$D$3027,$D136,INP_DATA!$B$5:$B$3027,$B136)</f>
        <v>0</v>
      </c>
    </row>
    <row r="137" spans="1:20" x14ac:dyDescent="0.35">
      <c r="A137" s="3" t="s">
        <v>108</v>
      </c>
      <c r="B137" s="165">
        <v>44986</v>
      </c>
      <c r="C137" s="57" t="str">
        <f>IF($B137="","",YEAR($B137)&amp;"-"&amp;IFERROR(VLOOKUP(MONTH(B137),KEY!$AE$5:$AF$16,2,FALSE),""))</f>
        <v>2023-Q1</v>
      </c>
      <c r="D137" s="3" t="s">
        <v>134</v>
      </c>
      <c r="E137" s="219">
        <v>9</v>
      </c>
      <c r="F137" s="166">
        <v>37</v>
      </c>
      <c r="G137" s="166">
        <v>56</v>
      </c>
      <c r="H137" s="21">
        <v>80</v>
      </c>
      <c r="I137" s="21">
        <v>7</v>
      </c>
      <c r="J137" s="21">
        <v>35</v>
      </c>
      <c r="K137" s="21">
        <v>2</v>
      </c>
      <c r="L137" s="21">
        <v>44</v>
      </c>
      <c r="M137" s="21">
        <v>23</v>
      </c>
      <c r="N137" s="21">
        <v>38</v>
      </c>
      <c r="O137" s="19">
        <v>92</v>
      </c>
      <c r="P137" s="22">
        <v>14</v>
      </c>
      <c r="Q137" s="22">
        <v>14</v>
      </c>
      <c r="R137" s="20" t="s">
        <v>51</v>
      </c>
      <c r="S137" s="234">
        <f>COUNTIFS(INP_DATA!$R$5:$R$3027,S$4,INP_DATA!$D$5:$D$3027,$D137,INP_DATA!$B$5:$B$3027,$B137)</f>
        <v>0</v>
      </c>
      <c r="T137" s="235">
        <f>COUNTIFS(INP_DATA!$R$5:$R$3027,T$4,INP_DATA!$D$5:$D$3027,$D137,INP_DATA!$B$5:$B$3027,$B137)</f>
        <v>1</v>
      </c>
    </row>
    <row r="138" spans="1:20" x14ac:dyDescent="0.35">
      <c r="A138" s="3" t="s">
        <v>108</v>
      </c>
      <c r="B138" s="165">
        <v>44986</v>
      </c>
      <c r="C138" s="57" t="str">
        <f>IF($B138="","",YEAR($B138)&amp;"-"&amp;IFERROR(VLOOKUP(MONTH(B138),KEY!$AE$5:$AF$16,2,FALSE),""))</f>
        <v>2023-Q1</v>
      </c>
      <c r="D138" s="3" t="s">
        <v>135</v>
      </c>
      <c r="E138" s="219">
        <v>55</v>
      </c>
      <c r="F138" s="166">
        <v>154</v>
      </c>
      <c r="G138" s="166">
        <v>289</v>
      </c>
      <c r="H138" s="21">
        <v>474</v>
      </c>
      <c r="I138" s="21">
        <v>65</v>
      </c>
      <c r="J138" s="21">
        <v>144</v>
      </c>
      <c r="K138" s="21">
        <v>37</v>
      </c>
      <c r="L138" s="21">
        <v>452</v>
      </c>
      <c r="M138" s="21">
        <v>86</v>
      </c>
      <c r="N138" s="21">
        <v>159</v>
      </c>
      <c r="O138" s="19">
        <v>322</v>
      </c>
      <c r="P138" s="22">
        <v>36</v>
      </c>
      <c r="Q138" s="22">
        <v>24</v>
      </c>
      <c r="R138" s="20" t="s">
        <v>51</v>
      </c>
      <c r="S138" s="234">
        <f>COUNTIFS(INP_DATA!$R$5:$R$3027,S$4,INP_DATA!$D$5:$D$3027,$D138,INP_DATA!$B$5:$B$3027,$B138)</f>
        <v>0</v>
      </c>
      <c r="T138" s="235">
        <f>COUNTIFS(INP_DATA!$R$5:$R$3027,T$4,INP_DATA!$D$5:$D$3027,$D138,INP_DATA!$B$5:$B$3027,$B138)</f>
        <v>1</v>
      </c>
    </row>
    <row r="139" spans="1:20" x14ac:dyDescent="0.35">
      <c r="A139" s="3" t="s">
        <v>16</v>
      </c>
      <c r="B139" s="165">
        <v>44986</v>
      </c>
      <c r="C139" s="57" t="str">
        <f>IF($B139="","",YEAR($B139)&amp;"-"&amp;IFERROR(VLOOKUP(MONTH(B139),KEY!$AE$5:$AF$16,2,FALSE),""))</f>
        <v>2023-Q1</v>
      </c>
      <c r="D139" s="3" t="s">
        <v>196</v>
      </c>
      <c r="E139" s="219">
        <v>12</v>
      </c>
      <c r="F139" s="166">
        <v>46</v>
      </c>
      <c r="G139" s="166">
        <v>52</v>
      </c>
      <c r="H139" s="21">
        <v>93</v>
      </c>
      <c r="I139" s="21">
        <v>15</v>
      </c>
      <c r="J139" s="21">
        <v>83</v>
      </c>
      <c r="K139" s="21">
        <v>13</v>
      </c>
      <c r="L139" s="21">
        <v>98</v>
      </c>
      <c r="M139" s="21">
        <v>34</v>
      </c>
      <c r="N139" s="21">
        <v>48</v>
      </c>
      <c r="O139" s="19">
        <v>92</v>
      </c>
      <c r="P139" s="22">
        <v>6</v>
      </c>
      <c r="Q139" s="22">
        <v>3</v>
      </c>
      <c r="R139" s="20" t="s">
        <v>58</v>
      </c>
      <c r="S139" s="234">
        <f>COUNTIFS(INP_DATA!$R$5:$R$3027,S$4,INP_DATA!$D$5:$D$3027,$D139,INP_DATA!$B$5:$B$3027,$B139)</f>
        <v>1</v>
      </c>
      <c r="T139" s="235">
        <f>COUNTIFS(INP_DATA!$R$5:$R$3027,T$4,INP_DATA!$D$5:$D$3027,$D139,INP_DATA!$B$5:$B$3027,$B139)</f>
        <v>0</v>
      </c>
    </row>
    <row r="140" spans="1:20" x14ac:dyDescent="0.35">
      <c r="A140" s="3" t="s">
        <v>16</v>
      </c>
      <c r="B140" s="165">
        <v>44986</v>
      </c>
      <c r="C140" s="57" t="str">
        <f>IF($B140="","",YEAR($B140)&amp;"-"&amp;IFERROR(VLOOKUP(MONTH(B140),KEY!$AE$5:$AF$16,2,FALSE),""))</f>
        <v>2023-Q1</v>
      </c>
      <c r="D140" s="3" t="s">
        <v>197</v>
      </c>
      <c r="E140" s="219">
        <v>30</v>
      </c>
      <c r="F140" s="166">
        <v>110</v>
      </c>
      <c r="G140" s="166">
        <v>85</v>
      </c>
      <c r="H140" s="21">
        <v>159</v>
      </c>
      <c r="I140" s="21">
        <v>28</v>
      </c>
      <c r="J140" s="21">
        <v>103</v>
      </c>
      <c r="K140" s="21">
        <v>20</v>
      </c>
      <c r="L140" s="21">
        <v>132</v>
      </c>
      <c r="M140" s="21">
        <v>75</v>
      </c>
      <c r="N140" s="21">
        <v>114</v>
      </c>
      <c r="O140" s="19">
        <v>184</v>
      </c>
      <c r="P140" s="22">
        <v>14</v>
      </c>
      <c r="Q140" s="22">
        <v>11</v>
      </c>
      <c r="R140" s="20" t="s">
        <v>58</v>
      </c>
      <c r="S140" s="234">
        <f>COUNTIFS(INP_DATA!$R$5:$R$3027,S$4,INP_DATA!$D$5:$D$3027,$D140,INP_DATA!$B$5:$B$3027,$B140)</f>
        <v>1</v>
      </c>
      <c r="T140" s="235">
        <f>COUNTIFS(INP_DATA!$R$5:$R$3027,T$4,INP_DATA!$D$5:$D$3027,$D140,INP_DATA!$B$5:$B$3027,$B140)</f>
        <v>0</v>
      </c>
    </row>
    <row r="141" spans="1:20" x14ac:dyDescent="0.35">
      <c r="A141" s="3" t="s">
        <v>109</v>
      </c>
      <c r="B141" s="165">
        <v>44986</v>
      </c>
      <c r="C141" s="57" t="str">
        <f>IF($B141="","",YEAR($B141)&amp;"-"&amp;IFERROR(VLOOKUP(MONTH(B141),KEY!$AE$5:$AF$16,2,FALSE),""))</f>
        <v>2023-Q1</v>
      </c>
      <c r="D141" s="3" t="s">
        <v>136</v>
      </c>
      <c r="E141" s="219">
        <v>87</v>
      </c>
      <c r="F141" s="166">
        <v>224</v>
      </c>
      <c r="G141" s="166">
        <v>252</v>
      </c>
      <c r="H141" s="21">
        <v>381</v>
      </c>
      <c r="I141" s="21">
        <v>44</v>
      </c>
      <c r="J141" s="21">
        <v>341</v>
      </c>
      <c r="K141" s="21">
        <v>34</v>
      </c>
      <c r="L141" s="21">
        <v>258</v>
      </c>
      <c r="M141" s="21">
        <v>129</v>
      </c>
      <c r="N141" s="21">
        <v>234</v>
      </c>
      <c r="O141" s="19">
        <v>322</v>
      </c>
      <c r="P141" s="22">
        <v>40</v>
      </c>
      <c r="Q141" s="22">
        <v>28</v>
      </c>
      <c r="R141" s="20" t="s">
        <v>51</v>
      </c>
      <c r="S141" s="234">
        <f>COUNTIFS(INP_DATA!$R$5:$R$3027,S$4,INP_DATA!$D$5:$D$3027,$D141,INP_DATA!$B$5:$B$3027,$B141)</f>
        <v>0</v>
      </c>
      <c r="T141" s="235">
        <f>COUNTIFS(INP_DATA!$R$5:$R$3027,T$4,INP_DATA!$D$5:$D$3027,$D141,INP_DATA!$B$5:$B$3027,$B141)</f>
        <v>1</v>
      </c>
    </row>
    <row r="142" spans="1:20" x14ac:dyDescent="0.35">
      <c r="A142" s="3" t="s">
        <v>16</v>
      </c>
      <c r="B142" s="165">
        <v>44986</v>
      </c>
      <c r="C142" s="57" t="str">
        <f>IF($B142="","",YEAR($B142)&amp;"-"&amp;IFERROR(VLOOKUP(MONTH(B142),KEY!$AE$5:$AF$16,2,FALSE),""))</f>
        <v>2023-Q1</v>
      </c>
      <c r="D142" s="3" t="s">
        <v>137</v>
      </c>
      <c r="E142" s="219">
        <v>19</v>
      </c>
      <c r="F142" s="166">
        <v>91</v>
      </c>
      <c r="G142" s="166">
        <v>94</v>
      </c>
      <c r="H142" s="21">
        <v>199</v>
      </c>
      <c r="I142" s="21">
        <v>29</v>
      </c>
      <c r="J142" s="21">
        <v>140</v>
      </c>
      <c r="K142" s="21">
        <v>19</v>
      </c>
      <c r="L142" s="21">
        <v>149</v>
      </c>
      <c r="M142" s="21">
        <v>70</v>
      </c>
      <c r="N142" s="21">
        <v>93</v>
      </c>
      <c r="O142" s="19">
        <v>161</v>
      </c>
      <c r="P142" s="22">
        <v>13</v>
      </c>
      <c r="Q142" s="22">
        <v>8</v>
      </c>
      <c r="R142" s="20" t="s">
        <v>58</v>
      </c>
      <c r="S142" s="234">
        <f>COUNTIFS(INP_DATA!$R$5:$R$3027,S$4,INP_DATA!$D$5:$D$3027,$D142,INP_DATA!$B$5:$B$3027,$B142)</f>
        <v>1</v>
      </c>
      <c r="T142" s="235">
        <f>COUNTIFS(INP_DATA!$R$5:$R$3027,T$4,INP_DATA!$D$5:$D$3027,$D142,INP_DATA!$B$5:$B$3027,$B142)</f>
        <v>0</v>
      </c>
    </row>
    <row r="143" spans="1:20" x14ac:dyDescent="0.35">
      <c r="A143" s="3" t="s">
        <v>109</v>
      </c>
      <c r="B143" s="165">
        <v>44986</v>
      </c>
      <c r="C143" s="57" t="str">
        <f>IF($B143="","",YEAR($B143)&amp;"-"&amp;IFERROR(VLOOKUP(MONTH(B143),KEY!$AE$5:$AF$16,2,FALSE),""))</f>
        <v>2023-Q1</v>
      </c>
      <c r="D143" s="3" t="s">
        <v>138</v>
      </c>
      <c r="E143" s="219">
        <v>19</v>
      </c>
      <c r="F143" s="166">
        <v>126</v>
      </c>
      <c r="G143" s="166">
        <v>96</v>
      </c>
      <c r="H143" s="21">
        <v>227</v>
      </c>
      <c r="I143" s="21">
        <v>38</v>
      </c>
      <c r="J143" s="21">
        <v>135</v>
      </c>
      <c r="K143" s="21">
        <v>36</v>
      </c>
      <c r="L143" s="21">
        <v>191</v>
      </c>
      <c r="M143" s="21">
        <v>95</v>
      </c>
      <c r="N143" s="21">
        <v>135</v>
      </c>
      <c r="O143" s="19">
        <v>115</v>
      </c>
      <c r="P143" s="22">
        <v>23</v>
      </c>
      <c r="Q143" s="22">
        <v>16</v>
      </c>
      <c r="R143" s="20" t="s">
        <v>58</v>
      </c>
      <c r="S143" s="234">
        <f>COUNTIFS(INP_DATA!$R$5:$R$3027,S$4,INP_DATA!$D$5:$D$3027,$D143,INP_DATA!$B$5:$B$3027,$B143)</f>
        <v>1</v>
      </c>
      <c r="T143" s="235">
        <f>COUNTIFS(INP_DATA!$R$5:$R$3027,T$4,INP_DATA!$D$5:$D$3027,$D143,INP_DATA!$B$5:$B$3027,$B143)</f>
        <v>0</v>
      </c>
    </row>
    <row r="144" spans="1:20" x14ac:dyDescent="0.35">
      <c r="A144" s="3" t="s">
        <v>108</v>
      </c>
      <c r="B144" s="165">
        <v>44986</v>
      </c>
      <c r="C144" s="57" t="str">
        <f>IF($B144="","",YEAR($B144)&amp;"-"&amp;IFERROR(VLOOKUP(MONTH(B144),KEY!$AE$5:$AF$16,2,FALSE),""))</f>
        <v>2023-Q1</v>
      </c>
      <c r="D144" s="3" t="s">
        <v>139</v>
      </c>
      <c r="E144" s="219">
        <v>40</v>
      </c>
      <c r="F144" s="166">
        <v>165</v>
      </c>
      <c r="G144" s="166">
        <v>192</v>
      </c>
      <c r="H144" s="21">
        <v>265</v>
      </c>
      <c r="I144" s="21">
        <v>44</v>
      </c>
      <c r="J144" s="21">
        <v>211</v>
      </c>
      <c r="K144" s="21">
        <v>22</v>
      </c>
      <c r="L144" s="21">
        <v>241</v>
      </c>
      <c r="M144" s="21">
        <v>103</v>
      </c>
      <c r="N144" s="21">
        <v>166</v>
      </c>
      <c r="O144" s="19">
        <v>299</v>
      </c>
      <c r="P144" s="22">
        <v>45</v>
      </c>
      <c r="Q144" s="22">
        <v>26</v>
      </c>
      <c r="R144" s="20" t="s">
        <v>58</v>
      </c>
      <c r="S144" s="234">
        <f>COUNTIFS(INP_DATA!$R$5:$R$3027,S$4,INP_DATA!$D$5:$D$3027,$D144,INP_DATA!$B$5:$B$3027,$B144)</f>
        <v>1</v>
      </c>
      <c r="T144" s="235">
        <f>COUNTIFS(INP_DATA!$R$5:$R$3027,T$4,INP_DATA!$D$5:$D$3027,$D144,INP_DATA!$B$5:$B$3027,$B144)</f>
        <v>0</v>
      </c>
    </row>
    <row r="145" spans="1:20" x14ac:dyDescent="0.35">
      <c r="A145" s="3" t="s">
        <v>107</v>
      </c>
      <c r="B145" s="165">
        <v>44986</v>
      </c>
      <c r="C145" s="57" t="str">
        <f>IF($B145="","",YEAR($B145)&amp;"-"&amp;IFERROR(VLOOKUP(MONTH(B145),KEY!$AE$5:$AF$16,2,FALSE),""))</f>
        <v>2023-Q1</v>
      </c>
      <c r="D145" s="3" t="s">
        <v>140</v>
      </c>
      <c r="E145" s="219">
        <v>6</v>
      </c>
      <c r="F145" s="166">
        <v>31</v>
      </c>
      <c r="G145" s="166">
        <v>31</v>
      </c>
      <c r="H145" s="21">
        <v>115</v>
      </c>
      <c r="I145" s="21">
        <v>11</v>
      </c>
      <c r="J145" s="21">
        <v>65</v>
      </c>
      <c r="K145" s="21">
        <v>5</v>
      </c>
      <c r="L145" s="21">
        <v>36</v>
      </c>
      <c r="M145" s="21">
        <v>14</v>
      </c>
      <c r="N145" s="21">
        <v>33</v>
      </c>
      <c r="O145" s="19">
        <v>69</v>
      </c>
      <c r="P145" s="22">
        <v>2</v>
      </c>
      <c r="Q145" s="22">
        <v>1</v>
      </c>
      <c r="R145" s="20" t="s">
        <v>51</v>
      </c>
      <c r="S145" s="234">
        <f>COUNTIFS(INP_DATA!$R$5:$R$3027,S$4,INP_DATA!$D$5:$D$3027,$D145,INP_DATA!$B$5:$B$3027,$B145)</f>
        <v>0</v>
      </c>
      <c r="T145" s="235">
        <f>COUNTIFS(INP_DATA!$R$5:$R$3027,T$4,INP_DATA!$D$5:$D$3027,$D145,INP_DATA!$B$5:$B$3027,$B145)</f>
        <v>1</v>
      </c>
    </row>
    <row r="146" spans="1:20" x14ac:dyDescent="0.35">
      <c r="A146" s="3" t="s">
        <v>108</v>
      </c>
      <c r="B146" s="165">
        <v>44986</v>
      </c>
      <c r="C146" s="57" t="str">
        <f>IF($B146="","",YEAR($B146)&amp;"-"&amp;IFERROR(VLOOKUP(MONTH(B146),KEY!$AE$5:$AF$16,2,FALSE),""))</f>
        <v>2023-Q1</v>
      </c>
      <c r="D146" s="3" t="s">
        <v>142</v>
      </c>
      <c r="E146" s="219">
        <v>14</v>
      </c>
      <c r="F146" s="166">
        <v>71</v>
      </c>
      <c r="G146" s="166">
        <v>97</v>
      </c>
      <c r="H146" s="21">
        <v>268</v>
      </c>
      <c r="I146" s="21">
        <v>25</v>
      </c>
      <c r="J146" s="21">
        <v>85</v>
      </c>
      <c r="K146" s="21">
        <v>15</v>
      </c>
      <c r="L146" s="21">
        <v>113</v>
      </c>
      <c r="M146" s="21">
        <v>46</v>
      </c>
      <c r="N146" s="21">
        <v>73</v>
      </c>
      <c r="O146" s="19">
        <v>92</v>
      </c>
      <c r="P146" s="22">
        <v>22</v>
      </c>
      <c r="Q146" s="22">
        <v>13</v>
      </c>
      <c r="R146" s="20" t="s">
        <v>51</v>
      </c>
      <c r="S146" s="234">
        <f>COUNTIFS(INP_DATA!$R$5:$R$3027,S$4,INP_DATA!$D$5:$D$3027,$D146,INP_DATA!$B$5:$B$3027,$B146)</f>
        <v>0</v>
      </c>
      <c r="T146" s="235">
        <f>COUNTIFS(INP_DATA!$R$5:$R$3027,T$4,INP_DATA!$D$5:$D$3027,$D146,INP_DATA!$B$5:$B$3027,$B146)</f>
        <v>1</v>
      </c>
    </row>
    <row r="147" spans="1:20" x14ac:dyDescent="0.35">
      <c r="A147" s="3" t="s">
        <v>16</v>
      </c>
      <c r="B147" s="165">
        <v>44986</v>
      </c>
      <c r="C147" s="57" t="str">
        <f>IF($B147="","",YEAR($B147)&amp;"-"&amp;IFERROR(VLOOKUP(MONTH(B147),KEY!$AE$5:$AF$16,2,FALSE),""))</f>
        <v>2023-Q1</v>
      </c>
      <c r="D147" s="3" t="s">
        <v>143</v>
      </c>
      <c r="E147" s="219">
        <v>12</v>
      </c>
      <c r="F147" s="166">
        <v>72</v>
      </c>
      <c r="G147" s="166">
        <v>84</v>
      </c>
      <c r="H147" s="21">
        <v>157</v>
      </c>
      <c r="I147" s="21">
        <v>19</v>
      </c>
      <c r="J147" s="21">
        <v>80</v>
      </c>
      <c r="K147" s="21">
        <v>19</v>
      </c>
      <c r="L147" s="21">
        <v>133</v>
      </c>
      <c r="M147" s="21">
        <v>58</v>
      </c>
      <c r="N147" s="21">
        <v>72</v>
      </c>
      <c r="O147" s="19">
        <v>207</v>
      </c>
      <c r="P147" s="22">
        <v>10</v>
      </c>
      <c r="Q147" s="22">
        <v>7</v>
      </c>
      <c r="R147" s="20" t="s">
        <v>58</v>
      </c>
      <c r="S147" s="234">
        <f>COUNTIFS(INP_DATA!$R$5:$R$3027,S$4,INP_DATA!$D$5:$D$3027,$D147,INP_DATA!$B$5:$B$3027,$B147)</f>
        <v>1</v>
      </c>
      <c r="T147" s="235">
        <f>COUNTIFS(INP_DATA!$R$5:$R$3027,T$4,INP_DATA!$D$5:$D$3027,$D147,INP_DATA!$B$5:$B$3027,$B147)</f>
        <v>0</v>
      </c>
    </row>
    <row r="148" spans="1:20" x14ac:dyDescent="0.35">
      <c r="A148" s="3" t="s">
        <v>16</v>
      </c>
      <c r="B148" s="165">
        <v>44986</v>
      </c>
      <c r="C148" s="57" t="str">
        <f>IF($B148="","",YEAR($B148)&amp;"-"&amp;IFERROR(VLOOKUP(MONTH(B148),KEY!$AE$5:$AF$16,2,FALSE),""))</f>
        <v>2023-Q1</v>
      </c>
      <c r="D148" s="3" t="s">
        <v>144</v>
      </c>
      <c r="E148" s="219">
        <v>49</v>
      </c>
      <c r="F148" s="166">
        <v>197</v>
      </c>
      <c r="G148" s="166">
        <v>186</v>
      </c>
      <c r="H148" s="21">
        <v>230</v>
      </c>
      <c r="I148" s="21">
        <v>35</v>
      </c>
      <c r="J148" s="21">
        <v>173</v>
      </c>
      <c r="K148" s="21">
        <v>29</v>
      </c>
      <c r="L148" s="21">
        <v>316</v>
      </c>
      <c r="M148" s="21">
        <v>116</v>
      </c>
      <c r="N148" s="21">
        <v>200</v>
      </c>
      <c r="O148" s="19">
        <v>391</v>
      </c>
      <c r="P148" s="22">
        <v>23</v>
      </c>
      <c r="Q148" s="22">
        <v>17</v>
      </c>
      <c r="R148" s="20" t="s">
        <v>58</v>
      </c>
      <c r="S148" s="234">
        <f>COUNTIFS(INP_DATA!$R$5:$R$3027,S$4,INP_DATA!$D$5:$D$3027,$D148,INP_DATA!$B$5:$B$3027,$B148)</f>
        <v>1</v>
      </c>
      <c r="T148" s="235">
        <f>COUNTIFS(INP_DATA!$R$5:$R$3027,T$4,INP_DATA!$D$5:$D$3027,$D148,INP_DATA!$B$5:$B$3027,$B148)</f>
        <v>0</v>
      </c>
    </row>
    <row r="149" spans="1:20" x14ac:dyDescent="0.35">
      <c r="A149" s="3" t="s">
        <v>108</v>
      </c>
      <c r="B149" s="165">
        <v>44986</v>
      </c>
      <c r="C149" s="57" t="str">
        <f>IF($B149="","",YEAR($B149)&amp;"-"&amp;IFERROR(VLOOKUP(MONTH(B149),KEY!$AE$5:$AF$16,2,FALSE),""))</f>
        <v>2023-Q1</v>
      </c>
      <c r="D149" s="3" t="s">
        <v>145</v>
      </c>
      <c r="E149" s="219">
        <v>74</v>
      </c>
      <c r="F149" s="166">
        <v>169</v>
      </c>
      <c r="G149" s="166">
        <v>231</v>
      </c>
      <c r="H149" s="21">
        <v>288</v>
      </c>
      <c r="I149" s="21">
        <v>29</v>
      </c>
      <c r="J149" s="21">
        <v>176</v>
      </c>
      <c r="K149" s="21">
        <v>32</v>
      </c>
      <c r="L149" s="21">
        <v>358</v>
      </c>
      <c r="M149" s="21">
        <v>94</v>
      </c>
      <c r="N149" s="21">
        <v>171</v>
      </c>
      <c r="O149" s="19">
        <v>391</v>
      </c>
      <c r="P149" s="22">
        <v>36</v>
      </c>
      <c r="Q149" s="22">
        <v>20</v>
      </c>
      <c r="R149" s="20" t="s">
        <v>51</v>
      </c>
      <c r="S149" s="234">
        <f>COUNTIFS(INP_DATA!$R$5:$R$3027,S$4,INP_DATA!$D$5:$D$3027,$D149,INP_DATA!$B$5:$B$3027,$B149)</f>
        <v>0</v>
      </c>
      <c r="T149" s="235">
        <f>COUNTIFS(INP_DATA!$R$5:$R$3027,T$4,INP_DATA!$D$5:$D$3027,$D149,INP_DATA!$B$5:$B$3027,$B149)</f>
        <v>1</v>
      </c>
    </row>
    <row r="150" spans="1:20" x14ac:dyDescent="0.35">
      <c r="A150" s="3" t="s">
        <v>16</v>
      </c>
      <c r="B150" s="165">
        <v>44986</v>
      </c>
      <c r="C150" s="57" t="str">
        <f>IF($B150="","",YEAR($B150)&amp;"-"&amp;IFERROR(VLOOKUP(MONTH(B150),KEY!$AE$5:$AF$16,2,FALSE),""))</f>
        <v>2023-Q1</v>
      </c>
      <c r="D150" s="3" t="s">
        <v>146</v>
      </c>
      <c r="E150" s="219">
        <v>8</v>
      </c>
      <c r="F150" s="166">
        <v>46</v>
      </c>
      <c r="G150" s="166">
        <v>53</v>
      </c>
      <c r="H150" s="21">
        <v>91</v>
      </c>
      <c r="I150" s="21">
        <v>18</v>
      </c>
      <c r="J150" s="21">
        <v>36</v>
      </c>
      <c r="K150" s="21">
        <v>5</v>
      </c>
      <c r="L150" s="21">
        <v>66</v>
      </c>
      <c r="M150" s="21">
        <v>29</v>
      </c>
      <c r="N150" s="21">
        <v>44</v>
      </c>
      <c r="O150" s="19">
        <v>115</v>
      </c>
      <c r="P150" s="22">
        <v>2</v>
      </c>
      <c r="Q150" s="22">
        <v>0</v>
      </c>
      <c r="R150" s="20" t="s">
        <v>58</v>
      </c>
      <c r="S150" s="234">
        <f>COUNTIFS(INP_DATA!$R$5:$R$3027,S$4,INP_DATA!$D$5:$D$3027,$D150,INP_DATA!$B$5:$B$3027,$B150)</f>
        <v>1</v>
      </c>
      <c r="T150" s="235">
        <f>COUNTIFS(INP_DATA!$R$5:$R$3027,T$4,INP_DATA!$D$5:$D$3027,$D150,INP_DATA!$B$5:$B$3027,$B150)</f>
        <v>0</v>
      </c>
    </row>
    <row r="151" spans="1:20" x14ac:dyDescent="0.35">
      <c r="A151" s="3" t="s">
        <v>109</v>
      </c>
      <c r="B151" s="165">
        <v>44986</v>
      </c>
      <c r="C151" s="57" t="str">
        <f>IF($B151="","",YEAR($B151)&amp;"-"&amp;IFERROR(VLOOKUP(MONTH(B151),KEY!$AE$5:$AF$16,2,FALSE),""))</f>
        <v>2023-Q1</v>
      </c>
      <c r="D151" s="3" t="s">
        <v>147</v>
      </c>
      <c r="E151" s="219">
        <v>16</v>
      </c>
      <c r="F151" s="166">
        <v>68</v>
      </c>
      <c r="G151" s="166">
        <v>55</v>
      </c>
      <c r="H151" s="21">
        <v>112</v>
      </c>
      <c r="I151" s="21">
        <v>20</v>
      </c>
      <c r="J151" s="21">
        <v>41</v>
      </c>
      <c r="K151" s="21">
        <v>6</v>
      </c>
      <c r="L151" s="21">
        <v>91</v>
      </c>
      <c r="M151" s="21">
        <v>54</v>
      </c>
      <c r="N151" s="21">
        <v>68</v>
      </c>
      <c r="O151" s="19">
        <v>92</v>
      </c>
      <c r="P151" s="22">
        <v>0</v>
      </c>
      <c r="Q151" s="22">
        <v>0</v>
      </c>
      <c r="R151" s="20" t="s">
        <v>58</v>
      </c>
      <c r="S151" s="234">
        <f>COUNTIFS(INP_DATA!$R$5:$R$3027,S$4,INP_DATA!$D$5:$D$3027,$D151,INP_DATA!$B$5:$B$3027,$B151)</f>
        <v>1</v>
      </c>
      <c r="T151" s="235">
        <f>COUNTIFS(INP_DATA!$R$5:$R$3027,T$4,INP_DATA!$D$5:$D$3027,$D151,INP_DATA!$B$5:$B$3027,$B151)</f>
        <v>0</v>
      </c>
    </row>
    <row r="152" spans="1:20" x14ac:dyDescent="0.35">
      <c r="A152" s="3" t="s">
        <v>106</v>
      </c>
      <c r="B152" s="165">
        <v>44986</v>
      </c>
      <c r="C152" s="57" t="str">
        <f>IF($B152="","",YEAR($B152)&amp;"-"&amp;IFERROR(VLOOKUP(MONTH(B152),KEY!$AE$5:$AF$16,2,FALSE),""))</f>
        <v>2023-Q1</v>
      </c>
      <c r="D152" s="3" t="s">
        <v>148</v>
      </c>
      <c r="E152" s="219">
        <v>17</v>
      </c>
      <c r="F152" s="166">
        <v>56</v>
      </c>
      <c r="G152" s="166">
        <v>67</v>
      </c>
      <c r="H152" s="21">
        <v>96</v>
      </c>
      <c r="I152" s="21">
        <v>18</v>
      </c>
      <c r="J152" s="21">
        <v>80</v>
      </c>
      <c r="K152" s="21">
        <v>12</v>
      </c>
      <c r="L152" s="21">
        <v>120</v>
      </c>
      <c r="M152" s="21">
        <v>47</v>
      </c>
      <c r="N152" s="21">
        <v>56</v>
      </c>
      <c r="O152" s="19">
        <v>92</v>
      </c>
      <c r="P152" s="22">
        <v>3</v>
      </c>
      <c r="Q152" s="22">
        <v>2</v>
      </c>
      <c r="R152" s="20" t="s">
        <v>58</v>
      </c>
      <c r="S152" s="234">
        <f>COUNTIFS(INP_DATA!$R$5:$R$3027,S$4,INP_DATA!$D$5:$D$3027,$D152,INP_DATA!$B$5:$B$3027,$B152)</f>
        <v>1</v>
      </c>
      <c r="T152" s="235">
        <f>COUNTIFS(INP_DATA!$R$5:$R$3027,T$4,INP_DATA!$D$5:$D$3027,$D152,INP_DATA!$B$5:$B$3027,$B152)</f>
        <v>0</v>
      </c>
    </row>
    <row r="153" spans="1:20" x14ac:dyDescent="0.35">
      <c r="A153" s="3" t="s">
        <v>107</v>
      </c>
      <c r="B153" s="165">
        <v>44986</v>
      </c>
      <c r="C153" s="57" t="str">
        <f>IF($B153="","",YEAR($B153)&amp;"-"&amp;IFERROR(VLOOKUP(MONTH(B153),KEY!$AE$5:$AF$16,2,FALSE),""))</f>
        <v>2023-Q1</v>
      </c>
      <c r="D153" s="3" t="s">
        <v>149</v>
      </c>
      <c r="E153" s="219">
        <v>3</v>
      </c>
      <c r="F153" s="166">
        <v>32</v>
      </c>
      <c r="G153" s="166">
        <v>23</v>
      </c>
      <c r="H153" s="21">
        <v>88</v>
      </c>
      <c r="I153" s="21">
        <v>10</v>
      </c>
      <c r="J153" s="21">
        <v>29</v>
      </c>
      <c r="K153" s="21">
        <v>5</v>
      </c>
      <c r="L153" s="21">
        <v>32</v>
      </c>
      <c r="M153" s="21">
        <v>18</v>
      </c>
      <c r="N153" s="21">
        <v>32</v>
      </c>
      <c r="O153" s="19">
        <v>46</v>
      </c>
      <c r="P153" s="22">
        <v>4</v>
      </c>
      <c r="Q153" s="22">
        <v>1</v>
      </c>
      <c r="R153" s="20" t="s">
        <v>58</v>
      </c>
      <c r="S153" s="234">
        <f>COUNTIFS(INP_DATA!$R$5:$R$3027,S$4,INP_DATA!$D$5:$D$3027,$D153,INP_DATA!$B$5:$B$3027,$B153)</f>
        <v>1</v>
      </c>
      <c r="T153" s="235">
        <f>COUNTIFS(INP_DATA!$R$5:$R$3027,T$4,INP_DATA!$D$5:$D$3027,$D153,INP_DATA!$B$5:$B$3027,$B153)</f>
        <v>0</v>
      </c>
    </row>
    <row r="154" spans="1:20" x14ac:dyDescent="0.35">
      <c r="A154" s="3" t="s">
        <v>108</v>
      </c>
      <c r="B154" s="165">
        <v>44986</v>
      </c>
      <c r="C154" s="57" t="str">
        <f>IF($B154="","",YEAR($B154)&amp;"-"&amp;IFERROR(VLOOKUP(MONTH(B154),KEY!$AE$5:$AF$16,2,FALSE),""))</f>
        <v>2023-Q1</v>
      </c>
      <c r="D154" s="3" t="s">
        <v>150</v>
      </c>
      <c r="E154" s="219">
        <v>13</v>
      </c>
      <c r="F154" s="166">
        <v>55</v>
      </c>
      <c r="G154" s="166">
        <v>59</v>
      </c>
      <c r="H154" s="21">
        <v>66</v>
      </c>
      <c r="I154" s="21">
        <v>18</v>
      </c>
      <c r="J154" s="21">
        <v>9</v>
      </c>
      <c r="K154" s="21">
        <v>3</v>
      </c>
      <c r="L154" s="21">
        <v>54</v>
      </c>
      <c r="M154" s="21">
        <v>31</v>
      </c>
      <c r="N154" s="21">
        <v>56</v>
      </c>
      <c r="O154" s="19">
        <v>115</v>
      </c>
      <c r="P154" s="22">
        <v>4</v>
      </c>
      <c r="Q154" s="22">
        <v>0</v>
      </c>
      <c r="R154" s="20" t="s">
        <v>58</v>
      </c>
      <c r="S154" s="234">
        <f>COUNTIFS(INP_DATA!$R$5:$R$3027,S$4,INP_DATA!$D$5:$D$3027,$D154,INP_DATA!$B$5:$B$3027,$B154)</f>
        <v>1</v>
      </c>
      <c r="T154" s="235">
        <f>COUNTIFS(INP_DATA!$R$5:$R$3027,T$4,INP_DATA!$D$5:$D$3027,$D154,INP_DATA!$B$5:$B$3027,$B154)</f>
        <v>0</v>
      </c>
    </row>
    <row r="155" spans="1:20" x14ac:dyDescent="0.35">
      <c r="A155" s="3" t="s">
        <v>16</v>
      </c>
      <c r="B155" s="165">
        <v>44986</v>
      </c>
      <c r="C155" s="57" t="str">
        <f>IF($B155="","",YEAR($B155)&amp;"-"&amp;IFERROR(VLOOKUP(MONTH(B155),KEY!$AE$5:$AF$16,2,FALSE),""))</f>
        <v>2023-Q1</v>
      </c>
      <c r="D155" s="3" t="s">
        <v>151</v>
      </c>
      <c r="E155" s="219">
        <v>5</v>
      </c>
      <c r="F155" s="166">
        <v>31</v>
      </c>
      <c r="G155" s="166">
        <v>49</v>
      </c>
      <c r="H155" s="21">
        <v>89</v>
      </c>
      <c r="I155" s="21">
        <v>11</v>
      </c>
      <c r="J155" s="21">
        <v>28</v>
      </c>
      <c r="K155" s="21">
        <v>7</v>
      </c>
      <c r="L155" s="21">
        <v>53</v>
      </c>
      <c r="M155" s="21">
        <v>23</v>
      </c>
      <c r="N155" s="21">
        <v>31</v>
      </c>
      <c r="O155" s="19">
        <v>92</v>
      </c>
      <c r="P155" s="22">
        <v>0</v>
      </c>
      <c r="Q155" s="22">
        <v>0</v>
      </c>
      <c r="R155" s="20" t="s">
        <v>58</v>
      </c>
      <c r="S155" s="234">
        <f>COUNTIFS(INP_DATA!$R$5:$R$3027,S$4,INP_DATA!$D$5:$D$3027,$D155,INP_DATA!$B$5:$B$3027,$B155)</f>
        <v>1</v>
      </c>
      <c r="T155" s="235">
        <f>COUNTIFS(INP_DATA!$R$5:$R$3027,T$4,INP_DATA!$D$5:$D$3027,$D155,INP_DATA!$B$5:$B$3027,$B155)</f>
        <v>0</v>
      </c>
    </row>
    <row r="156" spans="1:20" x14ac:dyDescent="0.35">
      <c r="A156" s="3" t="s">
        <v>106</v>
      </c>
      <c r="B156" s="165">
        <v>44986</v>
      </c>
      <c r="C156" s="57" t="str">
        <f>IF($B156="","",YEAR($B156)&amp;"-"&amp;IFERROR(VLOOKUP(MONTH(B156),KEY!$AE$5:$AF$16,2,FALSE),""))</f>
        <v>2023-Q1</v>
      </c>
      <c r="D156" s="3" t="s">
        <v>152</v>
      </c>
      <c r="E156" s="219">
        <v>46</v>
      </c>
      <c r="F156" s="166">
        <v>193</v>
      </c>
      <c r="G156" s="166">
        <v>223</v>
      </c>
      <c r="H156" s="21">
        <v>510</v>
      </c>
      <c r="I156" s="21">
        <v>62</v>
      </c>
      <c r="J156" s="21">
        <v>176</v>
      </c>
      <c r="K156" s="21">
        <v>20</v>
      </c>
      <c r="L156" s="21">
        <v>335</v>
      </c>
      <c r="M156" s="21">
        <v>130</v>
      </c>
      <c r="N156" s="21">
        <v>192</v>
      </c>
      <c r="O156" s="19">
        <v>253</v>
      </c>
      <c r="P156" s="22">
        <v>30</v>
      </c>
      <c r="Q156" s="22">
        <v>23</v>
      </c>
      <c r="R156" s="20" t="s">
        <v>58</v>
      </c>
      <c r="S156" s="234">
        <f>COUNTIFS(INP_DATA!$R$5:$R$3027,S$4,INP_DATA!$D$5:$D$3027,$D156,INP_DATA!$B$5:$B$3027,$B156)</f>
        <v>1</v>
      </c>
      <c r="T156" s="235">
        <f>COUNTIFS(INP_DATA!$R$5:$R$3027,T$4,INP_DATA!$D$5:$D$3027,$D156,INP_DATA!$B$5:$B$3027,$B156)</f>
        <v>0</v>
      </c>
    </row>
    <row r="157" spans="1:20" x14ac:dyDescent="0.35">
      <c r="A157" s="3" t="s">
        <v>16</v>
      </c>
      <c r="B157" s="165">
        <v>44986</v>
      </c>
      <c r="C157" s="57" t="str">
        <f>IF($B157="","",YEAR($B157)&amp;"-"&amp;IFERROR(VLOOKUP(MONTH(B157),KEY!$AE$5:$AF$16,2,FALSE),""))</f>
        <v>2023-Q1</v>
      </c>
      <c r="D157" s="3" t="s">
        <v>153</v>
      </c>
      <c r="E157" s="219">
        <v>47</v>
      </c>
      <c r="F157" s="166">
        <v>130</v>
      </c>
      <c r="G157" s="166">
        <v>84</v>
      </c>
      <c r="H157" s="21">
        <v>188</v>
      </c>
      <c r="I157" s="21">
        <v>34</v>
      </c>
      <c r="J157" s="21">
        <v>81</v>
      </c>
      <c r="K157" s="21">
        <v>9</v>
      </c>
      <c r="L157" s="21">
        <v>288</v>
      </c>
      <c r="M157" s="21">
        <v>84</v>
      </c>
      <c r="N157" s="21">
        <v>130</v>
      </c>
      <c r="O157" s="19">
        <v>276</v>
      </c>
      <c r="P157" s="22">
        <v>8</v>
      </c>
      <c r="Q157" s="22">
        <v>5</v>
      </c>
      <c r="R157" s="20" t="s">
        <v>194</v>
      </c>
      <c r="S157" s="234">
        <f>COUNTIFS(INP_DATA!$R$5:$R$3027,S$4,INP_DATA!$D$5:$D$3027,$D157,INP_DATA!$B$5:$B$3027,$B157)</f>
        <v>0</v>
      </c>
      <c r="T157" s="235">
        <f>COUNTIFS(INP_DATA!$R$5:$R$3027,T$4,INP_DATA!$D$5:$D$3027,$D157,INP_DATA!$B$5:$B$3027,$B157)</f>
        <v>0</v>
      </c>
    </row>
    <row r="158" spans="1:20" x14ac:dyDescent="0.35">
      <c r="A158" s="3" t="s">
        <v>106</v>
      </c>
      <c r="B158" s="165">
        <v>44986</v>
      </c>
      <c r="C158" s="57" t="str">
        <f>IF($B158="","",YEAR($B158)&amp;"-"&amp;IFERROR(VLOOKUP(MONTH(B158),KEY!$AE$5:$AF$16,2,FALSE),""))</f>
        <v>2023-Q1</v>
      </c>
      <c r="D158" s="3" t="s">
        <v>154</v>
      </c>
      <c r="E158" s="219">
        <v>17</v>
      </c>
      <c r="F158" s="166">
        <v>55</v>
      </c>
      <c r="G158" s="166">
        <v>73</v>
      </c>
      <c r="H158" s="21">
        <v>278</v>
      </c>
      <c r="I158" s="21">
        <v>12</v>
      </c>
      <c r="J158" s="21">
        <v>167</v>
      </c>
      <c r="K158" s="21">
        <v>14</v>
      </c>
      <c r="L158" s="21">
        <v>134</v>
      </c>
      <c r="M158" s="21">
        <v>39</v>
      </c>
      <c r="N158" s="21">
        <v>52</v>
      </c>
      <c r="O158" s="19">
        <v>138</v>
      </c>
      <c r="P158" s="22">
        <v>4</v>
      </c>
      <c r="Q158" s="22">
        <v>4</v>
      </c>
      <c r="R158" s="20" t="s">
        <v>194</v>
      </c>
      <c r="S158" s="234">
        <f>COUNTIFS(INP_DATA!$R$5:$R$3027,S$4,INP_DATA!$D$5:$D$3027,$D158,INP_DATA!$B$5:$B$3027,$B158)</f>
        <v>0</v>
      </c>
      <c r="T158" s="235">
        <f>COUNTIFS(INP_DATA!$R$5:$R$3027,T$4,INP_DATA!$D$5:$D$3027,$D158,INP_DATA!$B$5:$B$3027,$B158)</f>
        <v>0</v>
      </c>
    </row>
    <row r="159" spans="1:20" x14ac:dyDescent="0.35">
      <c r="A159" s="3" t="s">
        <v>109</v>
      </c>
      <c r="B159" s="165">
        <v>44986</v>
      </c>
      <c r="C159" s="57" t="str">
        <f>IF($B159="","",YEAR($B159)&amp;"-"&amp;IFERROR(VLOOKUP(MONTH(B159),KEY!$AE$5:$AF$16,2,FALSE),""))</f>
        <v>2023-Q1</v>
      </c>
      <c r="D159" s="3" t="s">
        <v>155</v>
      </c>
      <c r="E159" s="219">
        <v>28</v>
      </c>
      <c r="F159" s="166">
        <v>276</v>
      </c>
      <c r="G159" s="166">
        <v>303</v>
      </c>
      <c r="H159" s="21">
        <v>872</v>
      </c>
      <c r="I159" s="21">
        <v>78</v>
      </c>
      <c r="J159" s="21">
        <v>334</v>
      </c>
      <c r="K159" s="21">
        <v>46</v>
      </c>
      <c r="L159" s="21">
        <v>376</v>
      </c>
      <c r="M159" s="21">
        <v>170</v>
      </c>
      <c r="N159" s="21">
        <v>279</v>
      </c>
      <c r="O159" s="19">
        <v>483</v>
      </c>
      <c r="P159" s="22">
        <v>38</v>
      </c>
      <c r="Q159" s="22">
        <v>23</v>
      </c>
      <c r="R159" s="20" t="s">
        <v>51</v>
      </c>
      <c r="S159" s="234">
        <f>COUNTIFS(INP_DATA!$R$5:$R$3027,S$4,INP_DATA!$D$5:$D$3027,$D159,INP_DATA!$B$5:$B$3027,$B159)</f>
        <v>0</v>
      </c>
      <c r="T159" s="235">
        <f>COUNTIFS(INP_DATA!$R$5:$R$3027,T$4,INP_DATA!$D$5:$D$3027,$D159,INP_DATA!$B$5:$B$3027,$B159)</f>
        <v>1</v>
      </c>
    </row>
    <row r="160" spans="1:20" x14ac:dyDescent="0.35">
      <c r="A160" s="3" t="s">
        <v>109</v>
      </c>
      <c r="B160" s="165">
        <v>44986</v>
      </c>
      <c r="C160" s="57" t="str">
        <f>IF($B160="","",YEAR($B160)&amp;"-"&amp;IFERROR(VLOOKUP(MONTH(B160),KEY!$AE$5:$AF$16,2,FALSE),""))</f>
        <v>2023-Q1</v>
      </c>
      <c r="D160" s="3" t="s">
        <v>156</v>
      </c>
      <c r="E160" s="219">
        <v>78</v>
      </c>
      <c r="F160" s="166">
        <v>340</v>
      </c>
      <c r="G160" s="166">
        <v>282</v>
      </c>
      <c r="H160" s="21">
        <v>919</v>
      </c>
      <c r="I160" s="21">
        <v>100</v>
      </c>
      <c r="J160" s="21">
        <v>435</v>
      </c>
      <c r="K160" s="21">
        <v>60</v>
      </c>
      <c r="L160" s="21">
        <v>541</v>
      </c>
      <c r="M160" s="21">
        <v>164</v>
      </c>
      <c r="N160" s="21">
        <v>341</v>
      </c>
      <c r="O160" s="19">
        <v>483</v>
      </c>
      <c r="P160" s="22">
        <v>14</v>
      </c>
      <c r="Q160" s="22">
        <v>6</v>
      </c>
      <c r="R160" s="20" t="s">
        <v>51</v>
      </c>
      <c r="S160" s="234">
        <f>COUNTIFS(INP_DATA!$R$5:$R$3027,S$4,INP_DATA!$D$5:$D$3027,$D160,INP_DATA!$B$5:$B$3027,$B160)</f>
        <v>0</v>
      </c>
      <c r="T160" s="235">
        <f>COUNTIFS(INP_DATA!$R$5:$R$3027,T$4,INP_DATA!$D$5:$D$3027,$D160,INP_DATA!$B$5:$B$3027,$B160)</f>
        <v>1</v>
      </c>
    </row>
    <row r="161" spans="1:20" x14ac:dyDescent="0.35">
      <c r="A161" s="3" t="s">
        <v>109</v>
      </c>
      <c r="B161" s="165">
        <v>44986</v>
      </c>
      <c r="C161" s="57" t="str">
        <f>IF($B161="","",YEAR($B161)&amp;"-"&amp;IFERROR(VLOOKUP(MONTH(B161),KEY!$AE$5:$AF$16,2,FALSE),""))</f>
        <v>2023-Q1</v>
      </c>
      <c r="D161" s="3" t="s">
        <v>157</v>
      </c>
      <c r="E161" s="219">
        <v>26</v>
      </c>
      <c r="F161" s="166">
        <v>228</v>
      </c>
      <c r="G161" s="166">
        <v>267</v>
      </c>
      <c r="H161" s="21">
        <v>935</v>
      </c>
      <c r="I161" s="21">
        <v>49</v>
      </c>
      <c r="J161" s="21">
        <v>377</v>
      </c>
      <c r="K161" s="21">
        <v>37</v>
      </c>
      <c r="L161" s="21">
        <v>144</v>
      </c>
      <c r="M161" s="21">
        <v>55</v>
      </c>
      <c r="N161" s="21">
        <v>237</v>
      </c>
      <c r="O161" s="19">
        <v>299</v>
      </c>
      <c r="P161" s="22">
        <v>17</v>
      </c>
      <c r="Q161" s="22">
        <v>11</v>
      </c>
      <c r="R161" s="20" t="s">
        <v>51</v>
      </c>
      <c r="S161" s="234">
        <f>COUNTIFS(INP_DATA!$R$5:$R$3027,S$4,INP_DATA!$D$5:$D$3027,$D161,INP_DATA!$B$5:$B$3027,$B161)</f>
        <v>0</v>
      </c>
      <c r="T161" s="235">
        <f>COUNTIFS(INP_DATA!$R$5:$R$3027,T$4,INP_DATA!$D$5:$D$3027,$D161,INP_DATA!$B$5:$B$3027,$B161)</f>
        <v>1</v>
      </c>
    </row>
    <row r="162" spans="1:20" x14ac:dyDescent="0.35">
      <c r="A162" s="3" t="s">
        <v>16</v>
      </c>
      <c r="B162" s="165">
        <v>44986</v>
      </c>
      <c r="C162" s="57" t="str">
        <f>IF($B162="","",YEAR($B162)&amp;"-"&amp;IFERROR(VLOOKUP(MONTH(B162),KEY!$AE$5:$AF$16,2,FALSE),""))</f>
        <v>2023-Q1</v>
      </c>
      <c r="D162" s="3" t="s">
        <v>158</v>
      </c>
      <c r="E162" s="219">
        <v>6</v>
      </c>
      <c r="F162" s="166">
        <v>42</v>
      </c>
      <c r="G162" s="166">
        <v>38</v>
      </c>
      <c r="H162" s="21">
        <v>88</v>
      </c>
      <c r="I162" s="21">
        <v>11</v>
      </c>
      <c r="J162" s="21">
        <v>51</v>
      </c>
      <c r="K162" s="21">
        <v>9</v>
      </c>
      <c r="L162" s="21">
        <v>54</v>
      </c>
      <c r="M162" s="21">
        <v>13</v>
      </c>
      <c r="N162" s="21">
        <v>42</v>
      </c>
      <c r="O162" s="19">
        <v>115</v>
      </c>
      <c r="P162" s="22" t="s">
        <v>194</v>
      </c>
      <c r="Q162" s="22" t="s">
        <v>194</v>
      </c>
      <c r="R162" s="20" t="s">
        <v>194</v>
      </c>
      <c r="S162" s="234">
        <f>COUNTIFS(INP_DATA!$R$5:$R$3027,S$4,INP_DATA!$D$5:$D$3027,$D162,INP_DATA!$B$5:$B$3027,$B162)</f>
        <v>0</v>
      </c>
      <c r="T162" s="235">
        <f>COUNTIFS(INP_DATA!$R$5:$R$3027,T$4,INP_DATA!$D$5:$D$3027,$D162,INP_DATA!$B$5:$B$3027,$B162)</f>
        <v>0</v>
      </c>
    </row>
    <row r="163" spans="1:20" x14ac:dyDescent="0.35">
      <c r="A163" s="3" t="s">
        <v>107</v>
      </c>
      <c r="B163" s="165">
        <v>44986</v>
      </c>
      <c r="C163" s="57" t="str">
        <f>IF($B163="","",YEAR($B163)&amp;"-"&amp;IFERROR(VLOOKUP(MONTH(B163),KEY!$AE$5:$AF$16,2,FALSE),""))</f>
        <v>2023-Q1</v>
      </c>
      <c r="D163" s="3" t="s">
        <v>159</v>
      </c>
      <c r="E163" s="219">
        <v>16</v>
      </c>
      <c r="F163" s="166">
        <v>85</v>
      </c>
      <c r="G163" s="166">
        <v>80</v>
      </c>
      <c r="H163" s="21">
        <v>325</v>
      </c>
      <c r="I163" s="21">
        <v>21</v>
      </c>
      <c r="J163" s="21">
        <v>132</v>
      </c>
      <c r="K163" s="21">
        <v>23</v>
      </c>
      <c r="L163" s="21">
        <v>176</v>
      </c>
      <c r="M163" s="21">
        <v>64</v>
      </c>
      <c r="N163" s="21">
        <v>105</v>
      </c>
      <c r="O163" s="19">
        <v>184</v>
      </c>
      <c r="P163" s="22">
        <v>30</v>
      </c>
      <c r="Q163" s="22">
        <v>19</v>
      </c>
      <c r="R163" s="20" t="s">
        <v>194</v>
      </c>
      <c r="S163" s="234">
        <f>COUNTIFS(INP_DATA!$R$5:$R$3027,S$4,INP_DATA!$D$5:$D$3027,$D163,INP_DATA!$B$5:$B$3027,$B163)</f>
        <v>0</v>
      </c>
      <c r="T163" s="235">
        <f>COUNTIFS(INP_DATA!$R$5:$R$3027,T$4,INP_DATA!$D$5:$D$3027,$D163,INP_DATA!$B$5:$B$3027,$B163)</f>
        <v>0</v>
      </c>
    </row>
    <row r="164" spans="1:20" x14ac:dyDescent="0.35">
      <c r="A164" s="3" t="s">
        <v>16</v>
      </c>
      <c r="B164" s="165">
        <v>44986</v>
      </c>
      <c r="C164" s="57" t="str">
        <f>IF($B164="","",YEAR($B164)&amp;"-"&amp;IFERROR(VLOOKUP(MONTH(B164),KEY!$AE$5:$AF$16,2,FALSE),""))</f>
        <v>2023-Q1</v>
      </c>
      <c r="D164" s="3" t="s">
        <v>160</v>
      </c>
      <c r="E164" s="219">
        <v>88</v>
      </c>
      <c r="F164" s="166">
        <v>325</v>
      </c>
      <c r="G164" s="166">
        <v>317</v>
      </c>
      <c r="H164" s="21">
        <v>766</v>
      </c>
      <c r="I164" s="21">
        <v>123</v>
      </c>
      <c r="J164" s="21">
        <v>322</v>
      </c>
      <c r="K164" s="21">
        <v>41</v>
      </c>
      <c r="L164" s="21">
        <v>480</v>
      </c>
      <c r="M164" s="21">
        <v>188</v>
      </c>
      <c r="N164" s="21">
        <v>330</v>
      </c>
      <c r="O164" s="19">
        <v>506</v>
      </c>
      <c r="P164" s="22">
        <v>61</v>
      </c>
      <c r="Q164" s="22">
        <v>41</v>
      </c>
      <c r="R164" s="20" t="s">
        <v>51</v>
      </c>
      <c r="S164" s="234">
        <f>COUNTIFS(INP_DATA!$R$5:$R$3027,S$4,INP_DATA!$D$5:$D$3027,$D164,INP_DATA!$B$5:$B$3027,$B164)</f>
        <v>0</v>
      </c>
      <c r="T164" s="235">
        <f>COUNTIFS(INP_DATA!$R$5:$R$3027,T$4,INP_DATA!$D$5:$D$3027,$D164,INP_DATA!$B$5:$B$3027,$B164)</f>
        <v>1</v>
      </c>
    </row>
    <row r="165" spans="1:20" x14ac:dyDescent="0.35">
      <c r="A165" s="3" t="s">
        <v>106</v>
      </c>
      <c r="B165" s="165">
        <v>44986</v>
      </c>
      <c r="C165" s="57" t="str">
        <f>IF($B165="","",YEAR($B165)&amp;"-"&amp;IFERROR(VLOOKUP(MONTH(B165),KEY!$AE$5:$AF$16,2,FALSE),""))</f>
        <v>2023-Q1</v>
      </c>
      <c r="D165" s="3" t="s">
        <v>161</v>
      </c>
      <c r="E165" s="219">
        <v>39</v>
      </c>
      <c r="F165" s="166">
        <v>275</v>
      </c>
      <c r="G165" s="166">
        <v>270</v>
      </c>
      <c r="H165" s="21">
        <v>527</v>
      </c>
      <c r="I165" s="21">
        <v>71</v>
      </c>
      <c r="J165" s="21">
        <v>249</v>
      </c>
      <c r="K165" s="21">
        <v>55</v>
      </c>
      <c r="L165" s="21">
        <v>429</v>
      </c>
      <c r="M165" s="21">
        <v>139</v>
      </c>
      <c r="N165" s="21">
        <v>284</v>
      </c>
      <c r="O165" s="19">
        <v>460</v>
      </c>
      <c r="P165" s="22">
        <v>12</v>
      </c>
      <c r="Q165" s="22">
        <v>9</v>
      </c>
      <c r="R165" s="20" t="s">
        <v>51</v>
      </c>
      <c r="S165" s="234">
        <f>COUNTIFS(INP_DATA!$R$5:$R$3027,S$4,INP_DATA!$D$5:$D$3027,$D165,INP_DATA!$B$5:$B$3027,$B165)</f>
        <v>0</v>
      </c>
      <c r="T165" s="235">
        <f>COUNTIFS(INP_DATA!$R$5:$R$3027,T$4,INP_DATA!$D$5:$D$3027,$D165,INP_DATA!$B$5:$B$3027,$B165)</f>
        <v>1</v>
      </c>
    </row>
    <row r="166" spans="1:20" x14ac:dyDescent="0.35">
      <c r="A166" s="3" t="s">
        <v>109</v>
      </c>
      <c r="B166" s="165">
        <v>44986</v>
      </c>
      <c r="C166" s="57" t="str">
        <f>IF($B166="","",YEAR($B166)&amp;"-"&amp;IFERROR(VLOOKUP(MONTH(B166),KEY!$AE$5:$AF$16,2,FALSE),""))</f>
        <v>2023-Q1</v>
      </c>
      <c r="D166" s="3" t="s">
        <v>162</v>
      </c>
      <c r="E166" s="219">
        <v>92</v>
      </c>
      <c r="F166" s="166">
        <v>413</v>
      </c>
      <c r="G166" s="166">
        <v>507</v>
      </c>
      <c r="H166" s="21">
        <v>407</v>
      </c>
      <c r="I166" s="21">
        <v>91</v>
      </c>
      <c r="J166" s="21">
        <v>379</v>
      </c>
      <c r="K166" s="21">
        <v>70</v>
      </c>
      <c r="L166" s="21">
        <v>699</v>
      </c>
      <c r="M166" s="21">
        <v>195</v>
      </c>
      <c r="N166" s="21">
        <v>419</v>
      </c>
      <c r="O166" s="19">
        <v>759</v>
      </c>
      <c r="P166" s="22">
        <v>41</v>
      </c>
      <c r="Q166" s="22">
        <v>31</v>
      </c>
      <c r="R166" s="20" t="s">
        <v>58</v>
      </c>
      <c r="S166" s="234">
        <f>COUNTIFS(INP_DATA!$R$5:$R$3027,S$4,INP_DATA!$D$5:$D$3027,$D166,INP_DATA!$B$5:$B$3027,$B166)</f>
        <v>1</v>
      </c>
      <c r="T166" s="235">
        <f>COUNTIFS(INP_DATA!$R$5:$R$3027,T$4,INP_DATA!$D$5:$D$3027,$D166,INP_DATA!$B$5:$B$3027,$B166)</f>
        <v>0</v>
      </c>
    </row>
    <row r="167" spans="1:20" x14ac:dyDescent="0.35">
      <c r="A167" s="3" t="s">
        <v>16</v>
      </c>
      <c r="B167" s="165">
        <v>44986</v>
      </c>
      <c r="C167" s="57" t="str">
        <f>IF($B167="","",YEAR($B167)&amp;"-"&amp;IFERROR(VLOOKUP(MONTH(B167),KEY!$AE$5:$AF$16,2,FALSE),""))</f>
        <v>2023-Q1</v>
      </c>
      <c r="D167" s="3" t="s">
        <v>163</v>
      </c>
      <c r="E167" s="219">
        <v>45</v>
      </c>
      <c r="F167" s="166">
        <v>238</v>
      </c>
      <c r="G167" s="166">
        <v>217</v>
      </c>
      <c r="H167" s="21">
        <v>367</v>
      </c>
      <c r="I167" s="21">
        <v>64</v>
      </c>
      <c r="J167" s="21">
        <v>256</v>
      </c>
      <c r="K167" s="21">
        <v>44</v>
      </c>
      <c r="L167" s="21">
        <v>443</v>
      </c>
      <c r="M167" s="21">
        <v>154</v>
      </c>
      <c r="N167" s="21">
        <v>239</v>
      </c>
      <c r="O167" s="19">
        <v>460</v>
      </c>
      <c r="P167" s="22">
        <v>11</v>
      </c>
      <c r="Q167" s="22">
        <v>5</v>
      </c>
      <c r="R167" s="20" t="s">
        <v>58</v>
      </c>
      <c r="S167" s="234">
        <f>COUNTIFS(INP_DATA!$R$5:$R$3027,S$4,INP_DATA!$D$5:$D$3027,$D167,INP_DATA!$B$5:$B$3027,$B167)</f>
        <v>1</v>
      </c>
      <c r="T167" s="235">
        <f>COUNTIFS(INP_DATA!$R$5:$R$3027,T$4,INP_DATA!$D$5:$D$3027,$D167,INP_DATA!$B$5:$B$3027,$B167)</f>
        <v>0</v>
      </c>
    </row>
    <row r="168" spans="1:20" x14ac:dyDescent="0.35">
      <c r="A168" s="3" t="s">
        <v>16</v>
      </c>
      <c r="B168" s="165">
        <v>44986</v>
      </c>
      <c r="C168" s="57" t="str">
        <f>IF($B168="","",YEAR($B168)&amp;"-"&amp;IFERROR(VLOOKUP(MONTH(B168),KEY!$AE$5:$AF$16,2,FALSE),""))</f>
        <v>2023-Q1</v>
      </c>
      <c r="D168" s="3" t="s">
        <v>164</v>
      </c>
      <c r="E168" s="219">
        <v>2</v>
      </c>
      <c r="F168" s="166">
        <v>78</v>
      </c>
      <c r="G168" s="166">
        <v>92</v>
      </c>
      <c r="H168" s="21">
        <v>173</v>
      </c>
      <c r="I168" s="21">
        <v>19</v>
      </c>
      <c r="J168" s="21">
        <v>66</v>
      </c>
      <c r="K168" s="21">
        <v>14</v>
      </c>
      <c r="L168" s="21">
        <v>115</v>
      </c>
      <c r="M168" s="21">
        <v>47</v>
      </c>
      <c r="N168" s="21">
        <v>81</v>
      </c>
      <c r="O168" s="19">
        <v>184</v>
      </c>
      <c r="P168" s="22">
        <v>10</v>
      </c>
      <c r="Q168" s="22">
        <v>5</v>
      </c>
      <c r="R168" s="20" t="s">
        <v>58</v>
      </c>
      <c r="S168" s="234">
        <f>COUNTIFS(INP_DATA!$R$5:$R$3027,S$4,INP_DATA!$D$5:$D$3027,$D168,INP_DATA!$B$5:$B$3027,$B168)</f>
        <v>1</v>
      </c>
      <c r="T168" s="235">
        <f>COUNTIFS(INP_DATA!$R$5:$R$3027,T$4,INP_DATA!$D$5:$D$3027,$D168,INP_DATA!$B$5:$B$3027,$B168)</f>
        <v>0</v>
      </c>
    </row>
    <row r="169" spans="1:20" x14ac:dyDescent="0.35">
      <c r="A169" s="3" t="s">
        <v>107</v>
      </c>
      <c r="B169" s="165">
        <v>44986</v>
      </c>
      <c r="C169" s="57" t="str">
        <f>IF($B169="","",YEAR($B169)&amp;"-"&amp;IFERROR(VLOOKUP(MONTH(B169),KEY!$AE$5:$AF$16,2,FALSE),""))</f>
        <v>2023-Q1</v>
      </c>
      <c r="D169" s="3" t="s">
        <v>165</v>
      </c>
      <c r="E169" s="219">
        <v>19</v>
      </c>
      <c r="F169" s="166">
        <v>108</v>
      </c>
      <c r="G169" s="166">
        <v>111</v>
      </c>
      <c r="H169" s="21">
        <v>201</v>
      </c>
      <c r="I169" s="21">
        <v>31</v>
      </c>
      <c r="J169" s="21">
        <v>78</v>
      </c>
      <c r="K169" s="21">
        <v>23</v>
      </c>
      <c r="L169" s="21">
        <v>153</v>
      </c>
      <c r="M169" s="21">
        <v>64</v>
      </c>
      <c r="N169" s="21">
        <v>117</v>
      </c>
      <c r="O169" s="19">
        <v>161</v>
      </c>
      <c r="P169" s="22">
        <v>53</v>
      </c>
      <c r="Q169" s="22">
        <v>28</v>
      </c>
      <c r="R169" s="20" t="s">
        <v>51</v>
      </c>
      <c r="S169" s="234">
        <f>COUNTIFS(INP_DATA!$R$5:$R$3027,S$4,INP_DATA!$D$5:$D$3027,$D169,INP_DATA!$B$5:$B$3027,$B169)</f>
        <v>0</v>
      </c>
      <c r="T169" s="235">
        <f>COUNTIFS(INP_DATA!$R$5:$R$3027,T$4,INP_DATA!$D$5:$D$3027,$D169,INP_DATA!$B$5:$B$3027,$B169)</f>
        <v>1</v>
      </c>
    </row>
    <row r="170" spans="1:20" x14ac:dyDescent="0.35">
      <c r="A170" s="3" t="s">
        <v>16</v>
      </c>
      <c r="B170" s="165">
        <v>45017</v>
      </c>
      <c r="C170" s="57" t="str">
        <f>IF($B170="","",YEAR($B170)&amp;"-"&amp;IFERROR(VLOOKUP(MONTH(B170),KEY!$AE$5:$AF$16,2,FALSE),""))</f>
        <v>2023-Q2</v>
      </c>
      <c r="D170" s="3" t="s">
        <v>111</v>
      </c>
      <c r="E170" s="219">
        <v>14</v>
      </c>
      <c r="F170" s="166">
        <v>82</v>
      </c>
      <c r="G170" s="166">
        <v>85</v>
      </c>
      <c r="H170" s="21">
        <v>212</v>
      </c>
      <c r="I170" s="21">
        <v>26</v>
      </c>
      <c r="J170" s="21">
        <v>80</v>
      </c>
      <c r="K170" s="21">
        <v>12</v>
      </c>
      <c r="L170" s="21">
        <v>174</v>
      </c>
      <c r="M170" s="21">
        <v>52</v>
      </c>
      <c r="N170" s="21">
        <v>83</v>
      </c>
      <c r="O170" s="19">
        <v>154</v>
      </c>
      <c r="P170" s="22">
        <v>9</v>
      </c>
      <c r="Q170" s="22">
        <v>5</v>
      </c>
      <c r="R170" s="20" t="s">
        <v>58</v>
      </c>
      <c r="S170" s="234">
        <f>COUNTIFS(INP_DATA!$R$5:$R$3027,S$4,INP_DATA!$D$5:$D$3027,$D170,INP_DATA!$B$5:$B$3027,$B170)</f>
        <v>1</v>
      </c>
      <c r="T170" s="235">
        <f>COUNTIFS(INP_DATA!$R$5:$R$3027,T$4,INP_DATA!$D$5:$D$3027,$D170,INP_DATA!$B$5:$B$3027,$B170)</f>
        <v>0</v>
      </c>
    </row>
    <row r="171" spans="1:20" x14ac:dyDescent="0.35">
      <c r="A171" s="3" t="s">
        <v>108</v>
      </c>
      <c r="B171" s="165">
        <v>45017</v>
      </c>
      <c r="C171" s="57" t="str">
        <f>IF($B171="","",YEAR($B171)&amp;"-"&amp;IFERROR(VLOOKUP(MONTH(B171),KEY!$AE$5:$AF$16,2,FALSE),""))</f>
        <v>2023-Q2</v>
      </c>
      <c r="D171" s="3" t="s">
        <v>112</v>
      </c>
      <c r="E171" s="219">
        <v>8</v>
      </c>
      <c r="F171" s="166">
        <v>42</v>
      </c>
      <c r="G171" s="166">
        <v>43</v>
      </c>
      <c r="H171" s="21">
        <v>130</v>
      </c>
      <c r="I171" s="21">
        <v>16</v>
      </c>
      <c r="J171" s="21">
        <v>40</v>
      </c>
      <c r="K171" s="21">
        <v>4</v>
      </c>
      <c r="L171" s="21">
        <v>87</v>
      </c>
      <c r="M171" s="21">
        <v>31</v>
      </c>
      <c r="N171" s="21">
        <v>42</v>
      </c>
      <c r="O171" s="19">
        <v>88</v>
      </c>
      <c r="P171" s="22">
        <v>12</v>
      </c>
      <c r="Q171" s="22">
        <v>6</v>
      </c>
      <c r="R171" s="20" t="s">
        <v>51</v>
      </c>
      <c r="S171" s="234">
        <f>COUNTIFS(INP_DATA!$R$5:$R$3027,S$4,INP_DATA!$D$5:$D$3027,$D171,INP_DATA!$B$5:$B$3027,$B171)</f>
        <v>0</v>
      </c>
      <c r="T171" s="235">
        <f>COUNTIFS(INP_DATA!$R$5:$R$3027,T$4,INP_DATA!$D$5:$D$3027,$D171,INP_DATA!$B$5:$B$3027,$B171)</f>
        <v>1</v>
      </c>
    </row>
    <row r="172" spans="1:20" x14ac:dyDescent="0.35">
      <c r="A172" s="3" t="s">
        <v>16</v>
      </c>
      <c r="B172" s="165">
        <v>45017</v>
      </c>
      <c r="C172" s="57" t="str">
        <f>IF($B172="","",YEAR($B172)&amp;"-"&amp;IFERROR(VLOOKUP(MONTH(B172),KEY!$AE$5:$AF$16,2,FALSE),""))</f>
        <v>2023-Q2</v>
      </c>
      <c r="D172" s="3" t="s">
        <v>113</v>
      </c>
      <c r="E172" s="219">
        <v>12</v>
      </c>
      <c r="F172" s="166">
        <v>89</v>
      </c>
      <c r="G172" s="166">
        <v>92</v>
      </c>
      <c r="H172" s="21">
        <v>253</v>
      </c>
      <c r="I172" s="21">
        <v>28</v>
      </c>
      <c r="J172" s="21">
        <v>105</v>
      </c>
      <c r="K172" s="21">
        <v>22</v>
      </c>
      <c r="L172" s="21">
        <v>153</v>
      </c>
      <c r="M172" s="21">
        <v>58</v>
      </c>
      <c r="N172" s="21">
        <v>89</v>
      </c>
      <c r="O172" s="19">
        <v>154</v>
      </c>
      <c r="P172" s="22">
        <v>12</v>
      </c>
      <c r="Q172" s="22">
        <v>8</v>
      </c>
      <c r="R172" s="20" t="s">
        <v>51</v>
      </c>
      <c r="S172" s="234">
        <f>COUNTIFS(INP_DATA!$R$5:$R$3027,S$4,INP_DATA!$D$5:$D$3027,$D172,INP_DATA!$B$5:$B$3027,$B172)</f>
        <v>0</v>
      </c>
      <c r="T172" s="235">
        <f>COUNTIFS(INP_DATA!$R$5:$R$3027,T$4,INP_DATA!$D$5:$D$3027,$D172,INP_DATA!$B$5:$B$3027,$B172)</f>
        <v>1</v>
      </c>
    </row>
    <row r="173" spans="1:20" x14ac:dyDescent="0.35">
      <c r="A173" s="3" t="s">
        <v>108</v>
      </c>
      <c r="B173" s="165">
        <v>45017</v>
      </c>
      <c r="C173" s="57" t="str">
        <f>IF($B173="","",YEAR($B173)&amp;"-"&amp;IFERROR(VLOOKUP(MONTH(B173),KEY!$AE$5:$AF$16,2,FALSE),""))</f>
        <v>2023-Q2</v>
      </c>
      <c r="D173" s="3" t="s">
        <v>114</v>
      </c>
      <c r="E173" s="219">
        <v>15</v>
      </c>
      <c r="F173" s="166">
        <v>79</v>
      </c>
      <c r="G173" s="166">
        <v>65</v>
      </c>
      <c r="H173" s="21">
        <v>152</v>
      </c>
      <c r="I173" s="21">
        <v>24</v>
      </c>
      <c r="J173" s="21">
        <v>49</v>
      </c>
      <c r="K173" s="21">
        <v>16</v>
      </c>
      <c r="L173" s="21">
        <v>92</v>
      </c>
      <c r="M173" s="21">
        <v>48</v>
      </c>
      <c r="N173" s="21">
        <v>80</v>
      </c>
      <c r="O173" s="19">
        <v>154</v>
      </c>
      <c r="P173" s="22">
        <v>4</v>
      </c>
      <c r="Q173" s="22">
        <v>2</v>
      </c>
      <c r="R173" s="20" t="s">
        <v>58</v>
      </c>
      <c r="S173" s="234">
        <f>COUNTIFS(INP_DATA!$R$5:$R$3027,S$4,INP_DATA!$D$5:$D$3027,$D173,INP_DATA!$B$5:$B$3027,$B173)</f>
        <v>1</v>
      </c>
      <c r="T173" s="235">
        <f>COUNTIFS(INP_DATA!$R$5:$R$3027,T$4,INP_DATA!$D$5:$D$3027,$D173,INP_DATA!$B$5:$B$3027,$B173)</f>
        <v>0</v>
      </c>
    </row>
    <row r="174" spans="1:20" x14ac:dyDescent="0.35">
      <c r="A174" s="3" t="s">
        <v>107</v>
      </c>
      <c r="B174" s="165">
        <v>45017</v>
      </c>
      <c r="C174" s="57" t="str">
        <f>IF($B174="","",YEAR($B174)&amp;"-"&amp;IFERROR(VLOOKUP(MONTH(B174),KEY!$AE$5:$AF$16,2,FALSE),""))</f>
        <v>2023-Q2</v>
      </c>
      <c r="D174" s="3" t="s">
        <v>115</v>
      </c>
      <c r="E174" s="219">
        <v>4</v>
      </c>
      <c r="F174" s="166">
        <v>0</v>
      </c>
      <c r="G174" s="166">
        <v>0</v>
      </c>
      <c r="H174" s="21">
        <v>195</v>
      </c>
      <c r="I174" s="21">
        <v>23</v>
      </c>
      <c r="J174" s="21">
        <v>55</v>
      </c>
      <c r="K174" s="21">
        <v>18</v>
      </c>
      <c r="L174" s="21">
        <v>108</v>
      </c>
      <c r="M174" s="21">
        <v>41</v>
      </c>
      <c r="N174" s="21">
        <v>64</v>
      </c>
      <c r="O174" s="19">
        <v>110</v>
      </c>
      <c r="P174" s="22" t="s">
        <v>194</v>
      </c>
      <c r="Q174" s="22" t="s">
        <v>194</v>
      </c>
      <c r="R174" s="20" t="s">
        <v>194</v>
      </c>
      <c r="S174" s="234">
        <f>COUNTIFS(INP_DATA!$R$5:$R$3027,S$4,INP_DATA!$D$5:$D$3027,$D174,INP_DATA!$B$5:$B$3027,$B174)</f>
        <v>0</v>
      </c>
      <c r="T174" s="235">
        <f>COUNTIFS(INP_DATA!$R$5:$R$3027,T$4,INP_DATA!$D$5:$D$3027,$D174,INP_DATA!$B$5:$B$3027,$B174)</f>
        <v>0</v>
      </c>
    </row>
    <row r="175" spans="1:20" x14ac:dyDescent="0.35">
      <c r="A175" s="3" t="s">
        <v>16</v>
      </c>
      <c r="B175" s="165">
        <v>45017</v>
      </c>
      <c r="C175" s="57" t="str">
        <f>IF($B175="","",YEAR($B175)&amp;"-"&amp;IFERROR(VLOOKUP(MONTH(B175),KEY!$AE$5:$AF$16,2,FALSE),""))</f>
        <v>2023-Q2</v>
      </c>
      <c r="D175" s="3" t="s">
        <v>116</v>
      </c>
      <c r="E175" s="219">
        <v>41</v>
      </c>
      <c r="F175" s="166">
        <v>162</v>
      </c>
      <c r="G175" s="166">
        <v>154</v>
      </c>
      <c r="H175" s="21">
        <v>211</v>
      </c>
      <c r="I175" s="21">
        <v>36</v>
      </c>
      <c r="J175" s="21">
        <v>81</v>
      </c>
      <c r="K175" s="21">
        <v>17</v>
      </c>
      <c r="L175" s="21">
        <v>257</v>
      </c>
      <c r="M175" s="21">
        <v>93</v>
      </c>
      <c r="N175" s="21">
        <v>166</v>
      </c>
      <c r="O175" s="19">
        <v>264</v>
      </c>
      <c r="P175" s="22">
        <v>21</v>
      </c>
      <c r="Q175" s="22">
        <v>13</v>
      </c>
      <c r="R175" s="20" t="s">
        <v>51</v>
      </c>
      <c r="S175" s="234">
        <f>COUNTIFS(INP_DATA!$R$5:$R$3027,S$4,INP_DATA!$D$5:$D$3027,$D175,INP_DATA!$B$5:$B$3027,$B175)</f>
        <v>0</v>
      </c>
      <c r="T175" s="235">
        <f>COUNTIFS(INP_DATA!$R$5:$R$3027,T$4,INP_DATA!$D$5:$D$3027,$D175,INP_DATA!$B$5:$B$3027,$B175)</f>
        <v>1</v>
      </c>
    </row>
    <row r="176" spans="1:20" x14ac:dyDescent="0.35">
      <c r="A176" s="3" t="s">
        <v>107</v>
      </c>
      <c r="B176" s="165">
        <v>45017</v>
      </c>
      <c r="C176" s="57" t="str">
        <f>IF($B176="","",YEAR($B176)&amp;"-"&amp;IFERROR(VLOOKUP(MONTH(B176),KEY!$AE$5:$AF$16,2,FALSE),""))</f>
        <v>2023-Q2</v>
      </c>
      <c r="D176" s="3" t="s">
        <v>117</v>
      </c>
      <c r="E176" s="219">
        <v>19</v>
      </c>
      <c r="F176" s="166">
        <v>197</v>
      </c>
      <c r="G176" s="166">
        <v>151</v>
      </c>
      <c r="H176" s="21">
        <v>253</v>
      </c>
      <c r="I176" s="21">
        <v>45</v>
      </c>
      <c r="J176" s="21">
        <v>154</v>
      </c>
      <c r="K176" s="21">
        <v>60</v>
      </c>
      <c r="L176" s="21">
        <v>251</v>
      </c>
      <c r="M176" s="21">
        <v>118</v>
      </c>
      <c r="N176" s="21">
        <v>198</v>
      </c>
      <c r="O176" s="19">
        <v>286</v>
      </c>
      <c r="P176" s="22">
        <v>37</v>
      </c>
      <c r="Q176" s="22">
        <v>17</v>
      </c>
      <c r="R176" s="20" t="s">
        <v>58</v>
      </c>
      <c r="S176" s="234">
        <f>COUNTIFS(INP_DATA!$R$5:$R$3027,S$4,INP_DATA!$D$5:$D$3027,$D176,INP_DATA!$B$5:$B$3027,$B176)</f>
        <v>1</v>
      </c>
      <c r="T176" s="235">
        <f>COUNTIFS(INP_DATA!$R$5:$R$3027,T$4,INP_DATA!$D$5:$D$3027,$D176,INP_DATA!$B$5:$B$3027,$B176)</f>
        <v>0</v>
      </c>
    </row>
    <row r="177" spans="1:20" x14ac:dyDescent="0.35">
      <c r="A177" s="3" t="s">
        <v>106</v>
      </c>
      <c r="B177" s="165">
        <v>45017</v>
      </c>
      <c r="C177" s="57" t="str">
        <f>IF($B177="","",YEAR($B177)&amp;"-"&amp;IFERROR(VLOOKUP(MONTH(B177),KEY!$AE$5:$AF$16,2,FALSE),""))</f>
        <v>2023-Q2</v>
      </c>
      <c r="D177" s="3" t="s">
        <v>118</v>
      </c>
      <c r="E177" s="219">
        <v>32</v>
      </c>
      <c r="F177" s="166">
        <v>232</v>
      </c>
      <c r="G177" s="166">
        <v>221</v>
      </c>
      <c r="H177" s="21">
        <v>602</v>
      </c>
      <c r="I177" s="21">
        <v>55</v>
      </c>
      <c r="J177" s="21">
        <v>289</v>
      </c>
      <c r="K177" s="21">
        <v>60</v>
      </c>
      <c r="L177" s="21">
        <v>301</v>
      </c>
      <c r="M177" s="21">
        <v>83</v>
      </c>
      <c r="N177" s="21">
        <v>235</v>
      </c>
      <c r="O177" s="19">
        <v>286</v>
      </c>
      <c r="P177" s="22">
        <v>21</v>
      </c>
      <c r="Q177" s="22">
        <v>16</v>
      </c>
      <c r="R177" s="20" t="s">
        <v>51</v>
      </c>
      <c r="S177" s="234">
        <f>COUNTIFS(INP_DATA!$R$5:$R$3027,S$4,INP_DATA!$D$5:$D$3027,$D177,INP_DATA!$B$5:$B$3027,$B177)</f>
        <v>0</v>
      </c>
      <c r="T177" s="235">
        <f>COUNTIFS(INP_DATA!$R$5:$R$3027,T$4,INP_DATA!$D$5:$D$3027,$D177,INP_DATA!$B$5:$B$3027,$B177)</f>
        <v>1</v>
      </c>
    </row>
    <row r="178" spans="1:20" x14ac:dyDescent="0.35">
      <c r="A178" s="3" t="s">
        <v>16</v>
      </c>
      <c r="B178" s="165">
        <v>45017</v>
      </c>
      <c r="C178" s="57" t="str">
        <f>IF($B178="","",YEAR($B178)&amp;"-"&amp;IFERROR(VLOOKUP(MONTH(B178),KEY!$AE$5:$AF$16,2,FALSE),""))</f>
        <v>2023-Q2</v>
      </c>
      <c r="D178" s="3" t="s">
        <v>119</v>
      </c>
      <c r="E178" s="219">
        <v>11</v>
      </c>
      <c r="F178" s="166">
        <v>22</v>
      </c>
      <c r="G178" s="166">
        <v>31</v>
      </c>
      <c r="H178" s="21">
        <v>53</v>
      </c>
      <c r="I178" s="21">
        <v>4</v>
      </c>
      <c r="J178" s="21">
        <v>60</v>
      </c>
      <c r="K178" s="21">
        <v>1</v>
      </c>
      <c r="L178" s="21">
        <v>56</v>
      </c>
      <c r="M178" s="21">
        <v>13</v>
      </c>
      <c r="N178" s="21">
        <v>22</v>
      </c>
      <c r="O178" s="19">
        <v>88</v>
      </c>
      <c r="P178" s="22" t="s">
        <v>194</v>
      </c>
      <c r="Q178" s="22" t="s">
        <v>194</v>
      </c>
      <c r="R178" s="20" t="s">
        <v>194</v>
      </c>
      <c r="S178" s="234">
        <f>COUNTIFS(INP_DATA!$R$5:$R$3027,S$4,INP_DATA!$D$5:$D$3027,$D178,INP_DATA!$B$5:$B$3027,$B178)</f>
        <v>0</v>
      </c>
      <c r="T178" s="235">
        <f>COUNTIFS(INP_DATA!$R$5:$R$3027,T$4,INP_DATA!$D$5:$D$3027,$D178,INP_DATA!$B$5:$B$3027,$B178)</f>
        <v>0</v>
      </c>
    </row>
    <row r="179" spans="1:20" x14ac:dyDescent="0.35">
      <c r="A179" s="3" t="s">
        <v>16</v>
      </c>
      <c r="B179" s="165">
        <v>45017</v>
      </c>
      <c r="C179" s="57" t="str">
        <f>IF($B179="","",YEAR($B179)&amp;"-"&amp;IFERROR(VLOOKUP(MONTH(B179),KEY!$AE$5:$AF$16,2,FALSE),""))</f>
        <v>2023-Q2</v>
      </c>
      <c r="D179" s="3" t="s">
        <v>120</v>
      </c>
      <c r="E179" s="219">
        <v>49</v>
      </c>
      <c r="F179" s="166">
        <v>342</v>
      </c>
      <c r="G179" s="166">
        <v>357</v>
      </c>
      <c r="H179" s="21">
        <v>898</v>
      </c>
      <c r="I179" s="21">
        <v>114</v>
      </c>
      <c r="J179" s="21">
        <v>362</v>
      </c>
      <c r="K179" s="21">
        <v>43</v>
      </c>
      <c r="L179" s="21">
        <v>512</v>
      </c>
      <c r="M179" s="21">
        <v>198</v>
      </c>
      <c r="N179" s="21">
        <v>346</v>
      </c>
      <c r="O179" s="19">
        <v>572</v>
      </c>
      <c r="P179" s="22">
        <v>31</v>
      </c>
      <c r="Q179" s="22">
        <v>20</v>
      </c>
      <c r="R179" s="20" t="s">
        <v>58</v>
      </c>
      <c r="S179" s="234">
        <f>COUNTIFS(INP_DATA!$R$5:$R$3027,S$4,INP_DATA!$D$5:$D$3027,$D179,INP_DATA!$B$5:$B$3027,$B179)</f>
        <v>1</v>
      </c>
      <c r="T179" s="235">
        <f>COUNTIFS(INP_DATA!$R$5:$R$3027,T$4,INP_DATA!$D$5:$D$3027,$D179,INP_DATA!$B$5:$B$3027,$B179)</f>
        <v>0</v>
      </c>
    </row>
    <row r="180" spans="1:20" x14ac:dyDescent="0.35">
      <c r="A180" s="3" t="s">
        <v>109</v>
      </c>
      <c r="B180" s="165">
        <v>45017</v>
      </c>
      <c r="C180" s="57" t="str">
        <f>IF($B180="","",YEAR($B180)&amp;"-"&amp;IFERROR(VLOOKUP(MONTH(B180),KEY!$AE$5:$AF$16,2,FALSE),""))</f>
        <v>2023-Q2</v>
      </c>
      <c r="D180" s="3" t="s">
        <v>121</v>
      </c>
      <c r="E180" s="219">
        <v>50</v>
      </c>
      <c r="F180" s="166">
        <v>205</v>
      </c>
      <c r="G180" s="166">
        <v>256</v>
      </c>
      <c r="H180" s="21">
        <v>720</v>
      </c>
      <c r="I180" s="21">
        <v>63</v>
      </c>
      <c r="J180" s="21">
        <v>233</v>
      </c>
      <c r="K180" s="21">
        <v>37</v>
      </c>
      <c r="L180" s="21">
        <v>399</v>
      </c>
      <c r="M180" s="21">
        <v>105</v>
      </c>
      <c r="N180" s="21">
        <v>208</v>
      </c>
      <c r="O180" s="19">
        <v>418</v>
      </c>
      <c r="P180" s="22">
        <v>20</v>
      </c>
      <c r="Q180" s="22">
        <v>14</v>
      </c>
      <c r="R180" s="20" t="s">
        <v>58</v>
      </c>
      <c r="S180" s="234">
        <f>COUNTIFS(INP_DATA!$R$5:$R$3027,S$4,INP_DATA!$D$5:$D$3027,$D180,INP_DATA!$B$5:$B$3027,$B180)</f>
        <v>1</v>
      </c>
      <c r="T180" s="235">
        <f>COUNTIFS(INP_DATA!$R$5:$R$3027,T$4,INP_DATA!$D$5:$D$3027,$D180,INP_DATA!$B$5:$B$3027,$B180)</f>
        <v>0</v>
      </c>
    </row>
    <row r="181" spans="1:20" x14ac:dyDescent="0.35">
      <c r="A181" s="3" t="s">
        <v>108</v>
      </c>
      <c r="B181" s="165">
        <v>45017</v>
      </c>
      <c r="C181" s="57" t="str">
        <f>IF($B181="","",YEAR($B181)&amp;"-"&amp;IFERROR(VLOOKUP(MONTH(B181),KEY!$AE$5:$AF$16,2,FALSE),""))</f>
        <v>2023-Q2</v>
      </c>
      <c r="D181" s="3" t="s">
        <v>122</v>
      </c>
      <c r="E181" s="219">
        <v>12</v>
      </c>
      <c r="F181" s="166">
        <v>100</v>
      </c>
      <c r="G181" s="166">
        <v>60</v>
      </c>
      <c r="H181" s="21">
        <v>523</v>
      </c>
      <c r="I181" s="21">
        <v>27</v>
      </c>
      <c r="J181" s="21">
        <v>155</v>
      </c>
      <c r="K181" s="21">
        <v>26</v>
      </c>
      <c r="L181" s="21">
        <v>202</v>
      </c>
      <c r="M181" s="21">
        <v>56</v>
      </c>
      <c r="N181" s="21">
        <v>100</v>
      </c>
      <c r="O181" s="19">
        <v>132</v>
      </c>
      <c r="P181" s="22" t="s">
        <v>194</v>
      </c>
      <c r="Q181" s="22" t="s">
        <v>194</v>
      </c>
      <c r="R181" s="20" t="s">
        <v>58</v>
      </c>
      <c r="S181" s="234">
        <f>COUNTIFS(INP_DATA!$R$5:$R$3027,S$4,INP_DATA!$D$5:$D$3027,$D181,INP_DATA!$B$5:$B$3027,$B181)</f>
        <v>1</v>
      </c>
      <c r="T181" s="235">
        <f>COUNTIFS(INP_DATA!$R$5:$R$3027,T$4,INP_DATA!$D$5:$D$3027,$D181,INP_DATA!$B$5:$B$3027,$B181)</f>
        <v>0</v>
      </c>
    </row>
    <row r="182" spans="1:20" x14ac:dyDescent="0.35">
      <c r="A182" s="3" t="s">
        <v>107</v>
      </c>
      <c r="B182" s="165">
        <v>45017</v>
      </c>
      <c r="C182" s="57" t="str">
        <f>IF($B182="","",YEAR($B182)&amp;"-"&amp;IFERROR(VLOOKUP(MONTH(B182),KEY!$AE$5:$AF$16,2,FALSE),""))</f>
        <v>2023-Q2</v>
      </c>
      <c r="D182" s="3" t="s">
        <v>123</v>
      </c>
      <c r="E182" s="219">
        <v>21</v>
      </c>
      <c r="F182" s="166">
        <v>222</v>
      </c>
      <c r="G182" s="166">
        <v>197</v>
      </c>
      <c r="H182" s="21">
        <v>409</v>
      </c>
      <c r="I182" s="21">
        <v>63</v>
      </c>
      <c r="J182" s="21">
        <v>204</v>
      </c>
      <c r="K182" s="21">
        <v>28</v>
      </c>
      <c r="L182" s="21">
        <v>343</v>
      </c>
      <c r="M182" s="21">
        <v>139</v>
      </c>
      <c r="N182" s="21">
        <v>226</v>
      </c>
      <c r="O182" s="19">
        <v>330</v>
      </c>
      <c r="P182" s="22">
        <v>19</v>
      </c>
      <c r="Q182" s="22">
        <v>12</v>
      </c>
      <c r="R182" s="20" t="s">
        <v>58</v>
      </c>
      <c r="S182" s="234">
        <f>COUNTIFS(INP_DATA!$R$5:$R$3027,S$4,INP_DATA!$D$5:$D$3027,$D182,INP_DATA!$B$5:$B$3027,$B182)</f>
        <v>1</v>
      </c>
      <c r="T182" s="235">
        <f>COUNTIFS(INP_DATA!$R$5:$R$3027,T$4,INP_DATA!$D$5:$D$3027,$D182,INP_DATA!$B$5:$B$3027,$B182)</f>
        <v>0</v>
      </c>
    </row>
    <row r="183" spans="1:20" x14ac:dyDescent="0.35">
      <c r="A183" s="3" t="s">
        <v>108</v>
      </c>
      <c r="B183" s="165">
        <v>45017</v>
      </c>
      <c r="C183" s="57" t="str">
        <f>IF($B183="","",YEAR($B183)&amp;"-"&amp;IFERROR(VLOOKUP(MONTH(B183),KEY!$AE$5:$AF$16,2,FALSE),""))</f>
        <v>2023-Q2</v>
      </c>
      <c r="D183" s="3" t="s">
        <v>124</v>
      </c>
      <c r="E183" s="219">
        <v>82</v>
      </c>
      <c r="F183" s="166">
        <v>230</v>
      </c>
      <c r="G183" s="166">
        <v>239</v>
      </c>
      <c r="H183" s="21">
        <v>489</v>
      </c>
      <c r="I183" s="21">
        <v>59</v>
      </c>
      <c r="J183" s="21">
        <v>240</v>
      </c>
      <c r="K183" s="21">
        <v>29</v>
      </c>
      <c r="L183" s="21">
        <v>389</v>
      </c>
      <c r="M183" s="21">
        <v>145</v>
      </c>
      <c r="N183" s="21">
        <v>229</v>
      </c>
      <c r="O183" s="19">
        <v>440</v>
      </c>
      <c r="P183" s="22">
        <v>17</v>
      </c>
      <c r="Q183" s="22">
        <v>12</v>
      </c>
      <c r="R183" s="20" t="s">
        <v>58</v>
      </c>
      <c r="S183" s="234">
        <f>COUNTIFS(INP_DATA!$R$5:$R$3027,S$4,INP_DATA!$D$5:$D$3027,$D183,INP_DATA!$B$5:$B$3027,$B183)</f>
        <v>1</v>
      </c>
      <c r="T183" s="235">
        <f>COUNTIFS(INP_DATA!$R$5:$R$3027,T$4,INP_DATA!$D$5:$D$3027,$D183,INP_DATA!$B$5:$B$3027,$B183)</f>
        <v>0</v>
      </c>
    </row>
    <row r="184" spans="1:20" x14ac:dyDescent="0.35">
      <c r="A184" s="3" t="s">
        <v>106</v>
      </c>
      <c r="B184" s="165">
        <v>45017</v>
      </c>
      <c r="C184" s="57" t="str">
        <f>IF($B184="","",YEAR($B184)&amp;"-"&amp;IFERROR(VLOOKUP(MONTH(B184),KEY!$AE$5:$AF$16,2,FALSE),""))</f>
        <v>2023-Q2</v>
      </c>
      <c r="D184" s="3" t="s">
        <v>195</v>
      </c>
      <c r="E184" s="219">
        <v>9</v>
      </c>
      <c r="F184" s="166">
        <v>43</v>
      </c>
      <c r="G184" s="166">
        <v>42</v>
      </c>
      <c r="H184" s="21">
        <v>155</v>
      </c>
      <c r="I184" s="21">
        <v>14</v>
      </c>
      <c r="J184" s="21">
        <v>37</v>
      </c>
      <c r="K184" s="21">
        <v>11</v>
      </c>
      <c r="L184" s="21">
        <v>86</v>
      </c>
      <c r="M184" s="21">
        <v>30</v>
      </c>
      <c r="N184" s="21">
        <v>43</v>
      </c>
      <c r="O184" s="19">
        <v>88</v>
      </c>
      <c r="P184" s="22">
        <v>4</v>
      </c>
      <c r="Q184" s="22">
        <v>4</v>
      </c>
      <c r="R184" s="20" t="s">
        <v>58</v>
      </c>
      <c r="S184" s="234">
        <f>COUNTIFS(INP_DATA!$R$5:$R$3027,S$4,INP_DATA!$D$5:$D$3027,$D184,INP_DATA!$B$5:$B$3027,$B184)</f>
        <v>1</v>
      </c>
      <c r="T184" s="235">
        <f>COUNTIFS(INP_DATA!$R$5:$R$3027,T$4,INP_DATA!$D$5:$D$3027,$D184,INP_DATA!$B$5:$B$3027,$B184)</f>
        <v>0</v>
      </c>
    </row>
    <row r="185" spans="1:20" x14ac:dyDescent="0.35">
      <c r="A185" s="3" t="s">
        <v>106</v>
      </c>
      <c r="B185" s="165">
        <v>45017</v>
      </c>
      <c r="C185" s="57" t="str">
        <f>IF($B185="","",YEAR($B185)&amp;"-"&amp;IFERROR(VLOOKUP(MONTH(B185),KEY!$AE$5:$AF$16,2,FALSE),""))</f>
        <v>2023-Q2</v>
      </c>
      <c r="D185" s="3" t="s">
        <v>125</v>
      </c>
      <c r="E185" s="219">
        <v>25</v>
      </c>
      <c r="F185" s="166">
        <v>239</v>
      </c>
      <c r="G185" s="166">
        <v>167</v>
      </c>
      <c r="H185" s="21">
        <v>724</v>
      </c>
      <c r="I185" s="21">
        <v>84</v>
      </c>
      <c r="J185" s="21">
        <v>255</v>
      </c>
      <c r="K185" s="21">
        <v>30</v>
      </c>
      <c r="L185" s="21">
        <v>574</v>
      </c>
      <c r="M185" s="21">
        <v>111</v>
      </c>
      <c r="N185" s="21">
        <v>253</v>
      </c>
      <c r="O185" s="19">
        <v>396</v>
      </c>
      <c r="P185" s="22">
        <v>8</v>
      </c>
      <c r="Q185" s="22">
        <v>7</v>
      </c>
      <c r="R185" s="20" t="s">
        <v>58</v>
      </c>
      <c r="S185" s="234">
        <f>COUNTIFS(INP_DATA!$R$5:$R$3027,S$4,INP_DATA!$D$5:$D$3027,$D185,INP_DATA!$B$5:$B$3027,$B185)</f>
        <v>1</v>
      </c>
      <c r="T185" s="235">
        <f>COUNTIFS(INP_DATA!$R$5:$R$3027,T$4,INP_DATA!$D$5:$D$3027,$D185,INP_DATA!$B$5:$B$3027,$B185)</f>
        <v>0</v>
      </c>
    </row>
    <row r="186" spans="1:20" x14ac:dyDescent="0.35">
      <c r="A186" s="3" t="s">
        <v>107</v>
      </c>
      <c r="B186" s="165">
        <v>45017</v>
      </c>
      <c r="C186" s="57" t="str">
        <f>IF($B186="","",YEAR($B186)&amp;"-"&amp;IFERROR(VLOOKUP(MONTH(B186),KEY!$AE$5:$AF$16,2,FALSE),""))</f>
        <v>2023-Q2</v>
      </c>
      <c r="D186" s="3" t="s">
        <v>126</v>
      </c>
      <c r="E186" s="219">
        <v>115</v>
      </c>
      <c r="F186" s="166">
        <v>564</v>
      </c>
      <c r="G186" s="166">
        <v>440</v>
      </c>
      <c r="H186" s="21">
        <v>841</v>
      </c>
      <c r="I186" s="21">
        <v>154</v>
      </c>
      <c r="J186" s="21">
        <v>602</v>
      </c>
      <c r="K186" s="21">
        <v>193</v>
      </c>
      <c r="L186" s="21">
        <v>852</v>
      </c>
      <c r="M186" s="21">
        <v>325</v>
      </c>
      <c r="N186" s="21">
        <v>569</v>
      </c>
      <c r="O186" s="19">
        <v>770</v>
      </c>
      <c r="P186" s="22">
        <v>63</v>
      </c>
      <c r="Q186" s="22">
        <v>34</v>
      </c>
      <c r="R186" s="20" t="s">
        <v>58</v>
      </c>
      <c r="S186" s="234">
        <f>COUNTIFS(INP_DATA!$R$5:$R$3027,S$4,INP_DATA!$D$5:$D$3027,$D186,INP_DATA!$B$5:$B$3027,$B186)</f>
        <v>1</v>
      </c>
      <c r="T186" s="235">
        <f>COUNTIFS(INP_DATA!$R$5:$R$3027,T$4,INP_DATA!$D$5:$D$3027,$D186,INP_DATA!$B$5:$B$3027,$B186)</f>
        <v>0</v>
      </c>
    </row>
    <row r="187" spans="1:20" x14ac:dyDescent="0.35">
      <c r="A187" s="3" t="s">
        <v>107</v>
      </c>
      <c r="B187" s="165">
        <v>45017</v>
      </c>
      <c r="C187" s="57" t="str">
        <f>IF($B187="","",YEAR($B187)&amp;"-"&amp;IFERROR(VLOOKUP(MONTH(B187),KEY!$AE$5:$AF$16,2,FALSE),""))</f>
        <v>2023-Q2</v>
      </c>
      <c r="D187" s="3" t="s">
        <v>127</v>
      </c>
      <c r="E187" s="219">
        <v>4</v>
      </c>
      <c r="F187" s="166">
        <v>48</v>
      </c>
      <c r="G187" s="166">
        <v>45</v>
      </c>
      <c r="H187" s="21">
        <v>131</v>
      </c>
      <c r="I187" s="21">
        <v>20</v>
      </c>
      <c r="J187" s="21">
        <v>47</v>
      </c>
      <c r="K187" s="21">
        <v>5</v>
      </c>
      <c r="L187" s="21">
        <v>74</v>
      </c>
      <c r="M187" s="21">
        <v>36</v>
      </c>
      <c r="N187" s="21">
        <v>50</v>
      </c>
      <c r="O187" s="19">
        <v>88</v>
      </c>
      <c r="P187" s="22">
        <v>11</v>
      </c>
      <c r="Q187" s="22">
        <v>7</v>
      </c>
      <c r="R187" s="20" t="s">
        <v>58</v>
      </c>
      <c r="S187" s="234">
        <f>COUNTIFS(INP_DATA!$R$5:$R$3027,S$4,INP_DATA!$D$5:$D$3027,$D187,INP_DATA!$B$5:$B$3027,$B187)</f>
        <v>1</v>
      </c>
      <c r="T187" s="235">
        <f>COUNTIFS(INP_DATA!$R$5:$R$3027,T$4,INP_DATA!$D$5:$D$3027,$D187,INP_DATA!$B$5:$B$3027,$B187)</f>
        <v>0</v>
      </c>
    </row>
    <row r="188" spans="1:20" x14ac:dyDescent="0.35">
      <c r="A188" s="3" t="s">
        <v>109</v>
      </c>
      <c r="B188" s="165">
        <v>45017</v>
      </c>
      <c r="C188" s="57" t="str">
        <f>IF($B188="","",YEAR($B188)&amp;"-"&amp;IFERROR(VLOOKUP(MONTH(B188),KEY!$AE$5:$AF$16,2,FALSE),""))</f>
        <v>2023-Q2</v>
      </c>
      <c r="D188" s="3" t="s">
        <v>128</v>
      </c>
      <c r="E188" s="219">
        <v>7</v>
      </c>
      <c r="F188" s="166">
        <v>265</v>
      </c>
      <c r="G188" s="166">
        <v>203</v>
      </c>
      <c r="H188" s="21">
        <v>758</v>
      </c>
      <c r="I188" s="21">
        <v>75</v>
      </c>
      <c r="J188" s="21">
        <v>374</v>
      </c>
      <c r="K188" s="21">
        <v>77</v>
      </c>
      <c r="L188" s="21">
        <v>453</v>
      </c>
      <c r="M188" s="21">
        <v>171</v>
      </c>
      <c r="N188" s="21">
        <v>266</v>
      </c>
      <c r="O188" s="19">
        <v>264</v>
      </c>
      <c r="P188" s="22" t="s">
        <v>194</v>
      </c>
      <c r="Q188" s="22" t="s">
        <v>194</v>
      </c>
      <c r="R188" s="20" t="s">
        <v>58</v>
      </c>
      <c r="S188" s="234">
        <f>COUNTIFS(INP_DATA!$R$5:$R$3027,S$4,INP_DATA!$D$5:$D$3027,$D188,INP_DATA!$B$5:$B$3027,$B188)</f>
        <v>1</v>
      </c>
      <c r="T188" s="235">
        <f>COUNTIFS(INP_DATA!$R$5:$R$3027,T$4,INP_DATA!$D$5:$D$3027,$D188,INP_DATA!$B$5:$B$3027,$B188)</f>
        <v>0</v>
      </c>
    </row>
    <row r="189" spans="1:20" x14ac:dyDescent="0.35">
      <c r="A189" s="3" t="s">
        <v>106</v>
      </c>
      <c r="B189" s="165">
        <v>45017</v>
      </c>
      <c r="C189" s="57" t="str">
        <f>IF($B189="","",YEAR($B189)&amp;"-"&amp;IFERROR(VLOOKUP(MONTH(B189),KEY!$AE$5:$AF$16,2,FALSE),""))</f>
        <v>2023-Q2</v>
      </c>
      <c r="D189" s="3" t="s">
        <v>129</v>
      </c>
      <c r="E189" s="219">
        <v>21</v>
      </c>
      <c r="F189" s="166">
        <v>182</v>
      </c>
      <c r="G189" s="166">
        <v>169</v>
      </c>
      <c r="H189" s="21">
        <v>268</v>
      </c>
      <c r="I189" s="21">
        <v>43</v>
      </c>
      <c r="J189" s="21">
        <v>247</v>
      </c>
      <c r="K189" s="21">
        <v>32</v>
      </c>
      <c r="L189" s="21">
        <v>344</v>
      </c>
      <c r="M189" s="21">
        <v>78</v>
      </c>
      <c r="N189" s="21">
        <v>185</v>
      </c>
      <c r="O189" s="19">
        <v>286</v>
      </c>
      <c r="P189" s="22">
        <v>10</v>
      </c>
      <c r="Q189" s="22">
        <v>6</v>
      </c>
      <c r="R189" s="20" t="s">
        <v>51</v>
      </c>
      <c r="S189" s="234">
        <f>COUNTIFS(INP_DATA!$R$5:$R$3027,S$4,INP_DATA!$D$5:$D$3027,$D189,INP_DATA!$B$5:$B$3027,$B189)</f>
        <v>0</v>
      </c>
      <c r="T189" s="235">
        <f>COUNTIFS(INP_DATA!$R$5:$R$3027,T$4,INP_DATA!$D$5:$D$3027,$D189,INP_DATA!$B$5:$B$3027,$B189)</f>
        <v>1</v>
      </c>
    </row>
    <row r="190" spans="1:20" x14ac:dyDescent="0.35">
      <c r="A190" s="3" t="s">
        <v>108</v>
      </c>
      <c r="B190" s="165">
        <v>45017</v>
      </c>
      <c r="C190" s="57" t="str">
        <f>IF($B190="","",YEAR($B190)&amp;"-"&amp;IFERROR(VLOOKUP(MONTH(B190),KEY!$AE$5:$AF$16,2,FALSE),""))</f>
        <v>2023-Q2</v>
      </c>
      <c r="D190" s="3" t="s">
        <v>130</v>
      </c>
      <c r="E190" s="219">
        <v>31</v>
      </c>
      <c r="F190" s="166">
        <v>149</v>
      </c>
      <c r="G190" s="166">
        <v>119</v>
      </c>
      <c r="H190" s="21">
        <v>208</v>
      </c>
      <c r="I190" s="21">
        <v>41</v>
      </c>
      <c r="J190" s="21">
        <v>149</v>
      </c>
      <c r="K190" s="21">
        <v>44</v>
      </c>
      <c r="L190" s="21">
        <v>161</v>
      </c>
      <c r="M190" s="21">
        <v>65</v>
      </c>
      <c r="N190" s="21">
        <v>152</v>
      </c>
      <c r="O190" s="19">
        <v>132</v>
      </c>
      <c r="P190" s="22">
        <v>17</v>
      </c>
      <c r="Q190" s="22">
        <v>14</v>
      </c>
      <c r="R190" s="20" t="s">
        <v>51</v>
      </c>
      <c r="S190" s="234">
        <f>COUNTIFS(INP_DATA!$R$5:$R$3027,S$4,INP_DATA!$D$5:$D$3027,$D190,INP_DATA!$B$5:$B$3027,$B190)</f>
        <v>0</v>
      </c>
      <c r="T190" s="235">
        <f>COUNTIFS(INP_DATA!$R$5:$R$3027,T$4,INP_DATA!$D$5:$D$3027,$D190,INP_DATA!$B$5:$B$3027,$B190)</f>
        <v>1</v>
      </c>
    </row>
    <row r="191" spans="1:20" x14ac:dyDescent="0.35">
      <c r="A191" s="3" t="s">
        <v>109</v>
      </c>
      <c r="B191" s="165">
        <v>45017</v>
      </c>
      <c r="C191" s="57" t="str">
        <f>IF($B191="","",YEAR($B191)&amp;"-"&amp;IFERROR(VLOOKUP(MONTH(B191),KEY!$AE$5:$AF$16,2,FALSE),""))</f>
        <v>2023-Q2</v>
      </c>
      <c r="D191" s="3" t="s">
        <v>131</v>
      </c>
      <c r="E191" s="219">
        <v>49</v>
      </c>
      <c r="F191" s="166">
        <v>200</v>
      </c>
      <c r="G191" s="166">
        <v>183</v>
      </c>
      <c r="H191" s="21">
        <v>175</v>
      </c>
      <c r="I191" s="21">
        <v>23</v>
      </c>
      <c r="J191" s="21">
        <v>133</v>
      </c>
      <c r="K191" s="21">
        <v>33</v>
      </c>
      <c r="L191" s="21">
        <v>202</v>
      </c>
      <c r="M191" s="21">
        <v>54</v>
      </c>
      <c r="N191" s="21">
        <v>211</v>
      </c>
      <c r="O191" s="19">
        <v>264</v>
      </c>
      <c r="P191" s="22">
        <v>1</v>
      </c>
      <c r="Q191" s="22">
        <v>1</v>
      </c>
      <c r="R191" s="20" t="s">
        <v>58</v>
      </c>
      <c r="S191" s="234">
        <f>COUNTIFS(INP_DATA!$R$5:$R$3027,S$4,INP_DATA!$D$5:$D$3027,$D191,INP_DATA!$B$5:$B$3027,$B191)</f>
        <v>1</v>
      </c>
      <c r="T191" s="235">
        <f>COUNTIFS(INP_DATA!$R$5:$R$3027,T$4,INP_DATA!$D$5:$D$3027,$D191,INP_DATA!$B$5:$B$3027,$B191)</f>
        <v>0</v>
      </c>
    </row>
    <row r="192" spans="1:20" x14ac:dyDescent="0.35">
      <c r="A192" s="3" t="s">
        <v>108</v>
      </c>
      <c r="B192" s="165">
        <v>45017</v>
      </c>
      <c r="C192" s="57" t="str">
        <f>IF($B192="","",YEAR($B192)&amp;"-"&amp;IFERROR(VLOOKUP(MONTH(B192),KEY!$AE$5:$AF$16,2,FALSE),""))</f>
        <v>2023-Q2</v>
      </c>
      <c r="D192" s="3" t="s">
        <v>134</v>
      </c>
      <c r="E192" s="219">
        <v>13</v>
      </c>
      <c r="F192" s="166">
        <v>44</v>
      </c>
      <c r="G192" s="166">
        <v>48</v>
      </c>
      <c r="H192" s="21">
        <v>83</v>
      </c>
      <c r="I192" s="21">
        <v>10</v>
      </c>
      <c r="J192" s="21">
        <v>34</v>
      </c>
      <c r="K192" s="21">
        <v>7</v>
      </c>
      <c r="L192" s="21">
        <v>68</v>
      </c>
      <c r="M192" s="21">
        <v>32</v>
      </c>
      <c r="N192" s="21">
        <v>45</v>
      </c>
      <c r="O192" s="19">
        <v>88</v>
      </c>
      <c r="P192" s="22">
        <v>12</v>
      </c>
      <c r="Q192" s="22">
        <v>9</v>
      </c>
      <c r="R192" s="20" t="s">
        <v>51</v>
      </c>
      <c r="S192" s="234">
        <f>COUNTIFS(INP_DATA!$R$5:$R$3027,S$4,INP_DATA!$D$5:$D$3027,$D192,INP_DATA!$B$5:$B$3027,$B192)</f>
        <v>0</v>
      </c>
      <c r="T192" s="235">
        <f>COUNTIFS(INP_DATA!$R$5:$R$3027,T$4,INP_DATA!$D$5:$D$3027,$D192,INP_DATA!$B$5:$B$3027,$B192)</f>
        <v>1</v>
      </c>
    </row>
    <row r="193" spans="1:20" x14ac:dyDescent="0.35">
      <c r="A193" s="3" t="s">
        <v>108</v>
      </c>
      <c r="B193" s="165">
        <v>45017</v>
      </c>
      <c r="C193" s="57" t="str">
        <f>IF($B193="","",YEAR($B193)&amp;"-"&amp;IFERROR(VLOOKUP(MONTH(B193),KEY!$AE$5:$AF$16,2,FALSE),""))</f>
        <v>2023-Q2</v>
      </c>
      <c r="D193" s="3" t="s">
        <v>135</v>
      </c>
      <c r="E193" s="219">
        <v>55</v>
      </c>
      <c r="F193" s="166">
        <v>172</v>
      </c>
      <c r="G193" s="166">
        <v>279</v>
      </c>
      <c r="H193" s="21">
        <v>424</v>
      </c>
      <c r="I193" s="21">
        <v>47</v>
      </c>
      <c r="J193" s="21">
        <v>158</v>
      </c>
      <c r="K193" s="21">
        <v>35</v>
      </c>
      <c r="L193" s="21">
        <v>510</v>
      </c>
      <c r="M193" s="21">
        <v>101</v>
      </c>
      <c r="N193" s="21">
        <v>174</v>
      </c>
      <c r="O193" s="19">
        <v>264</v>
      </c>
      <c r="P193" s="22">
        <v>27</v>
      </c>
      <c r="Q193" s="22">
        <v>19</v>
      </c>
      <c r="R193" s="20" t="s">
        <v>51</v>
      </c>
      <c r="S193" s="234">
        <f>COUNTIFS(INP_DATA!$R$5:$R$3027,S$4,INP_DATA!$D$5:$D$3027,$D193,INP_DATA!$B$5:$B$3027,$B193)</f>
        <v>0</v>
      </c>
      <c r="T193" s="235">
        <f>COUNTIFS(INP_DATA!$R$5:$R$3027,T$4,INP_DATA!$D$5:$D$3027,$D193,INP_DATA!$B$5:$B$3027,$B193)</f>
        <v>1</v>
      </c>
    </row>
    <row r="194" spans="1:20" x14ac:dyDescent="0.35">
      <c r="A194" s="3" t="s">
        <v>16</v>
      </c>
      <c r="B194" s="165">
        <v>45017</v>
      </c>
      <c r="C194" s="57" t="str">
        <f>IF($B194="","",YEAR($B194)&amp;"-"&amp;IFERROR(VLOOKUP(MONTH(B194),KEY!$AE$5:$AF$16,2,FALSE),""))</f>
        <v>2023-Q2</v>
      </c>
      <c r="D194" s="3" t="s">
        <v>196</v>
      </c>
      <c r="E194" s="219">
        <v>9</v>
      </c>
      <c r="F194" s="166">
        <v>28</v>
      </c>
      <c r="G194" s="166">
        <v>50</v>
      </c>
      <c r="H194" s="21">
        <v>65</v>
      </c>
      <c r="I194" s="21">
        <v>11</v>
      </c>
      <c r="J194" s="21">
        <v>61</v>
      </c>
      <c r="K194" s="21">
        <v>5</v>
      </c>
      <c r="L194" s="21">
        <v>56</v>
      </c>
      <c r="M194" s="21">
        <v>15</v>
      </c>
      <c r="N194" s="21">
        <v>28</v>
      </c>
      <c r="O194" s="19">
        <v>110</v>
      </c>
      <c r="P194" s="22">
        <v>8</v>
      </c>
      <c r="Q194" s="22">
        <v>5</v>
      </c>
      <c r="R194" s="20" t="s">
        <v>58</v>
      </c>
      <c r="S194" s="234">
        <f>COUNTIFS(INP_DATA!$R$5:$R$3027,S$4,INP_DATA!$D$5:$D$3027,$D194,INP_DATA!$B$5:$B$3027,$B194)</f>
        <v>1</v>
      </c>
      <c r="T194" s="235">
        <f>COUNTIFS(INP_DATA!$R$5:$R$3027,T$4,INP_DATA!$D$5:$D$3027,$D194,INP_DATA!$B$5:$B$3027,$B194)</f>
        <v>0</v>
      </c>
    </row>
    <row r="195" spans="1:20" x14ac:dyDescent="0.35">
      <c r="A195" s="3" t="s">
        <v>16</v>
      </c>
      <c r="B195" s="165">
        <v>45017</v>
      </c>
      <c r="C195" s="57" t="str">
        <f>IF($B195="","",YEAR($B195)&amp;"-"&amp;IFERROR(VLOOKUP(MONTH(B195),KEY!$AE$5:$AF$16,2,FALSE),""))</f>
        <v>2023-Q2</v>
      </c>
      <c r="D195" s="3" t="s">
        <v>197</v>
      </c>
      <c r="E195" s="219">
        <v>32</v>
      </c>
      <c r="F195" s="166">
        <v>114</v>
      </c>
      <c r="G195" s="166">
        <v>97</v>
      </c>
      <c r="H195" s="21">
        <v>165</v>
      </c>
      <c r="I195" s="21">
        <v>26</v>
      </c>
      <c r="J195" s="21">
        <v>103</v>
      </c>
      <c r="K195" s="21">
        <v>21</v>
      </c>
      <c r="L195" s="21">
        <v>136</v>
      </c>
      <c r="M195" s="21">
        <v>67</v>
      </c>
      <c r="N195" s="21">
        <v>117</v>
      </c>
      <c r="O195" s="19">
        <v>176</v>
      </c>
      <c r="P195" s="22">
        <v>12</v>
      </c>
      <c r="Q195" s="22">
        <v>8</v>
      </c>
      <c r="R195" s="20" t="s">
        <v>58</v>
      </c>
      <c r="S195" s="234">
        <f>COUNTIFS(INP_DATA!$R$5:$R$3027,S$4,INP_DATA!$D$5:$D$3027,$D195,INP_DATA!$B$5:$B$3027,$B195)</f>
        <v>1</v>
      </c>
      <c r="T195" s="235">
        <f>COUNTIFS(INP_DATA!$R$5:$R$3027,T$4,INP_DATA!$D$5:$D$3027,$D195,INP_DATA!$B$5:$B$3027,$B195)</f>
        <v>0</v>
      </c>
    </row>
    <row r="196" spans="1:20" x14ac:dyDescent="0.35">
      <c r="A196" s="3" t="s">
        <v>109</v>
      </c>
      <c r="B196" s="165">
        <v>45017</v>
      </c>
      <c r="C196" s="57" t="str">
        <f>IF($B196="","",YEAR($B196)&amp;"-"&amp;IFERROR(VLOOKUP(MONTH(B196),KEY!$AE$5:$AF$16,2,FALSE),""))</f>
        <v>2023-Q2</v>
      </c>
      <c r="D196" s="3" t="s">
        <v>136</v>
      </c>
      <c r="E196" s="219">
        <v>74</v>
      </c>
      <c r="F196" s="166">
        <v>247</v>
      </c>
      <c r="G196" s="166">
        <v>210</v>
      </c>
      <c r="H196" s="21">
        <v>534</v>
      </c>
      <c r="I196" s="21">
        <v>56</v>
      </c>
      <c r="J196" s="21">
        <v>333</v>
      </c>
      <c r="K196" s="21">
        <v>30</v>
      </c>
      <c r="L196" s="21">
        <v>289</v>
      </c>
      <c r="M196" s="21">
        <v>143</v>
      </c>
      <c r="N196" s="21">
        <v>247</v>
      </c>
      <c r="O196" s="19">
        <v>330</v>
      </c>
      <c r="P196" s="22">
        <v>35</v>
      </c>
      <c r="Q196" s="22">
        <v>30</v>
      </c>
      <c r="R196" s="20" t="s">
        <v>51</v>
      </c>
      <c r="S196" s="234">
        <f>COUNTIFS(INP_DATA!$R$5:$R$3027,S$4,INP_DATA!$D$5:$D$3027,$D196,INP_DATA!$B$5:$B$3027,$B196)</f>
        <v>0</v>
      </c>
      <c r="T196" s="235">
        <f>COUNTIFS(INP_DATA!$R$5:$R$3027,T$4,INP_DATA!$D$5:$D$3027,$D196,INP_DATA!$B$5:$B$3027,$B196)</f>
        <v>1</v>
      </c>
    </row>
    <row r="197" spans="1:20" x14ac:dyDescent="0.35">
      <c r="A197" s="3" t="s">
        <v>16</v>
      </c>
      <c r="B197" s="165">
        <v>45017</v>
      </c>
      <c r="C197" s="57" t="str">
        <f>IF($B197="","",YEAR($B197)&amp;"-"&amp;IFERROR(VLOOKUP(MONTH(B197),KEY!$AE$5:$AF$16,2,FALSE),""))</f>
        <v>2023-Q2</v>
      </c>
      <c r="D197" s="3" t="s">
        <v>137</v>
      </c>
      <c r="E197" s="219">
        <v>18</v>
      </c>
      <c r="F197" s="166">
        <v>83</v>
      </c>
      <c r="G197" s="166">
        <v>77</v>
      </c>
      <c r="H197" s="21">
        <v>242</v>
      </c>
      <c r="I197" s="21">
        <v>26</v>
      </c>
      <c r="J197" s="21">
        <v>144</v>
      </c>
      <c r="K197" s="21">
        <v>18</v>
      </c>
      <c r="L197" s="21">
        <v>120</v>
      </c>
      <c r="M197" s="21">
        <v>60</v>
      </c>
      <c r="N197" s="21">
        <v>88</v>
      </c>
      <c r="O197" s="19">
        <v>154</v>
      </c>
      <c r="P197" s="22">
        <v>15</v>
      </c>
      <c r="Q197" s="22">
        <v>2</v>
      </c>
      <c r="R197" s="20" t="s">
        <v>58</v>
      </c>
      <c r="S197" s="234">
        <f>COUNTIFS(INP_DATA!$R$5:$R$3027,S$4,INP_DATA!$D$5:$D$3027,$D197,INP_DATA!$B$5:$B$3027,$B197)</f>
        <v>1</v>
      </c>
      <c r="T197" s="235">
        <f>COUNTIFS(INP_DATA!$R$5:$R$3027,T$4,INP_DATA!$D$5:$D$3027,$D197,INP_DATA!$B$5:$B$3027,$B197)</f>
        <v>0</v>
      </c>
    </row>
    <row r="198" spans="1:20" x14ac:dyDescent="0.35">
      <c r="A198" s="3" t="s">
        <v>109</v>
      </c>
      <c r="B198" s="165">
        <v>45017</v>
      </c>
      <c r="C198" s="57" t="str">
        <f>IF($B198="","",YEAR($B198)&amp;"-"&amp;IFERROR(VLOOKUP(MONTH(B198),KEY!$AE$5:$AF$16,2,FALSE),""))</f>
        <v>2023-Q2</v>
      </c>
      <c r="D198" s="3" t="s">
        <v>138</v>
      </c>
      <c r="E198" s="219">
        <v>17</v>
      </c>
      <c r="F198" s="166">
        <v>114</v>
      </c>
      <c r="G198" s="166">
        <v>107</v>
      </c>
      <c r="H198" s="21">
        <v>258</v>
      </c>
      <c r="I198" s="21">
        <v>41</v>
      </c>
      <c r="J198" s="21">
        <v>121</v>
      </c>
      <c r="K198" s="21">
        <v>29</v>
      </c>
      <c r="L198" s="21">
        <v>182</v>
      </c>
      <c r="M198" s="21">
        <v>84</v>
      </c>
      <c r="N198" s="21">
        <v>115</v>
      </c>
      <c r="O198" s="19">
        <v>110</v>
      </c>
      <c r="P198" s="22">
        <v>13</v>
      </c>
      <c r="Q198" s="22">
        <v>9</v>
      </c>
      <c r="R198" s="20" t="s">
        <v>58</v>
      </c>
      <c r="S198" s="234">
        <f>COUNTIFS(INP_DATA!$R$5:$R$3027,S$4,INP_DATA!$D$5:$D$3027,$D198,INP_DATA!$B$5:$B$3027,$B198)</f>
        <v>1</v>
      </c>
      <c r="T198" s="235">
        <f>COUNTIFS(INP_DATA!$R$5:$R$3027,T$4,INP_DATA!$D$5:$D$3027,$D198,INP_DATA!$B$5:$B$3027,$B198)</f>
        <v>0</v>
      </c>
    </row>
    <row r="199" spans="1:20" x14ac:dyDescent="0.35">
      <c r="A199" s="3" t="s">
        <v>108</v>
      </c>
      <c r="B199" s="165">
        <v>45017</v>
      </c>
      <c r="C199" s="57" t="str">
        <f>IF($B199="","",YEAR($B199)&amp;"-"&amp;IFERROR(VLOOKUP(MONTH(B199),KEY!$AE$5:$AF$16,2,FALSE),""))</f>
        <v>2023-Q2</v>
      </c>
      <c r="D199" s="3" t="s">
        <v>139</v>
      </c>
      <c r="E199" s="219">
        <v>24</v>
      </c>
      <c r="F199" s="166">
        <v>180</v>
      </c>
      <c r="G199" s="166">
        <v>164</v>
      </c>
      <c r="H199" s="21">
        <v>368</v>
      </c>
      <c r="I199" s="21">
        <v>48</v>
      </c>
      <c r="J199" s="21">
        <v>213</v>
      </c>
      <c r="K199" s="21">
        <v>24</v>
      </c>
      <c r="L199" s="21">
        <v>259</v>
      </c>
      <c r="M199" s="21">
        <v>103</v>
      </c>
      <c r="N199" s="21">
        <v>183</v>
      </c>
      <c r="O199" s="19">
        <v>286</v>
      </c>
      <c r="P199" s="22">
        <v>28</v>
      </c>
      <c r="Q199" s="22">
        <v>19</v>
      </c>
      <c r="R199" s="20" t="s">
        <v>58</v>
      </c>
      <c r="S199" s="234">
        <f>COUNTIFS(INP_DATA!$R$5:$R$3027,S$4,INP_DATA!$D$5:$D$3027,$D199,INP_DATA!$B$5:$B$3027,$B199)</f>
        <v>1</v>
      </c>
      <c r="T199" s="235">
        <f>COUNTIFS(INP_DATA!$R$5:$R$3027,T$4,INP_DATA!$D$5:$D$3027,$D199,INP_DATA!$B$5:$B$3027,$B199)</f>
        <v>0</v>
      </c>
    </row>
    <row r="200" spans="1:20" x14ac:dyDescent="0.35">
      <c r="A200" s="3" t="s">
        <v>107</v>
      </c>
      <c r="B200" s="165">
        <v>45017</v>
      </c>
      <c r="C200" s="57" t="str">
        <f>IF($B200="","",YEAR($B200)&amp;"-"&amp;IFERROR(VLOOKUP(MONTH(B200),KEY!$AE$5:$AF$16,2,FALSE),""))</f>
        <v>2023-Q2</v>
      </c>
      <c r="D200" s="3" t="s">
        <v>140</v>
      </c>
      <c r="E200" s="219">
        <v>4</v>
      </c>
      <c r="F200" s="166">
        <v>31</v>
      </c>
      <c r="G200" s="166">
        <v>28</v>
      </c>
      <c r="H200" s="21">
        <v>141</v>
      </c>
      <c r="I200" s="21">
        <v>17</v>
      </c>
      <c r="J200" s="21">
        <v>48</v>
      </c>
      <c r="K200" s="21">
        <v>1</v>
      </c>
      <c r="L200" s="21">
        <v>40</v>
      </c>
      <c r="M200" s="21">
        <v>15</v>
      </c>
      <c r="N200" s="21">
        <v>35</v>
      </c>
      <c r="O200" s="19">
        <v>66</v>
      </c>
      <c r="P200" s="22">
        <v>6</v>
      </c>
      <c r="Q200" s="22">
        <v>4</v>
      </c>
      <c r="R200" s="20" t="s">
        <v>51</v>
      </c>
      <c r="S200" s="234">
        <f>COUNTIFS(INP_DATA!$R$5:$R$3027,S$4,INP_DATA!$D$5:$D$3027,$D200,INP_DATA!$B$5:$B$3027,$B200)</f>
        <v>0</v>
      </c>
      <c r="T200" s="235">
        <f>COUNTIFS(INP_DATA!$R$5:$R$3027,T$4,INP_DATA!$D$5:$D$3027,$D200,INP_DATA!$B$5:$B$3027,$B200)</f>
        <v>1</v>
      </c>
    </row>
    <row r="201" spans="1:20" x14ac:dyDescent="0.35">
      <c r="A201" s="3" t="s">
        <v>108</v>
      </c>
      <c r="B201" s="165">
        <v>45017</v>
      </c>
      <c r="C201" s="57" t="str">
        <f>IF($B201="","",YEAR($B201)&amp;"-"&amp;IFERROR(VLOOKUP(MONTH(B201),KEY!$AE$5:$AF$16,2,FALSE),""))</f>
        <v>2023-Q2</v>
      </c>
      <c r="D201" s="3" t="s">
        <v>142</v>
      </c>
      <c r="E201" s="219">
        <v>18</v>
      </c>
      <c r="F201" s="166">
        <v>71</v>
      </c>
      <c r="G201" s="166">
        <v>116</v>
      </c>
      <c r="H201" s="21">
        <v>150</v>
      </c>
      <c r="I201" s="21">
        <v>24</v>
      </c>
      <c r="J201" s="21">
        <v>39</v>
      </c>
      <c r="K201" s="21">
        <v>6</v>
      </c>
      <c r="L201" s="21">
        <v>100</v>
      </c>
      <c r="M201" s="21">
        <v>36</v>
      </c>
      <c r="N201" s="21">
        <v>74</v>
      </c>
      <c r="O201" s="19">
        <v>88</v>
      </c>
      <c r="P201" s="22">
        <v>10</v>
      </c>
      <c r="Q201" s="22">
        <v>8</v>
      </c>
      <c r="R201" s="20" t="s">
        <v>51</v>
      </c>
      <c r="S201" s="234">
        <f>COUNTIFS(INP_DATA!$R$5:$R$3027,S$4,INP_DATA!$D$5:$D$3027,$D201,INP_DATA!$B$5:$B$3027,$B201)</f>
        <v>0</v>
      </c>
      <c r="T201" s="235">
        <f>COUNTIFS(INP_DATA!$R$5:$R$3027,T$4,INP_DATA!$D$5:$D$3027,$D201,INP_DATA!$B$5:$B$3027,$B201)</f>
        <v>1</v>
      </c>
    </row>
    <row r="202" spans="1:20" x14ac:dyDescent="0.35">
      <c r="A202" s="3" t="s">
        <v>16</v>
      </c>
      <c r="B202" s="165">
        <v>45017</v>
      </c>
      <c r="C202" s="57" t="str">
        <f>IF($B202="","",YEAR($B202)&amp;"-"&amp;IFERROR(VLOOKUP(MONTH(B202),KEY!$AE$5:$AF$16,2,FALSE),""))</f>
        <v>2023-Q2</v>
      </c>
      <c r="D202" s="3" t="s">
        <v>143</v>
      </c>
      <c r="E202" s="219">
        <v>18</v>
      </c>
      <c r="F202" s="166">
        <v>67</v>
      </c>
      <c r="G202" s="166">
        <v>75</v>
      </c>
      <c r="H202" s="21">
        <v>101</v>
      </c>
      <c r="I202" s="21">
        <v>16</v>
      </c>
      <c r="J202" s="21">
        <v>66</v>
      </c>
      <c r="K202" s="21">
        <v>6</v>
      </c>
      <c r="L202" s="21">
        <v>124</v>
      </c>
      <c r="M202" s="21">
        <v>47</v>
      </c>
      <c r="N202" s="21">
        <v>67</v>
      </c>
      <c r="O202" s="19">
        <v>198</v>
      </c>
      <c r="P202" s="22">
        <v>4</v>
      </c>
      <c r="Q202" s="22">
        <v>1</v>
      </c>
      <c r="R202" s="20" t="s">
        <v>58</v>
      </c>
      <c r="S202" s="234">
        <f>COUNTIFS(INP_DATA!$R$5:$R$3027,S$4,INP_DATA!$D$5:$D$3027,$D202,INP_DATA!$B$5:$B$3027,$B202)</f>
        <v>1</v>
      </c>
      <c r="T202" s="235">
        <f>COUNTIFS(INP_DATA!$R$5:$R$3027,T$4,INP_DATA!$D$5:$D$3027,$D202,INP_DATA!$B$5:$B$3027,$B202)</f>
        <v>0</v>
      </c>
    </row>
    <row r="203" spans="1:20" x14ac:dyDescent="0.35">
      <c r="A203" s="3" t="s">
        <v>16</v>
      </c>
      <c r="B203" s="165">
        <v>45017</v>
      </c>
      <c r="C203" s="57" t="str">
        <f>IF($B203="","",YEAR($B203)&amp;"-"&amp;IFERROR(VLOOKUP(MONTH(B203),KEY!$AE$5:$AF$16,2,FALSE),""))</f>
        <v>2023-Q2</v>
      </c>
      <c r="D203" s="3" t="s">
        <v>144</v>
      </c>
      <c r="E203" s="219">
        <v>36</v>
      </c>
      <c r="F203" s="166">
        <v>187</v>
      </c>
      <c r="G203" s="166">
        <v>187</v>
      </c>
      <c r="H203" s="21">
        <v>214</v>
      </c>
      <c r="I203" s="21">
        <v>32</v>
      </c>
      <c r="J203" s="21">
        <v>162</v>
      </c>
      <c r="K203" s="21">
        <v>32</v>
      </c>
      <c r="L203" s="21">
        <v>269</v>
      </c>
      <c r="M203" s="21">
        <v>101</v>
      </c>
      <c r="N203" s="21">
        <v>190</v>
      </c>
      <c r="O203" s="19">
        <v>396</v>
      </c>
      <c r="P203" s="22">
        <v>15</v>
      </c>
      <c r="Q203" s="22">
        <v>12</v>
      </c>
      <c r="R203" s="20" t="s">
        <v>58</v>
      </c>
      <c r="S203" s="234">
        <f>COUNTIFS(INP_DATA!$R$5:$R$3027,S$4,INP_DATA!$D$5:$D$3027,$D203,INP_DATA!$B$5:$B$3027,$B203)</f>
        <v>1</v>
      </c>
      <c r="T203" s="235">
        <f>COUNTIFS(INP_DATA!$R$5:$R$3027,T$4,INP_DATA!$D$5:$D$3027,$D203,INP_DATA!$B$5:$B$3027,$B203)</f>
        <v>0</v>
      </c>
    </row>
    <row r="204" spans="1:20" x14ac:dyDescent="0.35">
      <c r="A204" s="3" t="s">
        <v>108</v>
      </c>
      <c r="B204" s="165">
        <v>45017</v>
      </c>
      <c r="C204" s="57" t="str">
        <f>IF($B204="","",YEAR($B204)&amp;"-"&amp;IFERROR(VLOOKUP(MONTH(B204),KEY!$AE$5:$AF$16,2,FALSE),""))</f>
        <v>2023-Q2</v>
      </c>
      <c r="D204" s="3" t="s">
        <v>145</v>
      </c>
      <c r="E204" s="219">
        <v>66</v>
      </c>
      <c r="F204" s="166">
        <v>170</v>
      </c>
      <c r="G204" s="166">
        <v>205</v>
      </c>
      <c r="H204" s="21">
        <v>311</v>
      </c>
      <c r="I204" s="21">
        <v>38</v>
      </c>
      <c r="J204" s="21">
        <v>185</v>
      </c>
      <c r="K204" s="21">
        <v>29</v>
      </c>
      <c r="L204" s="21">
        <v>360</v>
      </c>
      <c r="M204" s="21">
        <v>99</v>
      </c>
      <c r="N204" s="21">
        <v>168</v>
      </c>
      <c r="O204" s="19">
        <v>352</v>
      </c>
      <c r="P204" s="22">
        <v>36</v>
      </c>
      <c r="Q204" s="22">
        <v>24</v>
      </c>
      <c r="R204" s="20" t="s">
        <v>51</v>
      </c>
      <c r="S204" s="234">
        <f>COUNTIFS(INP_DATA!$R$5:$R$3027,S$4,INP_DATA!$D$5:$D$3027,$D204,INP_DATA!$B$5:$B$3027,$B204)</f>
        <v>0</v>
      </c>
      <c r="T204" s="235">
        <f>COUNTIFS(INP_DATA!$R$5:$R$3027,T$4,INP_DATA!$D$5:$D$3027,$D204,INP_DATA!$B$5:$B$3027,$B204)</f>
        <v>1</v>
      </c>
    </row>
    <row r="205" spans="1:20" x14ac:dyDescent="0.35">
      <c r="A205" s="3" t="s">
        <v>16</v>
      </c>
      <c r="B205" s="165">
        <v>45017</v>
      </c>
      <c r="C205" s="57" t="str">
        <f>IF($B205="","",YEAR($B205)&amp;"-"&amp;IFERROR(VLOOKUP(MONTH(B205),KEY!$AE$5:$AF$16,2,FALSE),""))</f>
        <v>2023-Q2</v>
      </c>
      <c r="D205" s="3" t="s">
        <v>146</v>
      </c>
      <c r="E205" s="219">
        <v>10</v>
      </c>
      <c r="F205" s="166">
        <v>39</v>
      </c>
      <c r="G205" s="166">
        <v>45</v>
      </c>
      <c r="H205" s="21">
        <v>87</v>
      </c>
      <c r="I205" s="21">
        <v>9</v>
      </c>
      <c r="J205" s="21">
        <v>30</v>
      </c>
      <c r="K205" s="21">
        <v>4</v>
      </c>
      <c r="L205" s="21">
        <v>48</v>
      </c>
      <c r="M205" s="21">
        <v>23</v>
      </c>
      <c r="N205" s="21">
        <v>40</v>
      </c>
      <c r="O205" s="19">
        <v>110</v>
      </c>
      <c r="P205" s="22">
        <v>4</v>
      </c>
      <c r="Q205" s="22">
        <v>1</v>
      </c>
      <c r="R205" s="20" t="s">
        <v>58</v>
      </c>
      <c r="S205" s="234">
        <f>COUNTIFS(INP_DATA!$R$5:$R$3027,S$4,INP_DATA!$D$5:$D$3027,$D205,INP_DATA!$B$5:$B$3027,$B205)</f>
        <v>1</v>
      </c>
      <c r="T205" s="235">
        <f>COUNTIFS(INP_DATA!$R$5:$R$3027,T$4,INP_DATA!$D$5:$D$3027,$D205,INP_DATA!$B$5:$B$3027,$B205)</f>
        <v>0</v>
      </c>
    </row>
    <row r="206" spans="1:20" x14ac:dyDescent="0.35">
      <c r="A206" s="3" t="s">
        <v>109</v>
      </c>
      <c r="B206" s="165">
        <v>45017</v>
      </c>
      <c r="C206" s="57" t="str">
        <f>IF($B206="","",YEAR($B206)&amp;"-"&amp;IFERROR(VLOOKUP(MONTH(B206),KEY!$AE$5:$AF$16,2,FALSE),""))</f>
        <v>2023-Q2</v>
      </c>
      <c r="D206" s="3" t="s">
        <v>147</v>
      </c>
      <c r="E206" s="219">
        <v>6</v>
      </c>
      <c r="F206" s="166">
        <v>37</v>
      </c>
      <c r="G206" s="166">
        <v>33</v>
      </c>
      <c r="H206" s="21">
        <v>101</v>
      </c>
      <c r="I206" s="21">
        <v>12</v>
      </c>
      <c r="J206" s="21">
        <v>46</v>
      </c>
      <c r="K206" s="21">
        <v>6</v>
      </c>
      <c r="L206" s="21">
        <v>74</v>
      </c>
      <c r="M206" s="21">
        <v>32</v>
      </c>
      <c r="N206" s="21">
        <v>38</v>
      </c>
      <c r="O206" s="19">
        <v>88</v>
      </c>
      <c r="P206" s="22">
        <v>4</v>
      </c>
      <c r="Q206" s="22">
        <v>3</v>
      </c>
      <c r="R206" s="20" t="s">
        <v>58</v>
      </c>
      <c r="S206" s="234">
        <f>COUNTIFS(INP_DATA!$R$5:$R$3027,S$4,INP_DATA!$D$5:$D$3027,$D206,INP_DATA!$B$5:$B$3027,$B206)</f>
        <v>1</v>
      </c>
      <c r="T206" s="235">
        <f>COUNTIFS(INP_DATA!$R$5:$R$3027,T$4,INP_DATA!$D$5:$D$3027,$D206,INP_DATA!$B$5:$B$3027,$B206)</f>
        <v>0</v>
      </c>
    </row>
    <row r="207" spans="1:20" x14ac:dyDescent="0.35">
      <c r="A207" s="3" t="s">
        <v>106</v>
      </c>
      <c r="B207" s="165">
        <v>45017</v>
      </c>
      <c r="C207" s="57" t="str">
        <f>IF($B207="","",YEAR($B207)&amp;"-"&amp;IFERROR(VLOOKUP(MONTH(B207),KEY!$AE$5:$AF$16,2,FALSE),""))</f>
        <v>2023-Q2</v>
      </c>
      <c r="D207" s="3" t="s">
        <v>148</v>
      </c>
      <c r="E207" s="219">
        <v>9</v>
      </c>
      <c r="F207" s="166">
        <v>38</v>
      </c>
      <c r="G207" s="166">
        <v>46</v>
      </c>
      <c r="H207" s="21">
        <v>125</v>
      </c>
      <c r="I207" s="21">
        <v>17</v>
      </c>
      <c r="J207" s="21">
        <v>63</v>
      </c>
      <c r="K207" s="21">
        <v>4</v>
      </c>
      <c r="L207" s="21">
        <v>113</v>
      </c>
      <c r="M207" s="21">
        <v>35</v>
      </c>
      <c r="N207" s="21">
        <v>38</v>
      </c>
      <c r="O207" s="19">
        <v>88</v>
      </c>
      <c r="P207" s="22">
        <v>3</v>
      </c>
      <c r="Q207" s="22">
        <v>0</v>
      </c>
      <c r="R207" s="20" t="s">
        <v>58</v>
      </c>
      <c r="S207" s="234">
        <f>COUNTIFS(INP_DATA!$R$5:$R$3027,S$4,INP_DATA!$D$5:$D$3027,$D207,INP_DATA!$B$5:$B$3027,$B207)</f>
        <v>1</v>
      </c>
      <c r="T207" s="235">
        <f>COUNTIFS(INP_DATA!$R$5:$R$3027,T$4,INP_DATA!$D$5:$D$3027,$D207,INP_DATA!$B$5:$B$3027,$B207)</f>
        <v>0</v>
      </c>
    </row>
    <row r="208" spans="1:20" x14ac:dyDescent="0.35">
      <c r="A208" s="3" t="s">
        <v>107</v>
      </c>
      <c r="B208" s="165">
        <v>45017</v>
      </c>
      <c r="C208" s="57" t="str">
        <f>IF($B208="","",YEAR($B208)&amp;"-"&amp;IFERROR(VLOOKUP(MONTH(B208),KEY!$AE$5:$AF$16,2,FALSE),""))</f>
        <v>2023-Q2</v>
      </c>
      <c r="D208" s="3" t="s">
        <v>149</v>
      </c>
      <c r="E208" s="219">
        <v>2</v>
      </c>
      <c r="F208" s="166">
        <v>27</v>
      </c>
      <c r="G208" s="166">
        <v>18</v>
      </c>
      <c r="H208" s="21">
        <v>64</v>
      </c>
      <c r="I208" s="21">
        <v>10</v>
      </c>
      <c r="J208" s="21">
        <v>17</v>
      </c>
      <c r="K208" s="21">
        <v>2</v>
      </c>
      <c r="L208" s="21">
        <v>24</v>
      </c>
      <c r="M208" s="21">
        <v>13</v>
      </c>
      <c r="N208" s="21">
        <v>27</v>
      </c>
      <c r="O208" s="19">
        <v>44</v>
      </c>
      <c r="P208" s="22">
        <v>4</v>
      </c>
      <c r="Q208" s="22">
        <v>2</v>
      </c>
      <c r="R208" s="20" t="s">
        <v>58</v>
      </c>
      <c r="S208" s="234">
        <f>COUNTIFS(INP_DATA!$R$5:$R$3027,S$4,INP_DATA!$D$5:$D$3027,$D208,INP_DATA!$B$5:$B$3027,$B208)</f>
        <v>1</v>
      </c>
      <c r="T208" s="235">
        <f>COUNTIFS(INP_DATA!$R$5:$R$3027,T$4,INP_DATA!$D$5:$D$3027,$D208,INP_DATA!$B$5:$B$3027,$B208)</f>
        <v>0</v>
      </c>
    </row>
    <row r="209" spans="1:20" x14ac:dyDescent="0.35">
      <c r="A209" s="3" t="s">
        <v>108</v>
      </c>
      <c r="B209" s="165">
        <v>45017</v>
      </c>
      <c r="C209" s="57" t="str">
        <f>IF($B209="","",YEAR($B209)&amp;"-"&amp;IFERROR(VLOOKUP(MONTH(B209),KEY!$AE$5:$AF$16,2,FALSE),""))</f>
        <v>2023-Q2</v>
      </c>
      <c r="D209" s="3" t="s">
        <v>150</v>
      </c>
      <c r="E209" s="219">
        <v>9</v>
      </c>
      <c r="F209" s="166">
        <v>43</v>
      </c>
      <c r="G209" s="166">
        <v>49</v>
      </c>
      <c r="H209" s="21">
        <v>62</v>
      </c>
      <c r="I209" s="21">
        <v>12</v>
      </c>
      <c r="J209" s="21">
        <v>22</v>
      </c>
      <c r="K209" s="21">
        <v>5</v>
      </c>
      <c r="L209" s="21">
        <v>60</v>
      </c>
      <c r="M209" s="21">
        <v>32</v>
      </c>
      <c r="N209" s="21">
        <v>43</v>
      </c>
      <c r="O209" s="19">
        <v>110</v>
      </c>
      <c r="P209" s="22">
        <v>4</v>
      </c>
      <c r="Q209" s="22">
        <v>2</v>
      </c>
      <c r="R209" s="20" t="s">
        <v>58</v>
      </c>
      <c r="S209" s="234">
        <f>COUNTIFS(INP_DATA!$R$5:$R$3027,S$4,INP_DATA!$D$5:$D$3027,$D209,INP_DATA!$B$5:$B$3027,$B209)</f>
        <v>1</v>
      </c>
      <c r="T209" s="235">
        <f>COUNTIFS(INP_DATA!$R$5:$R$3027,T$4,INP_DATA!$D$5:$D$3027,$D209,INP_DATA!$B$5:$B$3027,$B209)</f>
        <v>0</v>
      </c>
    </row>
    <row r="210" spans="1:20" x14ac:dyDescent="0.35">
      <c r="A210" s="3" t="s">
        <v>16</v>
      </c>
      <c r="B210" s="165">
        <v>45017</v>
      </c>
      <c r="C210" s="57" t="str">
        <f>IF($B210="","",YEAR($B210)&amp;"-"&amp;IFERROR(VLOOKUP(MONTH(B210),KEY!$AE$5:$AF$16,2,FALSE),""))</f>
        <v>2023-Q2</v>
      </c>
      <c r="D210" s="3" t="s">
        <v>151</v>
      </c>
      <c r="E210" s="219">
        <v>6</v>
      </c>
      <c r="F210" s="166">
        <v>38</v>
      </c>
      <c r="G210" s="166">
        <v>36</v>
      </c>
      <c r="H210" s="21">
        <v>83</v>
      </c>
      <c r="I210" s="21">
        <v>12</v>
      </c>
      <c r="J210" s="21">
        <v>31</v>
      </c>
      <c r="K210" s="21">
        <v>5</v>
      </c>
      <c r="L210" s="21">
        <v>71</v>
      </c>
      <c r="M210" s="21">
        <v>26</v>
      </c>
      <c r="N210" s="21">
        <v>37</v>
      </c>
      <c r="O210" s="19">
        <v>66</v>
      </c>
      <c r="P210" s="22">
        <v>1</v>
      </c>
      <c r="Q210" s="22">
        <v>0</v>
      </c>
      <c r="R210" s="20" t="s">
        <v>58</v>
      </c>
      <c r="S210" s="234">
        <f>COUNTIFS(INP_DATA!$R$5:$R$3027,S$4,INP_DATA!$D$5:$D$3027,$D210,INP_DATA!$B$5:$B$3027,$B210)</f>
        <v>1</v>
      </c>
      <c r="T210" s="235">
        <f>COUNTIFS(INP_DATA!$R$5:$R$3027,T$4,INP_DATA!$D$5:$D$3027,$D210,INP_DATA!$B$5:$B$3027,$B210)</f>
        <v>0</v>
      </c>
    </row>
    <row r="211" spans="1:20" x14ac:dyDescent="0.35">
      <c r="A211" s="3" t="s">
        <v>106</v>
      </c>
      <c r="B211" s="165">
        <v>45017</v>
      </c>
      <c r="C211" s="57" t="str">
        <f>IF($B211="","",YEAR($B211)&amp;"-"&amp;IFERROR(VLOOKUP(MONTH(B211),KEY!$AE$5:$AF$16,2,FALSE),""))</f>
        <v>2023-Q2</v>
      </c>
      <c r="D211" s="3" t="s">
        <v>152</v>
      </c>
      <c r="E211" s="219">
        <v>46</v>
      </c>
      <c r="F211" s="166">
        <v>210</v>
      </c>
      <c r="G211" s="166">
        <v>177</v>
      </c>
      <c r="H211" s="21">
        <v>548</v>
      </c>
      <c r="I211" s="21">
        <v>59</v>
      </c>
      <c r="J211" s="21">
        <v>179</v>
      </c>
      <c r="K211" s="21">
        <v>29</v>
      </c>
      <c r="L211" s="21">
        <v>345</v>
      </c>
      <c r="M211" s="21">
        <v>137</v>
      </c>
      <c r="N211" s="21">
        <v>211</v>
      </c>
      <c r="O211" s="19">
        <v>242</v>
      </c>
      <c r="P211" s="22">
        <v>15</v>
      </c>
      <c r="Q211" s="22">
        <v>9</v>
      </c>
      <c r="R211" s="20" t="s">
        <v>58</v>
      </c>
      <c r="S211" s="234">
        <f>COUNTIFS(INP_DATA!$R$5:$R$3027,S$4,INP_DATA!$D$5:$D$3027,$D211,INP_DATA!$B$5:$B$3027,$B211)</f>
        <v>1</v>
      </c>
      <c r="T211" s="235">
        <f>COUNTIFS(INP_DATA!$R$5:$R$3027,T$4,INP_DATA!$D$5:$D$3027,$D211,INP_DATA!$B$5:$B$3027,$B211)</f>
        <v>0</v>
      </c>
    </row>
    <row r="212" spans="1:20" x14ac:dyDescent="0.35">
      <c r="A212" s="3" t="s">
        <v>16</v>
      </c>
      <c r="B212" s="165">
        <v>45017</v>
      </c>
      <c r="C212" s="57" t="str">
        <f>IF($B212="","",YEAR($B212)&amp;"-"&amp;IFERROR(VLOOKUP(MONTH(B212),KEY!$AE$5:$AF$16,2,FALSE),""))</f>
        <v>2023-Q2</v>
      </c>
      <c r="D212" s="3" t="s">
        <v>153</v>
      </c>
      <c r="E212" s="219">
        <v>37</v>
      </c>
      <c r="F212" s="166">
        <v>121</v>
      </c>
      <c r="G212" s="166">
        <v>107</v>
      </c>
      <c r="H212" s="21">
        <v>317</v>
      </c>
      <c r="I212" s="21">
        <v>30</v>
      </c>
      <c r="J212" s="21">
        <v>88</v>
      </c>
      <c r="K212" s="21">
        <v>15</v>
      </c>
      <c r="L212" s="21">
        <v>268</v>
      </c>
      <c r="M212" s="21">
        <v>73</v>
      </c>
      <c r="N212" s="21">
        <v>123</v>
      </c>
      <c r="O212" s="19">
        <v>264</v>
      </c>
      <c r="P212" s="22">
        <v>4</v>
      </c>
      <c r="Q212" s="22">
        <v>2</v>
      </c>
      <c r="R212" s="20" t="s">
        <v>194</v>
      </c>
      <c r="S212" s="234">
        <f>COUNTIFS(INP_DATA!$R$5:$R$3027,S$4,INP_DATA!$D$5:$D$3027,$D212,INP_DATA!$B$5:$B$3027,$B212)</f>
        <v>0</v>
      </c>
      <c r="T212" s="235">
        <f>COUNTIFS(INP_DATA!$R$5:$R$3027,T$4,INP_DATA!$D$5:$D$3027,$D212,INP_DATA!$B$5:$B$3027,$B212)</f>
        <v>0</v>
      </c>
    </row>
    <row r="213" spans="1:20" x14ac:dyDescent="0.35">
      <c r="A213" s="3" t="s">
        <v>106</v>
      </c>
      <c r="B213" s="165">
        <v>45017</v>
      </c>
      <c r="C213" s="57" t="str">
        <f>IF($B213="","",YEAR($B213)&amp;"-"&amp;IFERROR(VLOOKUP(MONTH(B213),KEY!$AE$5:$AF$16,2,FALSE),""))</f>
        <v>2023-Q2</v>
      </c>
      <c r="D213" s="3" t="s">
        <v>154</v>
      </c>
      <c r="E213" s="219">
        <v>14</v>
      </c>
      <c r="F213" s="166">
        <v>68</v>
      </c>
      <c r="G213" s="166">
        <v>103</v>
      </c>
      <c r="H213" s="21">
        <v>274</v>
      </c>
      <c r="I213" s="21">
        <v>12</v>
      </c>
      <c r="J213" s="21">
        <v>135</v>
      </c>
      <c r="K213" s="21">
        <v>16</v>
      </c>
      <c r="L213" s="21">
        <v>151</v>
      </c>
      <c r="M213" s="21">
        <v>42</v>
      </c>
      <c r="N213" s="21">
        <v>64</v>
      </c>
      <c r="O213" s="19">
        <v>132</v>
      </c>
      <c r="P213" s="22">
        <v>9</v>
      </c>
      <c r="Q213" s="22">
        <v>6</v>
      </c>
      <c r="R213" s="20" t="s">
        <v>194</v>
      </c>
      <c r="S213" s="234">
        <f>COUNTIFS(INP_DATA!$R$5:$R$3027,S$4,INP_DATA!$D$5:$D$3027,$D213,INP_DATA!$B$5:$B$3027,$B213)</f>
        <v>0</v>
      </c>
      <c r="T213" s="235">
        <f>COUNTIFS(INP_DATA!$R$5:$R$3027,T$4,INP_DATA!$D$5:$D$3027,$D213,INP_DATA!$B$5:$B$3027,$B213)</f>
        <v>0</v>
      </c>
    </row>
    <row r="214" spans="1:20" x14ac:dyDescent="0.35">
      <c r="A214" s="3" t="s">
        <v>109</v>
      </c>
      <c r="B214" s="165">
        <v>45017</v>
      </c>
      <c r="C214" s="57" t="str">
        <f>IF($B214="","",YEAR($B214)&amp;"-"&amp;IFERROR(VLOOKUP(MONTH(B214),KEY!$AE$5:$AF$16,2,FALSE),""))</f>
        <v>2023-Q2</v>
      </c>
      <c r="D214" s="3" t="s">
        <v>155</v>
      </c>
      <c r="E214" s="219">
        <v>38</v>
      </c>
      <c r="F214" s="166">
        <v>272</v>
      </c>
      <c r="G214" s="166">
        <v>242</v>
      </c>
      <c r="H214" s="21">
        <v>1095</v>
      </c>
      <c r="I214" s="21">
        <v>106</v>
      </c>
      <c r="J214" s="21">
        <v>353</v>
      </c>
      <c r="K214" s="21">
        <v>30</v>
      </c>
      <c r="L214" s="21">
        <v>371</v>
      </c>
      <c r="M214" s="21">
        <v>147</v>
      </c>
      <c r="N214" s="21">
        <v>273</v>
      </c>
      <c r="O214" s="19">
        <v>462</v>
      </c>
      <c r="P214" s="22">
        <v>32</v>
      </c>
      <c r="Q214" s="22">
        <v>20</v>
      </c>
      <c r="R214" s="20" t="s">
        <v>51</v>
      </c>
      <c r="S214" s="234">
        <f>COUNTIFS(INP_DATA!$R$5:$R$3027,S$4,INP_DATA!$D$5:$D$3027,$D214,INP_DATA!$B$5:$B$3027,$B214)</f>
        <v>0</v>
      </c>
      <c r="T214" s="235">
        <f>COUNTIFS(INP_DATA!$R$5:$R$3027,T$4,INP_DATA!$D$5:$D$3027,$D214,INP_DATA!$B$5:$B$3027,$B214)</f>
        <v>1</v>
      </c>
    </row>
    <row r="215" spans="1:20" x14ac:dyDescent="0.35">
      <c r="A215" s="3" t="s">
        <v>109</v>
      </c>
      <c r="B215" s="165">
        <v>45017</v>
      </c>
      <c r="C215" s="57" t="str">
        <f>IF($B215="","",YEAR($B215)&amp;"-"&amp;IFERROR(VLOOKUP(MONTH(B215),KEY!$AE$5:$AF$16,2,FALSE),""))</f>
        <v>2023-Q2</v>
      </c>
      <c r="D215" s="3" t="s">
        <v>156</v>
      </c>
      <c r="E215" s="219">
        <v>70</v>
      </c>
      <c r="F215" s="166">
        <v>274</v>
      </c>
      <c r="G215" s="166">
        <v>346</v>
      </c>
      <c r="H215" s="21">
        <v>761</v>
      </c>
      <c r="I215" s="21">
        <v>85</v>
      </c>
      <c r="J215" s="21">
        <v>315</v>
      </c>
      <c r="K215" s="21">
        <v>45</v>
      </c>
      <c r="L215" s="21">
        <v>507</v>
      </c>
      <c r="M215" s="21">
        <v>147</v>
      </c>
      <c r="N215" s="21">
        <v>280</v>
      </c>
      <c r="O215" s="19">
        <v>440</v>
      </c>
      <c r="P215" s="22">
        <v>10</v>
      </c>
      <c r="Q215" s="22">
        <v>8</v>
      </c>
      <c r="R215" s="20" t="s">
        <v>51</v>
      </c>
      <c r="S215" s="234">
        <f>COUNTIFS(INP_DATA!$R$5:$R$3027,S$4,INP_DATA!$D$5:$D$3027,$D215,INP_DATA!$B$5:$B$3027,$B215)</f>
        <v>0</v>
      </c>
      <c r="T215" s="235">
        <f>COUNTIFS(INP_DATA!$R$5:$R$3027,T$4,INP_DATA!$D$5:$D$3027,$D215,INP_DATA!$B$5:$B$3027,$B215)</f>
        <v>1</v>
      </c>
    </row>
    <row r="216" spans="1:20" x14ac:dyDescent="0.35">
      <c r="A216" s="3" t="s">
        <v>109</v>
      </c>
      <c r="B216" s="165">
        <v>45017</v>
      </c>
      <c r="C216" s="57" t="str">
        <f>IF($B216="","",YEAR($B216)&amp;"-"&amp;IFERROR(VLOOKUP(MONTH(B216),KEY!$AE$5:$AF$16,2,FALSE),""))</f>
        <v>2023-Q2</v>
      </c>
      <c r="D216" s="3" t="s">
        <v>157</v>
      </c>
      <c r="E216" s="219">
        <v>15</v>
      </c>
      <c r="F216" s="166">
        <v>197</v>
      </c>
      <c r="G216" s="166">
        <v>278</v>
      </c>
      <c r="H216" s="21">
        <v>917</v>
      </c>
      <c r="I216" s="21">
        <v>36</v>
      </c>
      <c r="J216" s="21">
        <v>415</v>
      </c>
      <c r="K216" s="21">
        <v>37</v>
      </c>
      <c r="L216" s="21">
        <v>202</v>
      </c>
      <c r="M216" s="21">
        <v>60</v>
      </c>
      <c r="N216" s="21">
        <v>202</v>
      </c>
      <c r="O216" s="19">
        <v>286</v>
      </c>
      <c r="P216" s="22">
        <v>8</v>
      </c>
      <c r="Q216" s="22">
        <v>6</v>
      </c>
      <c r="R216" s="20" t="s">
        <v>51</v>
      </c>
      <c r="S216" s="234">
        <f>COUNTIFS(INP_DATA!$R$5:$R$3027,S$4,INP_DATA!$D$5:$D$3027,$D216,INP_DATA!$B$5:$B$3027,$B216)</f>
        <v>0</v>
      </c>
      <c r="T216" s="235">
        <f>COUNTIFS(INP_DATA!$R$5:$R$3027,T$4,INP_DATA!$D$5:$D$3027,$D216,INP_DATA!$B$5:$B$3027,$B216)</f>
        <v>1</v>
      </c>
    </row>
    <row r="217" spans="1:20" x14ac:dyDescent="0.35">
      <c r="A217" s="3" t="s">
        <v>16</v>
      </c>
      <c r="B217" s="165">
        <v>45017</v>
      </c>
      <c r="C217" s="57" t="str">
        <f>IF($B217="","",YEAR($B217)&amp;"-"&amp;IFERROR(VLOOKUP(MONTH(B217),KEY!$AE$5:$AF$16,2,FALSE),""))</f>
        <v>2023-Q2</v>
      </c>
      <c r="D217" s="3" t="s">
        <v>158</v>
      </c>
      <c r="E217" s="219">
        <v>8</v>
      </c>
      <c r="F217" s="166">
        <v>32</v>
      </c>
      <c r="G217" s="166">
        <v>32</v>
      </c>
      <c r="H217" s="21">
        <v>54</v>
      </c>
      <c r="I217" s="21">
        <v>6</v>
      </c>
      <c r="J217" s="21">
        <v>42</v>
      </c>
      <c r="K217" s="21">
        <v>8</v>
      </c>
      <c r="L217" s="21">
        <v>35</v>
      </c>
      <c r="M217" s="21">
        <v>10</v>
      </c>
      <c r="N217" s="21">
        <v>32</v>
      </c>
      <c r="O217" s="19">
        <v>110</v>
      </c>
      <c r="P217" s="22">
        <v>4</v>
      </c>
      <c r="Q217" s="22">
        <v>1</v>
      </c>
      <c r="R217" s="20" t="s">
        <v>194</v>
      </c>
      <c r="S217" s="234">
        <f>COUNTIFS(INP_DATA!$R$5:$R$3027,S$4,INP_DATA!$D$5:$D$3027,$D217,INP_DATA!$B$5:$B$3027,$B217)</f>
        <v>0</v>
      </c>
      <c r="T217" s="235">
        <f>COUNTIFS(INP_DATA!$R$5:$R$3027,T$4,INP_DATA!$D$5:$D$3027,$D217,INP_DATA!$B$5:$B$3027,$B217)</f>
        <v>0</v>
      </c>
    </row>
    <row r="218" spans="1:20" x14ac:dyDescent="0.35">
      <c r="A218" s="3" t="s">
        <v>107</v>
      </c>
      <c r="B218" s="165">
        <v>45017</v>
      </c>
      <c r="C218" s="57" t="str">
        <f>IF($B218="","",YEAR($B218)&amp;"-"&amp;IFERROR(VLOOKUP(MONTH(B218),KEY!$AE$5:$AF$16,2,FALSE),""))</f>
        <v>2023-Q2</v>
      </c>
      <c r="D218" s="3" t="s">
        <v>159</v>
      </c>
      <c r="E218" s="219">
        <v>23</v>
      </c>
      <c r="F218" s="166">
        <v>91</v>
      </c>
      <c r="G218" s="166">
        <v>102</v>
      </c>
      <c r="H218" s="21">
        <v>348</v>
      </c>
      <c r="I218" s="21">
        <v>13</v>
      </c>
      <c r="J218" s="21">
        <v>128</v>
      </c>
      <c r="K218" s="21">
        <v>20</v>
      </c>
      <c r="L218" s="21">
        <v>171</v>
      </c>
      <c r="M218" s="21">
        <v>61</v>
      </c>
      <c r="N218" s="21">
        <v>93</v>
      </c>
      <c r="O218" s="19">
        <v>176</v>
      </c>
      <c r="P218" s="22">
        <v>19</v>
      </c>
      <c r="Q218" s="22">
        <v>13</v>
      </c>
      <c r="R218" s="20" t="s">
        <v>194</v>
      </c>
      <c r="S218" s="234">
        <f>COUNTIFS(INP_DATA!$R$5:$R$3027,S$4,INP_DATA!$D$5:$D$3027,$D218,INP_DATA!$B$5:$B$3027,$B218)</f>
        <v>0</v>
      </c>
      <c r="T218" s="235">
        <f>COUNTIFS(INP_DATA!$R$5:$R$3027,T$4,INP_DATA!$D$5:$D$3027,$D218,INP_DATA!$B$5:$B$3027,$B218)</f>
        <v>0</v>
      </c>
    </row>
    <row r="219" spans="1:20" x14ac:dyDescent="0.35">
      <c r="A219" s="3" t="s">
        <v>16</v>
      </c>
      <c r="B219" s="165">
        <v>45017</v>
      </c>
      <c r="C219" s="57" t="str">
        <f>IF($B219="","",YEAR($B219)&amp;"-"&amp;IFERROR(VLOOKUP(MONTH(B219),KEY!$AE$5:$AF$16,2,FALSE),""))</f>
        <v>2023-Q2</v>
      </c>
      <c r="D219" s="3" t="s">
        <v>160</v>
      </c>
      <c r="E219" s="219">
        <v>105</v>
      </c>
      <c r="F219" s="166">
        <v>349</v>
      </c>
      <c r="G219" s="166">
        <v>301</v>
      </c>
      <c r="H219" s="21">
        <v>718</v>
      </c>
      <c r="I219" s="21">
        <v>121</v>
      </c>
      <c r="J219" s="21">
        <v>336</v>
      </c>
      <c r="K219" s="21">
        <v>32</v>
      </c>
      <c r="L219" s="21">
        <v>505</v>
      </c>
      <c r="M219" s="21">
        <v>191</v>
      </c>
      <c r="N219" s="21">
        <v>356</v>
      </c>
      <c r="O219" s="19">
        <v>506</v>
      </c>
      <c r="P219" s="22">
        <v>38</v>
      </c>
      <c r="Q219" s="22">
        <v>25</v>
      </c>
      <c r="R219" s="20" t="s">
        <v>51</v>
      </c>
      <c r="S219" s="234">
        <f>COUNTIFS(INP_DATA!$R$5:$R$3027,S$4,INP_DATA!$D$5:$D$3027,$D219,INP_DATA!$B$5:$B$3027,$B219)</f>
        <v>0</v>
      </c>
      <c r="T219" s="235">
        <f>COUNTIFS(INP_DATA!$R$5:$R$3027,T$4,INP_DATA!$D$5:$D$3027,$D219,INP_DATA!$B$5:$B$3027,$B219)</f>
        <v>1</v>
      </c>
    </row>
    <row r="220" spans="1:20" x14ac:dyDescent="0.35">
      <c r="A220" s="3" t="s">
        <v>106</v>
      </c>
      <c r="B220" s="165">
        <v>45017</v>
      </c>
      <c r="C220" s="57" t="str">
        <f>IF($B220="","",YEAR($B220)&amp;"-"&amp;IFERROR(VLOOKUP(MONTH(B220),KEY!$AE$5:$AF$16,2,FALSE),""))</f>
        <v>2023-Q2</v>
      </c>
      <c r="D220" s="3" t="s">
        <v>161</v>
      </c>
      <c r="E220" s="219">
        <v>30</v>
      </c>
      <c r="F220" s="166">
        <v>246</v>
      </c>
      <c r="G220" s="166">
        <v>301</v>
      </c>
      <c r="H220" s="21">
        <v>580</v>
      </c>
      <c r="I220" s="21">
        <v>80</v>
      </c>
      <c r="J220" s="21">
        <v>239</v>
      </c>
      <c r="K220" s="21">
        <v>39</v>
      </c>
      <c r="L220" s="21">
        <v>408</v>
      </c>
      <c r="M220" s="21">
        <v>125</v>
      </c>
      <c r="N220" s="21">
        <v>248</v>
      </c>
      <c r="O220" s="19">
        <v>440</v>
      </c>
      <c r="P220" s="22">
        <v>11</v>
      </c>
      <c r="Q220" s="22">
        <v>9</v>
      </c>
      <c r="R220" s="20" t="s">
        <v>51</v>
      </c>
      <c r="S220" s="234">
        <f>COUNTIFS(INP_DATA!$R$5:$R$3027,S$4,INP_DATA!$D$5:$D$3027,$D220,INP_DATA!$B$5:$B$3027,$B220)</f>
        <v>0</v>
      </c>
      <c r="T220" s="235">
        <f>COUNTIFS(INP_DATA!$R$5:$R$3027,T$4,INP_DATA!$D$5:$D$3027,$D220,INP_DATA!$B$5:$B$3027,$B220)</f>
        <v>1</v>
      </c>
    </row>
    <row r="221" spans="1:20" x14ac:dyDescent="0.35">
      <c r="A221" s="3" t="s">
        <v>109</v>
      </c>
      <c r="B221" s="165">
        <v>45017</v>
      </c>
      <c r="C221" s="57" t="str">
        <f>IF($B221="","",YEAR($B221)&amp;"-"&amp;IFERROR(VLOOKUP(MONTH(B221),KEY!$AE$5:$AF$16,2,FALSE),""))</f>
        <v>2023-Q2</v>
      </c>
      <c r="D221" s="3" t="s">
        <v>162</v>
      </c>
      <c r="E221" s="219">
        <v>79</v>
      </c>
      <c r="F221" s="166">
        <v>307</v>
      </c>
      <c r="G221" s="166">
        <v>469</v>
      </c>
      <c r="H221" s="21">
        <v>412</v>
      </c>
      <c r="I221" s="21">
        <v>75</v>
      </c>
      <c r="J221" s="21">
        <v>358</v>
      </c>
      <c r="K221" s="21">
        <v>37</v>
      </c>
      <c r="L221" s="21">
        <v>540</v>
      </c>
      <c r="M221" s="21">
        <v>134</v>
      </c>
      <c r="N221" s="21">
        <v>322</v>
      </c>
      <c r="O221" s="19">
        <v>704</v>
      </c>
      <c r="P221" s="22">
        <v>21</v>
      </c>
      <c r="Q221" s="22">
        <v>15</v>
      </c>
      <c r="R221" s="20" t="s">
        <v>58</v>
      </c>
      <c r="S221" s="234">
        <f>COUNTIFS(INP_DATA!$R$5:$R$3027,S$4,INP_DATA!$D$5:$D$3027,$D221,INP_DATA!$B$5:$B$3027,$B221)</f>
        <v>1</v>
      </c>
      <c r="T221" s="235">
        <f>COUNTIFS(INP_DATA!$R$5:$R$3027,T$4,INP_DATA!$D$5:$D$3027,$D221,INP_DATA!$B$5:$B$3027,$B221)</f>
        <v>0</v>
      </c>
    </row>
    <row r="222" spans="1:20" x14ac:dyDescent="0.35">
      <c r="A222" s="3" t="s">
        <v>16</v>
      </c>
      <c r="B222" s="165">
        <v>45017</v>
      </c>
      <c r="C222" s="57" t="str">
        <f>IF($B222="","",YEAR($B222)&amp;"-"&amp;IFERROR(VLOOKUP(MONTH(B222),KEY!$AE$5:$AF$16,2,FALSE),""))</f>
        <v>2023-Q2</v>
      </c>
      <c r="D222" s="3" t="s">
        <v>163</v>
      </c>
      <c r="E222" s="219">
        <v>42</v>
      </c>
      <c r="F222" s="166">
        <v>230</v>
      </c>
      <c r="G222" s="166">
        <v>212</v>
      </c>
      <c r="H222" s="21">
        <v>387</v>
      </c>
      <c r="I222" s="21">
        <v>64</v>
      </c>
      <c r="J222" s="21">
        <v>206</v>
      </c>
      <c r="K222" s="21">
        <v>52</v>
      </c>
      <c r="L222" s="21">
        <v>444</v>
      </c>
      <c r="M222" s="21">
        <v>155</v>
      </c>
      <c r="N222" s="21">
        <v>234</v>
      </c>
      <c r="O222" s="19">
        <v>440</v>
      </c>
      <c r="P222" s="22">
        <v>8</v>
      </c>
      <c r="Q222" s="22">
        <v>5</v>
      </c>
      <c r="R222" s="20" t="s">
        <v>58</v>
      </c>
      <c r="S222" s="234">
        <f>COUNTIFS(INP_DATA!$R$5:$R$3027,S$4,INP_DATA!$D$5:$D$3027,$D222,INP_DATA!$B$5:$B$3027,$B222)</f>
        <v>1</v>
      </c>
      <c r="T222" s="235">
        <f>COUNTIFS(INP_DATA!$R$5:$R$3027,T$4,INP_DATA!$D$5:$D$3027,$D222,INP_DATA!$B$5:$B$3027,$B222)</f>
        <v>0</v>
      </c>
    </row>
    <row r="223" spans="1:20" x14ac:dyDescent="0.35">
      <c r="A223" s="3" t="s">
        <v>16</v>
      </c>
      <c r="B223" s="165">
        <v>45017</v>
      </c>
      <c r="C223" s="57" t="str">
        <f>IF($B223="","",YEAR($B223)&amp;"-"&amp;IFERROR(VLOOKUP(MONTH(B223),KEY!$AE$5:$AF$16,2,FALSE),""))</f>
        <v>2023-Q2</v>
      </c>
      <c r="D223" s="3" t="s">
        <v>164</v>
      </c>
      <c r="E223" s="219">
        <v>11</v>
      </c>
      <c r="F223" s="166">
        <v>86</v>
      </c>
      <c r="G223" s="166">
        <v>87</v>
      </c>
      <c r="H223" s="21">
        <v>232</v>
      </c>
      <c r="I223" s="21">
        <v>23</v>
      </c>
      <c r="J223" s="21">
        <v>95</v>
      </c>
      <c r="K223" s="21">
        <v>14</v>
      </c>
      <c r="L223" s="21">
        <v>140</v>
      </c>
      <c r="M223" s="21">
        <v>54</v>
      </c>
      <c r="N223" s="21">
        <v>88</v>
      </c>
      <c r="O223" s="19">
        <v>154</v>
      </c>
      <c r="P223" s="22">
        <v>5</v>
      </c>
      <c r="Q223" s="22">
        <v>4</v>
      </c>
      <c r="R223" s="20" t="s">
        <v>58</v>
      </c>
      <c r="S223" s="234">
        <f>COUNTIFS(INP_DATA!$R$5:$R$3027,S$4,INP_DATA!$D$5:$D$3027,$D223,INP_DATA!$B$5:$B$3027,$B223)</f>
        <v>1</v>
      </c>
      <c r="T223" s="235">
        <f>COUNTIFS(INP_DATA!$R$5:$R$3027,T$4,INP_DATA!$D$5:$D$3027,$D223,INP_DATA!$B$5:$B$3027,$B223)</f>
        <v>0</v>
      </c>
    </row>
    <row r="224" spans="1:20" x14ac:dyDescent="0.35">
      <c r="A224" s="3" t="s">
        <v>107</v>
      </c>
      <c r="B224" s="165">
        <v>45017</v>
      </c>
      <c r="C224" s="57" t="str">
        <f>IF($B224="","",YEAR($B224)&amp;"-"&amp;IFERROR(VLOOKUP(MONTH(B224),KEY!$AE$5:$AF$16,2,FALSE),""))</f>
        <v>2023-Q2</v>
      </c>
      <c r="D224" s="3" t="s">
        <v>165</v>
      </c>
      <c r="E224" s="219">
        <v>20</v>
      </c>
      <c r="F224" s="166">
        <v>102</v>
      </c>
      <c r="G224" s="166">
        <v>85</v>
      </c>
      <c r="H224" s="21">
        <v>175</v>
      </c>
      <c r="I224" s="21">
        <v>20</v>
      </c>
      <c r="J224" s="21">
        <v>80</v>
      </c>
      <c r="K224" s="21">
        <v>22</v>
      </c>
      <c r="L224" s="21">
        <v>135</v>
      </c>
      <c r="M224" s="21">
        <v>58</v>
      </c>
      <c r="N224" s="21">
        <v>103</v>
      </c>
      <c r="O224" s="19">
        <v>154</v>
      </c>
      <c r="P224" s="22">
        <v>20</v>
      </c>
      <c r="Q224" s="22">
        <v>13</v>
      </c>
      <c r="R224" s="20" t="s">
        <v>51</v>
      </c>
      <c r="S224" s="234">
        <f>COUNTIFS(INP_DATA!$R$5:$R$3027,S$4,INP_DATA!$D$5:$D$3027,$D224,INP_DATA!$B$5:$B$3027,$B224)</f>
        <v>0</v>
      </c>
      <c r="T224" s="235">
        <f>COUNTIFS(INP_DATA!$R$5:$R$3027,T$4,INP_DATA!$D$5:$D$3027,$D224,INP_DATA!$B$5:$B$3027,$B224)</f>
        <v>1</v>
      </c>
    </row>
    <row r="225" spans="1:20" x14ac:dyDescent="0.35">
      <c r="A225" s="3" t="s">
        <v>16</v>
      </c>
      <c r="B225" s="165">
        <v>45047</v>
      </c>
      <c r="C225" s="57" t="str">
        <f>IF($B225="","",YEAR($B225)&amp;"-"&amp;IFERROR(VLOOKUP(MONTH(B225),KEY!$AE$5:$AF$16,2,FALSE),""))</f>
        <v>2023-Q2</v>
      </c>
      <c r="D225" s="3" t="s">
        <v>111</v>
      </c>
      <c r="E225" s="219">
        <v>12</v>
      </c>
      <c r="F225" s="166">
        <v>83</v>
      </c>
      <c r="G225" s="166">
        <v>77</v>
      </c>
      <c r="H225" s="21">
        <v>193</v>
      </c>
      <c r="I225" s="21">
        <v>30</v>
      </c>
      <c r="J225" s="21">
        <v>66</v>
      </c>
      <c r="K225" s="21">
        <v>12</v>
      </c>
      <c r="L225" s="21">
        <v>126</v>
      </c>
      <c r="M225" s="21">
        <v>50</v>
      </c>
      <c r="N225" s="21">
        <v>88</v>
      </c>
      <c r="O225" s="19">
        <v>184</v>
      </c>
      <c r="P225" s="22">
        <v>12</v>
      </c>
      <c r="Q225" s="22">
        <v>6</v>
      </c>
      <c r="R225" s="20" t="s">
        <v>51</v>
      </c>
      <c r="S225" s="234">
        <f>COUNTIFS(INP_DATA!$R$5:$R$3027,S$4,INP_DATA!$D$5:$D$3027,$D225,INP_DATA!$B$5:$B$3027,$B225)</f>
        <v>0</v>
      </c>
      <c r="T225" s="235">
        <f>COUNTIFS(INP_DATA!$R$5:$R$3027,T$4,INP_DATA!$D$5:$D$3027,$D225,INP_DATA!$B$5:$B$3027,$B225)</f>
        <v>1</v>
      </c>
    </row>
    <row r="226" spans="1:20" x14ac:dyDescent="0.35">
      <c r="A226" s="3" t="s">
        <v>108</v>
      </c>
      <c r="B226" s="165">
        <v>45047</v>
      </c>
      <c r="C226" s="57" t="str">
        <f>IF($B226="","",YEAR($B226)&amp;"-"&amp;IFERROR(VLOOKUP(MONTH(B226),KEY!$AE$5:$AF$16,2,FALSE),""))</f>
        <v>2023-Q2</v>
      </c>
      <c r="D226" s="3" t="s">
        <v>112</v>
      </c>
      <c r="E226" s="219">
        <v>11</v>
      </c>
      <c r="F226" s="166">
        <v>41</v>
      </c>
      <c r="G226" s="166">
        <v>45</v>
      </c>
      <c r="H226" s="21">
        <v>99</v>
      </c>
      <c r="I226" s="21">
        <v>10</v>
      </c>
      <c r="J226" s="21">
        <v>42</v>
      </c>
      <c r="K226" s="21">
        <v>8</v>
      </c>
      <c r="L226" s="21">
        <v>62</v>
      </c>
      <c r="M226" s="21">
        <v>27</v>
      </c>
      <c r="N226" s="21">
        <v>42</v>
      </c>
      <c r="O226" s="19">
        <v>92</v>
      </c>
      <c r="P226" s="22">
        <v>6</v>
      </c>
      <c r="Q226" s="22">
        <v>2</v>
      </c>
      <c r="R226" s="20" t="s">
        <v>51</v>
      </c>
      <c r="S226" s="234">
        <f>COUNTIFS(INP_DATA!$R$5:$R$3027,S$4,INP_DATA!$D$5:$D$3027,$D226,INP_DATA!$B$5:$B$3027,$B226)</f>
        <v>0</v>
      </c>
      <c r="T226" s="235">
        <f>COUNTIFS(INP_DATA!$R$5:$R$3027,T$4,INP_DATA!$D$5:$D$3027,$D226,INP_DATA!$B$5:$B$3027,$B226)</f>
        <v>1</v>
      </c>
    </row>
    <row r="227" spans="1:20" x14ac:dyDescent="0.35">
      <c r="A227" s="3" t="s">
        <v>16</v>
      </c>
      <c r="B227" s="165">
        <v>45047</v>
      </c>
      <c r="C227" s="57" t="str">
        <f>IF($B227="","",YEAR($B227)&amp;"-"&amp;IFERROR(VLOOKUP(MONTH(B227),KEY!$AE$5:$AF$16,2,FALSE),""))</f>
        <v>2023-Q2</v>
      </c>
      <c r="D227" s="3" t="s">
        <v>113</v>
      </c>
      <c r="E227" s="219">
        <v>15</v>
      </c>
      <c r="F227" s="166">
        <v>85</v>
      </c>
      <c r="G227" s="166">
        <v>81</v>
      </c>
      <c r="H227" s="21">
        <v>275</v>
      </c>
      <c r="I227" s="21">
        <v>27</v>
      </c>
      <c r="J227" s="21">
        <v>67</v>
      </c>
      <c r="K227" s="21">
        <v>20</v>
      </c>
      <c r="L227" s="21">
        <v>121</v>
      </c>
      <c r="M227" s="21">
        <v>48</v>
      </c>
      <c r="N227" s="21">
        <v>86</v>
      </c>
      <c r="O227" s="19">
        <v>161</v>
      </c>
      <c r="P227" s="22">
        <v>4</v>
      </c>
      <c r="Q227" s="22">
        <v>3</v>
      </c>
      <c r="R227" s="20" t="s">
        <v>58</v>
      </c>
      <c r="S227" s="234">
        <f>COUNTIFS(INP_DATA!$R$5:$R$3027,S$4,INP_DATA!$D$5:$D$3027,$D227,INP_DATA!$B$5:$B$3027,$B227)</f>
        <v>1</v>
      </c>
      <c r="T227" s="235">
        <f>COUNTIFS(INP_DATA!$R$5:$R$3027,T$4,INP_DATA!$D$5:$D$3027,$D227,INP_DATA!$B$5:$B$3027,$B227)</f>
        <v>0</v>
      </c>
    </row>
    <row r="228" spans="1:20" x14ac:dyDescent="0.35">
      <c r="A228" s="3" t="s">
        <v>108</v>
      </c>
      <c r="B228" s="165">
        <v>45047</v>
      </c>
      <c r="C228" s="57" t="str">
        <f>IF($B228="","",YEAR($B228)&amp;"-"&amp;IFERROR(VLOOKUP(MONTH(B228),KEY!$AE$5:$AF$16,2,FALSE),""))</f>
        <v>2023-Q2</v>
      </c>
      <c r="D228" s="3" t="s">
        <v>114</v>
      </c>
      <c r="E228" s="219">
        <v>16</v>
      </c>
      <c r="F228" s="166">
        <v>62</v>
      </c>
      <c r="G228" s="166">
        <v>67</v>
      </c>
      <c r="H228" s="21">
        <v>134</v>
      </c>
      <c r="I228" s="21">
        <v>18</v>
      </c>
      <c r="J228" s="21">
        <v>47</v>
      </c>
      <c r="K228" s="21">
        <v>10</v>
      </c>
      <c r="L228" s="21">
        <v>86</v>
      </c>
      <c r="M228" s="21">
        <v>40</v>
      </c>
      <c r="N228" s="21">
        <v>66</v>
      </c>
      <c r="O228" s="19">
        <v>161</v>
      </c>
      <c r="P228" s="22">
        <v>2</v>
      </c>
      <c r="Q228" s="22">
        <v>2</v>
      </c>
      <c r="R228" s="20" t="s">
        <v>51</v>
      </c>
      <c r="S228" s="234">
        <f>COUNTIFS(INP_DATA!$R$5:$R$3027,S$4,INP_DATA!$D$5:$D$3027,$D228,INP_DATA!$B$5:$B$3027,$B228)</f>
        <v>0</v>
      </c>
      <c r="T228" s="235">
        <f>COUNTIFS(INP_DATA!$R$5:$R$3027,T$4,INP_DATA!$D$5:$D$3027,$D228,INP_DATA!$B$5:$B$3027,$B228)</f>
        <v>1</v>
      </c>
    </row>
    <row r="229" spans="1:20" x14ac:dyDescent="0.35">
      <c r="A229" s="3" t="s">
        <v>107</v>
      </c>
      <c r="B229" s="165">
        <v>45047</v>
      </c>
      <c r="C229" s="57" t="str">
        <f>IF($B229="","",YEAR($B229)&amp;"-"&amp;IFERROR(VLOOKUP(MONTH(B229),KEY!$AE$5:$AF$16,2,FALSE),""))</f>
        <v>2023-Q2</v>
      </c>
      <c r="D229" s="3" t="s">
        <v>115</v>
      </c>
      <c r="E229" s="219">
        <v>4</v>
      </c>
      <c r="F229" s="166">
        <v>0</v>
      </c>
      <c r="G229" s="166">
        <v>0</v>
      </c>
      <c r="H229" s="21">
        <v>206</v>
      </c>
      <c r="I229" s="21">
        <v>24</v>
      </c>
      <c r="J229" s="21">
        <v>80</v>
      </c>
      <c r="K229" s="21">
        <v>20</v>
      </c>
      <c r="L229" s="21">
        <v>108</v>
      </c>
      <c r="M229" s="21">
        <v>39</v>
      </c>
      <c r="N229" s="21">
        <v>64</v>
      </c>
      <c r="O229" s="19">
        <v>115</v>
      </c>
      <c r="P229" s="22" t="s">
        <v>194</v>
      </c>
      <c r="Q229" s="22" t="s">
        <v>194</v>
      </c>
      <c r="R229" s="20" t="s">
        <v>194</v>
      </c>
      <c r="S229" s="234">
        <f>COUNTIFS(INP_DATA!$R$5:$R$3027,S$4,INP_DATA!$D$5:$D$3027,$D229,INP_DATA!$B$5:$B$3027,$B229)</f>
        <v>0</v>
      </c>
      <c r="T229" s="235">
        <f>COUNTIFS(INP_DATA!$R$5:$R$3027,T$4,INP_DATA!$D$5:$D$3027,$D229,INP_DATA!$B$5:$B$3027,$B229)</f>
        <v>0</v>
      </c>
    </row>
    <row r="230" spans="1:20" x14ac:dyDescent="0.35">
      <c r="A230" s="3" t="s">
        <v>16</v>
      </c>
      <c r="B230" s="165">
        <v>45047</v>
      </c>
      <c r="C230" s="57" t="str">
        <f>IF($B230="","",YEAR($B230)&amp;"-"&amp;IFERROR(VLOOKUP(MONTH(B230),KEY!$AE$5:$AF$16,2,FALSE),""))</f>
        <v>2023-Q2</v>
      </c>
      <c r="D230" s="3" t="s">
        <v>116</v>
      </c>
      <c r="E230" s="219">
        <v>23</v>
      </c>
      <c r="F230" s="166">
        <v>147</v>
      </c>
      <c r="G230" s="166">
        <v>173</v>
      </c>
      <c r="H230" s="21">
        <v>200</v>
      </c>
      <c r="I230" s="21">
        <v>28</v>
      </c>
      <c r="J230" s="21">
        <v>97</v>
      </c>
      <c r="K230" s="21">
        <v>14</v>
      </c>
      <c r="L230" s="21">
        <v>257</v>
      </c>
      <c r="M230" s="21">
        <v>85</v>
      </c>
      <c r="N230" s="21">
        <v>147</v>
      </c>
      <c r="O230" s="19">
        <v>276</v>
      </c>
      <c r="P230" s="22">
        <v>20</v>
      </c>
      <c r="Q230" s="22">
        <v>10</v>
      </c>
      <c r="R230" s="20" t="s">
        <v>51</v>
      </c>
      <c r="S230" s="234">
        <f>COUNTIFS(INP_DATA!$R$5:$R$3027,S$4,INP_DATA!$D$5:$D$3027,$D230,INP_DATA!$B$5:$B$3027,$B230)</f>
        <v>0</v>
      </c>
      <c r="T230" s="235">
        <f>COUNTIFS(INP_DATA!$R$5:$R$3027,T$4,INP_DATA!$D$5:$D$3027,$D230,INP_DATA!$B$5:$B$3027,$B230)</f>
        <v>1</v>
      </c>
    </row>
    <row r="231" spans="1:20" x14ac:dyDescent="0.35">
      <c r="A231" s="3" t="s">
        <v>107</v>
      </c>
      <c r="B231" s="165">
        <v>45047</v>
      </c>
      <c r="C231" s="57" t="str">
        <f>IF($B231="","",YEAR($B231)&amp;"-"&amp;IFERROR(VLOOKUP(MONTH(B231),KEY!$AE$5:$AF$16,2,FALSE),""))</f>
        <v>2023-Q2</v>
      </c>
      <c r="D231" s="3" t="s">
        <v>117</v>
      </c>
      <c r="E231" s="219">
        <v>21</v>
      </c>
      <c r="F231" s="166">
        <v>171</v>
      </c>
      <c r="G231" s="166">
        <v>169</v>
      </c>
      <c r="H231" s="21">
        <v>227</v>
      </c>
      <c r="I231" s="21">
        <v>29</v>
      </c>
      <c r="J231" s="21">
        <v>146</v>
      </c>
      <c r="K231" s="21">
        <v>34</v>
      </c>
      <c r="L231" s="21">
        <v>254</v>
      </c>
      <c r="M231" s="21">
        <v>107</v>
      </c>
      <c r="N231" s="21">
        <v>171</v>
      </c>
      <c r="O231" s="19">
        <v>322</v>
      </c>
      <c r="P231" s="22">
        <v>43</v>
      </c>
      <c r="Q231" s="22">
        <v>25</v>
      </c>
      <c r="R231" s="20" t="s">
        <v>58</v>
      </c>
      <c r="S231" s="234">
        <f>COUNTIFS(INP_DATA!$R$5:$R$3027,S$4,INP_DATA!$D$5:$D$3027,$D231,INP_DATA!$B$5:$B$3027,$B231)</f>
        <v>1</v>
      </c>
      <c r="T231" s="235">
        <f>COUNTIFS(INP_DATA!$R$5:$R$3027,T$4,INP_DATA!$D$5:$D$3027,$D231,INP_DATA!$B$5:$B$3027,$B231)</f>
        <v>0</v>
      </c>
    </row>
    <row r="232" spans="1:20" x14ac:dyDescent="0.35">
      <c r="A232" s="3" t="s">
        <v>106</v>
      </c>
      <c r="B232" s="165">
        <v>45047</v>
      </c>
      <c r="C232" s="57" t="str">
        <f>IF($B232="","",YEAR($B232)&amp;"-"&amp;IFERROR(VLOOKUP(MONTH(B232),KEY!$AE$5:$AF$16,2,FALSE),""))</f>
        <v>2023-Q2</v>
      </c>
      <c r="D232" s="3" t="s">
        <v>118</v>
      </c>
      <c r="E232" s="219">
        <v>10</v>
      </c>
      <c r="F232" s="166">
        <v>228</v>
      </c>
      <c r="G232" s="166">
        <v>220</v>
      </c>
      <c r="H232" s="21">
        <v>598</v>
      </c>
      <c r="I232" s="21">
        <v>50</v>
      </c>
      <c r="J232" s="21">
        <v>266</v>
      </c>
      <c r="K232" s="21">
        <v>38</v>
      </c>
      <c r="L232" s="21">
        <v>286</v>
      </c>
      <c r="M232" s="21">
        <v>75</v>
      </c>
      <c r="N232" s="21">
        <v>235</v>
      </c>
      <c r="O232" s="19">
        <v>299</v>
      </c>
      <c r="P232" s="22">
        <v>25</v>
      </c>
      <c r="Q232" s="22">
        <v>17</v>
      </c>
      <c r="R232" s="20" t="s">
        <v>51</v>
      </c>
      <c r="S232" s="234">
        <f>COUNTIFS(INP_DATA!$R$5:$R$3027,S$4,INP_DATA!$D$5:$D$3027,$D232,INP_DATA!$B$5:$B$3027,$B232)</f>
        <v>0</v>
      </c>
      <c r="T232" s="235">
        <f>COUNTIFS(INP_DATA!$R$5:$R$3027,T$4,INP_DATA!$D$5:$D$3027,$D232,INP_DATA!$B$5:$B$3027,$B232)</f>
        <v>1</v>
      </c>
    </row>
    <row r="233" spans="1:20" x14ac:dyDescent="0.35">
      <c r="A233" s="3" t="s">
        <v>16</v>
      </c>
      <c r="B233" s="165">
        <v>45047</v>
      </c>
      <c r="C233" s="57" t="str">
        <f>IF($B233="","",YEAR($B233)&amp;"-"&amp;IFERROR(VLOOKUP(MONTH(B233),KEY!$AE$5:$AF$16,2,FALSE),""))</f>
        <v>2023-Q2</v>
      </c>
      <c r="D233" s="3" t="s">
        <v>119</v>
      </c>
      <c r="E233" s="219">
        <v>6</v>
      </c>
      <c r="F233" s="166">
        <v>20</v>
      </c>
      <c r="G233" s="166">
        <v>27</v>
      </c>
      <c r="H233" s="21">
        <v>31</v>
      </c>
      <c r="I233" s="21">
        <v>2</v>
      </c>
      <c r="J233" s="21">
        <v>28</v>
      </c>
      <c r="K233" s="21">
        <v>9</v>
      </c>
      <c r="L233" s="21">
        <v>112</v>
      </c>
      <c r="M233" s="21">
        <v>17</v>
      </c>
      <c r="N233" s="21">
        <v>19</v>
      </c>
      <c r="O233" s="19">
        <v>92</v>
      </c>
      <c r="P233" s="22" t="s">
        <v>194</v>
      </c>
      <c r="Q233" s="22" t="s">
        <v>194</v>
      </c>
      <c r="R233" s="20" t="s">
        <v>194</v>
      </c>
      <c r="S233" s="234">
        <f>COUNTIFS(INP_DATA!$R$5:$R$3027,S$4,INP_DATA!$D$5:$D$3027,$D233,INP_DATA!$B$5:$B$3027,$B233)</f>
        <v>0</v>
      </c>
      <c r="T233" s="235">
        <f>COUNTIFS(INP_DATA!$R$5:$R$3027,T$4,INP_DATA!$D$5:$D$3027,$D233,INP_DATA!$B$5:$B$3027,$B233)</f>
        <v>0</v>
      </c>
    </row>
    <row r="234" spans="1:20" x14ac:dyDescent="0.35">
      <c r="A234" s="3" t="s">
        <v>16</v>
      </c>
      <c r="B234" s="165">
        <v>45047</v>
      </c>
      <c r="C234" s="57" t="str">
        <f>IF($B234="","",YEAR($B234)&amp;"-"&amp;IFERROR(VLOOKUP(MONTH(B234),KEY!$AE$5:$AF$16,2,FALSE),""))</f>
        <v>2023-Q2</v>
      </c>
      <c r="D234" s="3" t="s">
        <v>120</v>
      </c>
      <c r="E234" s="219">
        <v>54</v>
      </c>
      <c r="F234" s="166">
        <v>401</v>
      </c>
      <c r="G234" s="166">
        <v>361</v>
      </c>
      <c r="H234" s="21">
        <v>874</v>
      </c>
      <c r="I234" s="21">
        <v>107</v>
      </c>
      <c r="J234" s="21">
        <v>313</v>
      </c>
      <c r="K234" s="21">
        <v>57</v>
      </c>
      <c r="L234" s="21">
        <v>505</v>
      </c>
      <c r="M234" s="21">
        <v>219</v>
      </c>
      <c r="N234" s="21">
        <v>404</v>
      </c>
      <c r="O234" s="19">
        <v>598</v>
      </c>
      <c r="P234" s="22">
        <v>45</v>
      </c>
      <c r="Q234" s="22">
        <v>22</v>
      </c>
      <c r="R234" s="20" t="s">
        <v>58</v>
      </c>
      <c r="S234" s="234">
        <f>COUNTIFS(INP_DATA!$R$5:$R$3027,S$4,INP_DATA!$D$5:$D$3027,$D234,INP_DATA!$B$5:$B$3027,$B234)</f>
        <v>1</v>
      </c>
      <c r="T234" s="235">
        <f>COUNTIFS(INP_DATA!$R$5:$R$3027,T$4,INP_DATA!$D$5:$D$3027,$D234,INP_DATA!$B$5:$B$3027,$B234)</f>
        <v>0</v>
      </c>
    </row>
    <row r="235" spans="1:20" x14ac:dyDescent="0.35">
      <c r="A235" s="3" t="s">
        <v>109</v>
      </c>
      <c r="B235" s="165">
        <v>45047</v>
      </c>
      <c r="C235" s="57" t="str">
        <f>IF($B235="","",YEAR($B235)&amp;"-"&amp;IFERROR(VLOOKUP(MONTH(B235),KEY!$AE$5:$AF$16,2,FALSE),""))</f>
        <v>2023-Q2</v>
      </c>
      <c r="D235" s="3" t="s">
        <v>121</v>
      </c>
      <c r="E235" s="219">
        <v>76</v>
      </c>
      <c r="F235" s="166">
        <v>280</v>
      </c>
      <c r="G235" s="166">
        <v>237</v>
      </c>
      <c r="H235" s="21">
        <v>888</v>
      </c>
      <c r="I235" s="21">
        <v>94</v>
      </c>
      <c r="J235" s="21">
        <v>273</v>
      </c>
      <c r="K235" s="21">
        <v>46</v>
      </c>
      <c r="L235" s="21">
        <v>465</v>
      </c>
      <c r="M235" s="21">
        <v>169</v>
      </c>
      <c r="N235" s="21">
        <v>283</v>
      </c>
      <c r="O235" s="19">
        <v>483</v>
      </c>
      <c r="P235" s="22">
        <v>31</v>
      </c>
      <c r="Q235" s="22">
        <v>24</v>
      </c>
      <c r="R235" s="20" t="s">
        <v>58</v>
      </c>
      <c r="S235" s="234">
        <f>COUNTIFS(INP_DATA!$R$5:$R$3027,S$4,INP_DATA!$D$5:$D$3027,$D235,INP_DATA!$B$5:$B$3027,$B235)</f>
        <v>1</v>
      </c>
      <c r="T235" s="235">
        <f>COUNTIFS(INP_DATA!$R$5:$R$3027,T$4,INP_DATA!$D$5:$D$3027,$D235,INP_DATA!$B$5:$B$3027,$B235)</f>
        <v>0</v>
      </c>
    </row>
    <row r="236" spans="1:20" x14ac:dyDescent="0.35">
      <c r="A236" s="3" t="s">
        <v>108</v>
      </c>
      <c r="B236" s="165">
        <v>45047</v>
      </c>
      <c r="C236" s="57" t="str">
        <f>IF($B236="","",YEAR($B236)&amp;"-"&amp;IFERROR(VLOOKUP(MONTH(B236),KEY!$AE$5:$AF$16,2,FALSE),""))</f>
        <v>2023-Q2</v>
      </c>
      <c r="D236" s="3" t="s">
        <v>122</v>
      </c>
      <c r="E236" s="219">
        <v>11</v>
      </c>
      <c r="F236" s="166">
        <v>102</v>
      </c>
      <c r="G236" s="166">
        <v>117</v>
      </c>
      <c r="H236" s="21">
        <v>419</v>
      </c>
      <c r="I236" s="21">
        <v>41</v>
      </c>
      <c r="J236" s="21">
        <v>128</v>
      </c>
      <c r="K236" s="21">
        <v>22</v>
      </c>
      <c r="L236" s="21">
        <v>193</v>
      </c>
      <c r="M236" s="21">
        <v>53</v>
      </c>
      <c r="N236" s="21">
        <v>105</v>
      </c>
      <c r="O236" s="19">
        <v>161</v>
      </c>
      <c r="P236" s="22" t="s">
        <v>194</v>
      </c>
      <c r="Q236" s="22" t="s">
        <v>194</v>
      </c>
      <c r="R236" s="20" t="s">
        <v>58</v>
      </c>
      <c r="S236" s="234">
        <f>COUNTIFS(INP_DATA!$R$5:$R$3027,S$4,INP_DATA!$D$5:$D$3027,$D236,INP_DATA!$B$5:$B$3027,$B236)</f>
        <v>1</v>
      </c>
      <c r="T236" s="235">
        <f>COUNTIFS(INP_DATA!$R$5:$R$3027,T$4,INP_DATA!$D$5:$D$3027,$D236,INP_DATA!$B$5:$B$3027,$B236)</f>
        <v>0</v>
      </c>
    </row>
    <row r="237" spans="1:20" x14ac:dyDescent="0.35">
      <c r="A237" s="3" t="s">
        <v>107</v>
      </c>
      <c r="B237" s="165">
        <v>45047</v>
      </c>
      <c r="C237" s="57" t="str">
        <f>IF($B237="","",YEAR($B237)&amp;"-"&amp;IFERROR(VLOOKUP(MONTH(B237),KEY!$AE$5:$AF$16,2,FALSE),""))</f>
        <v>2023-Q2</v>
      </c>
      <c r="D237" s="3" t="s">
        <v>123</v>
      </c>
      <c r="E237" s="219">
        <v>44</v>
      </c>
      <c r="F237" s="166">
        <v>237</v>
      </c>
      <c r="G237" s="166">
        <v>189</v>
      </c>
      <c r="H237" s="21">
        <v>398</v>
      </c>
      <c r="I237" s="21">
        <v>51</v>
      </c>
      <c r="J237" s="21">
        <v>179</v>
      </c>
      <c r="K237" s="21">
        <v>49</v>
      </c>
      <c r="L237" s="21">
        <v>366</v>
      </c>
      <c r="M237" s="21">
        <v>160</v>
      </c>
      <c r="N237" s="21">
        <v>239</v>
      </c>
      <c r="O237" s="19">
        <v>391</v>
      </c>
      <c r="P237" s="22">
        <v>40</v>
      </c>
      <c r="Q237" s="22">
        <v>29</v>
      </c>
      <c r="R237" s="20" t="s">
        <v>58</v>
      </c>
      <c r="S237" s="234">
        <f>COUNTIFS(INP_DATA!$R$5:$R$3027,S$4,INP_DATA!$D$5:$D$3027,$D237,INP_DATA!$B$5:$B$3027,$B237)</f>
        <v>1</v>
      </c>
      <c r="T237" s="235">
        <f>COUNTIFS(INP_DATA!$R$5:$R$3027,T$4,INP_DATA!$D$5:$D$3027,$D237,INP_DATA!$B$5:$B$3027,$B237)</f>
        <v>0</v>
      </c>
    </row>
    <row r="238" spans="1:20" x14ac:dyDescent="0.35">
      <c r="A238" s="3" t="s">
        <v>108</v>
      </c>
      <c r="B238" s="165">
        <v>45047</v>
      </c>
      <c r="C238" s="57" t="str">
        <f>IF($B238="","",YEAR($B238)&amp;"-"&amp;IFERROR(VLOOKUP(MONTH(B238),KEY!$AE$5:$AF$16,2,FALSE),""))</f>
        <v>2023-Q2</v>
      </c>
      <c r="D238" s="3" t="s">
        <v>124</v>
      </c>
      <c r="E238" s="219">
        <v>86</v>
      </c>
      <c r="F238" s="166">
        <v>209</v>
      </c>
      <c r="G238" s="166">
        <v>256</v>
      </c>
      <c r="H238" s="21">
        <v>439</v>
      </c>
      <c r="I238" s="21">
        <v>48</v>
      </c>
      <c r="J238" s="21">
        <v>183</v>
      </c>
      <c r="K238" s="21">
        <v>18</v>
      </c>
      <c r="L238" s="21">
        <v>343</v>
      </c>
      <c r="M238" s="21">
        <v>132</v>
      </c>
      <c r="N238" s="21">
        <v>211</v>
      </c>
      <c r="O238" s="19">
        <v>437</v>
      </c>
      <c r="P238" s="22">
        <v>30</v>
      </c>
      <c r="Q238" s="22">
        <v>26</v>
      </c>
      <c r="R238" s="20" t="s">
        <v>58</v>
      </c>
      <c r="S238" s="234">
        <f>COUNTIFS(INP_DATA!$R$5:$R$3027,S$4,INP_DATA!$D$5:$D$3027,$D238,INP_DATA!$B$5:$B$3027,$B238)</f>
        <v>1</v>
      </c>
      <c r="T238" s="235">
        <f>COUNTIFS(INP_DATA!$R$5:$R$3027,T$4,INP_DATA!$D$5:$D$3027,$D238,INP_DATA!$B$5:$B$3027,$B238)</f>
        <v>0</v>
      </c>
    </row>
    <row r="239" spans="1:20" x14ac:dyDescent="0.35">
      <c r="A239" s="3" t="s">
        <v>106</v>
      </c>
      <c r="B239" s="165">
        <v>45047</v>
      </c>
      <c r="C239" s="57" t="str">
        <f>IF($B239="","",YEAR($B239)&amp;"-"&amp;IFERROR(VLOOKUP(MONTH(B239),KEY!$AE$5:$AF$16,2,FALSE),""))</f>
        <v>2023-Q2</v>
      </c>
      <c r="D239" s="3" t="s">
        <v>195</v>
      </c>
      <c r="E239" s="219">
        <v>10</v>
      </c>
      <c r="F239" s="166">
        <v>40</v>
      </c>
      <c r="G239" s="166">
        <v>37</v>
      </c>
      <c r="H239" s="21">
        <v>158</v>
      </c>
      <c r="I239" s="21">
        <v>17</v>
      </c>
      <c r="J239" s="21">
        <v>25</v>
      </c>
      <c r="K239" s="21">
        <v>3</v>
      </c>
      <c r="L239" s="21">
        <v>82</v>
      </c>
      <c r="M239" s="21">
        <v>31</v>
      </c>
      <c r="N239" s="21">
        <v>40</v>
      </c>
      <c r="O239" s="19">
        <v>92</v>
      </c>
      <c r="P239" s="22">
        <v>3</v>
      </c>
      <c r="Q239" s="22">
        <v>2</v>
      </c>
      <c r="R239" s="20" t="s">
        <v>58</v>
      </c>
      <c r="S239" s="234">
        <f>COUNTIFS(INP_DATA!$R$5:$R$3027,S$4,INP_DATA!$D$5:$D$3027,$D239,INP_DATA!$B$5:$B$3027,$B239)</f>
        <v>1</v>
      </c>
      <c r="T239" s="235">
        <f>COUNTIFS(INP_DATA!$R$5:$R$3027,T$4,INP_DATA!$D$5:$D$3027,$D239,INP_DATA!$B$5:$B$3027,$B239)</f>
        <v>0</v>
      </c>
    </row>
    <row r="240" spans="1:20" x14ac:dyDescent="0.35">
      <c r="A240" s="3" t="s">
        <v>106</v>
      </c>
      <c r="B240" s="165">
        <v>45047</v>
      </c>
      <c r="C240" s="57" t="str">
        <f>IF($B240="","",YEAR($B240)&amp;"-"&amp;IFERROR(VLOOKUP(MONTH(B240),KEY!$AE$5:$AF$16,2,FALSE),""))</f>
        <v>2023-Q2</v>
      </c>
      <c r="D240" s="3" t="s">
        <v>125</v>
      </c>
      <c r="E240" s="219">
        <v>36</v>
      </c>
      <c r="F240" s="166">
        <v>274</v>
      </c>
      <c r="G240" s="166">
        <v>167</v>
      </c>
      <c r="H240" s="21">
        <v>742</v>
      </c>
      <c r="I240" s="21">
        <v>97</v>
      </c>
      <c r="J240" s="21">
        <v>291</v>
      </c>
      <c r="K240" s="21">
        <v>30</v>
      </c>
      <c r="L240" s="21">
        <v>593</v>
      </c>
      <c r="M240" s="21">
        <v>118</v>
      </c>
      <c r="N240" s="21">
        <v>284</v>
      </c>
      <c r="O240" s="19">
        <v>368</v>
      </c>
      <c r="P240" s="22">
        <v>21</v>
      </c>
      <c r="Q240" s="22">
        <v>17</v>
      </c>
      <c r="R240" s="20" t="s">
        <v>58</v>
      </c>
      <c r="S240" s="234">
        <f>COUNTIFS(INP_DATA!$R$5:$R$3027,S$4,INP_DATA!$D$5:$D$3027,$D240,INP_DATA!$B$5:$B$3027,$B240)</f>
        <v>1</v>
      </c>
      <c r="T240" s="235">
        <f>COUNTIFS(INP_DATA!$R$5:$R$3027,T$4,INP_DATA!$D$5:$D$3027,$D240,INP_DATA!$B$5:$B$3027,$B240)</f>
        <v>0</v>
      </c>
    </row>
    <row r="241" spans="1:20" x14ac:dyDescent="0.35">
      <c r="A241" s="3" t="s">
        <v>107</v>
      </c>
      <c r="B241" s="165">
        <v>45047</v>
      </c>
      <c r="C241" s="57" t="str">
        <f>IF($B241="","",YEAR($B241)&amp;"-"&amp;IFERROR(VLOOKUP(MONTH(B241),KEY!$AE$5:$AF$16,2,FALSE),""))</f>
        <v>2023-Q2</v>
      </c>
      <c r="D241" s="3" t="s">
        <v>126</v>
      </c>
      <c r="E241" s="219">
        <v>88</v>
      </c>
      <c r="F241" s="166">
        <v>518</v>
      </c>
      <c r="G241" s="166">
        <v>469</v>
      </c>
      <c r="H241" s="21">
        <v>827</v>
      </c>
      <c r="I241" s="21">
        <v>131</v>
      </c>
      <c r="J241" s="21">
        <v>601</v>
      </c>
      <c r="K241" s="21">
        <v>168</v>
      </c>
      <c r="L241" s="21">
        <v>747</v>
      </c>
      <c r="M241" s="21">
        <v>289</v>
      </c>
      <c r="N241" s="21">
        <v>522</v>
      </c>
      <c r="O241" s="19">
        <v>805</v>
      </c>
      <c r="P241" s="22">
        <v>141</v>
      </c>
      <c r="Q241" s="22">
        <v>74</v>
      </c>
      <c r="R241" s="20" t="s">
        <v>58</v>
      </c>
      <c r="S241" s="234">
        <f>COUNTIFS(INP_DATA!$R$5:$R$3027,S$4,INP_DATA!$D$5:$D$3027,$D241,INP_DATA!$B$5:$B$3027,$B241)</f>
        <v>1</v>
      </c>
      <c r="T241" s="235">
        <f>COUNTIFS(INP_DATA!$R$5:$R$3027,T$4,INP_DATA!$D$5:$D$3027,$D241,INP_DATA!$B$5:$B$3027,$B241)</f>
        <v>0</v>
      </c>
    </row>
    <row r="242" spans="1:20" x14ac:dyDescent="0.35">
      <c r="A242" s="3" t="s">
        <v>107</v>
      </c>
      <c r="B242" s="165">
        <v>45047</v>
      </c>
      <c r="C242" s="57" t="str">
        <f>IF($B242="","",YEAR($B242)&amp;"-"&amp;IFERROR(VLOOKUP(MONTH(B242),KEY!$AE$5:$AF$16,2,FALSE),""))</f>
        <v>2023-Q2</v>
      </c>
      <c r="D242" s="3" t="s">
        <v>127</v>
      </c>
      <c r="E242" s="219">
        <v>10</v>
      </c>
      <c r="F242" s="166">
        <v>46</v>
      </c>
      <c r="G242" s="166">
        <v>57</v>
      </c>
      <c r="H242" s="21">
        <v>105</v>
      </c>
      <c r="I242" s="21">
        <v>12</v>
      </c>
      <c r="J242" s="21">
        <v>33</v>
      </c>
      <c r="K242" s="21">
        <v>10</v>
      </c>
      <c r="L242" s="21">
        <v>74</v>
      </c>
      <c r="M242" s="21">
        <v>32</v>
      </c>
      <c r="N242" s="21">
        <v>46</v>
      </c>
      <c r="O242" s="19">
        <v>92</v>
      </c>
      <c r="P242" s="22">
        <v>15</v>
      </c>
      <c r="Q242" s="22">
        <v>5</v>
      </c>
      <c r="R242" s="20" t="s">
        <v>58</v>
      </c>
      <c r="S242" s="234">
        <f>COUNTIFS(INP_DATA!$R$5:$R$3027,S$4,INP_DATA!$D$5:$D$3027,$D242,INP_DATA!$B$5:$B$3027,$B242)</f>
        <v>1</v>
      </c>
      <c r="T242" s="235">
        <f>COUNTIFS(INP_DATA!$R$5:$R$3027,T$4,INP_DATA!$D$5:$D$3027,$D242,INP_DATA!$B$5:$B$3027,$B242)</f>
        <v>0</v>
      </c>
    </row>
    <row r="243" spans="1:20" x14ac:dyDescent="0.35">
      <c r="A243" s="3" t="s">
        <v>109</v>
      </c>
      <c r="B243" s="165">
        <v>45047</v>
      </c>
      <c r="C243" s="57" t="str">
        <f>IF($B243="","",YEAR($B243)&amp;"-"&amp;IFERROR(VLOOKUP(MONTH(B243),KEY!$AE$5:$AF$16,2,FALSE),""))</f>
        <v>2023-Q2</v>
      </c>
      <c r="D243" s="3" t="s">
        <v>128</v>
      </c>
      <c r="E243" s="219">
        <v>5</v>
      </c>
      <c r="F243" s="166">
        <v>352</v>
      </c>
      <c r="G243" s="166">
        <v>223</v>
      </c>
      <c r="H243" s="21">
        <v>845</v>
      </c>
      <c r="I243" s="21">
        <v>115</v>
      </c>
      <c r="J243" s="21">
        <v>409</v>
      </c>
      <c r="K243" s="21">
        <v>94</v>
      </c>
      <c r="L243" s="21">
        <v>512</v>
      </c>
      <c r="M243" s="21">
        <v>204</v>
      </c>
      <c r="N243" s="21">
        <v>350</v>
      </c>
      <c r="O243" s="19">
        <v>276</v>
      </c>
      <c r="P243" s="22" t="s">
        <v>194</v>
      </c>
      <c r="Q243" s="22" t="s">
        <v>194</v>
      </c>
      <c r="R243" s="20" t="s">
        <v>58</v>
      </c>
      <c r="S243" s="234">
        <f>COUNTIFS(INP_DATA!$R$5:$R$3027,S$4,INP_DATA!$D$5:$D$3027,$D243,INP_DATA!$B$5:$B$3027,$B243)</f>
        <v>1</v>
      </c>
      <c r="T243" s="235">
        <f>COUNTIFS(INP_DATA!$R$5:$R$3027,T$4,INP_DATA!$D$5:$D$3027,$D243,INP_DATA!$B$5:$B$3027,$B243)</f>
        <v>0</v>
      </c>
    </row>
    <row r="244" spans="1:20" x14ac:dyDescent="0.35">
      <c r="A244" s="3" t="s">
        <v>106</v>
      </c>
      <c r="B244" s="165">
        <v>45047</v>
      </c>
      <c r="C244" s="57" t="str">
        <f>IF($B244="","",YEAR($B244)&amp;"-"&amp;IFERROR(VLOOKUP(MONTH(B244),KEY!$AE$5:$AF$16,2,FALSE),""))</f>
        <v>2023-Q2</v>
      </c>
      <c r="D244" s="3" t="s">
        <v>129</v>
      </c>
      <c r="E244" s="219">
        <v>20</v>
      </c>
      <c r="F244" s="166">
        <v>168</v>
      </c>
      <c r="G244" s="166">
        <v>141</v>
      </c>
      <c r="H244" s="21">
        <v>267</v>
      </c>
      <c r="I244" s="21">
        <v>16</v>
      </c>
      <c r="J244" s="21">
        <v>237</v>
      </c>
      <c r="K244" s="21">
        <v>38</v>
      </c>
      <c r="L244" s="21">
        <v>283</v>
      </c>
      <c r="M244" s="21">
        <v>72</v>
      </c>
      <c r="N244" s="21">
        <v>170</v>
      </c>
      <c r="O244" s="19">
        <v>322</v>
      </c>
      <c r="P244" s="22">
        <v>30</v>
      </c>
      <c r="Q244" s="22">
        <v>18</v>
      </c>
      <c r="R244" s="20" t="s">
        <v>58</v>
      </c>
      <c r="S244" s="234">
        <f>COUNTIFS(INP_DATA!$R$5:$R$3027,S$4,INP_DATA!$D$5:$D$3027,$D244,INP_DATA!$B$5:$B$3027,$B244)</f>
        <v>1</v>
      </c>
      <c r="T244" s="235">
        <f>COUNTIFS(INP_DATA!$R$5:$R$3027,T$4,INP_DATA!$D$5:$D$3027,$D244,INP_DATA!$B$5:$B$3027,$B244)</f>
        <v>0</v>
      </c>
    </row>
    <row r="245" spans="1:20" x14ac:dyDescent="0.35">
      <c r="A245" s="3" t="s">
        <v>108</v>
      </c>
      <c r="B245" s="165">
        <v>45047</v>
      </c>
      <c r="C245" s="57" t="str">
        <f>IF($B245="","",YEAR($B245)&amp;"-"&amp;IFERROR(VLOOKUP(MONTH(B245),KEY!$AE$5:$AF$16,2,FALSE),""))</f>
        <v>2023-Q2</v>
      </c>
      <c r="D245" s="3" t="s">
        <v>130</v>
      </c>
      <c r="E245" s="219">
        <v>24</v>
      </c>
      <c r="F245" s="166">
        <v>150</v>
      </c>
      <c r="G245" s="166">
        <v>111</v>
      </c>
      <c r="H245" s="21">
        <v>264</v>
      </c>
      <c r="I245" s="21">
        <v>44</v>
      </c>
      <c r="J245" s="21">
        <v>144</v>
      </c>
      <c r="K245" s="21">
        <v>46</v>
      </c>
      <c r="L245" s="21">
        <v>153</v>
      </c>
      <c r="M245" s="21">
        <v>56</v>
      </c>
      <c r="N245" s="21">
        <v>156</v>
      </c>
      <c r="O245" s="19">
        <v>161</v>
      </c>
      <c r="P245" s="22">
        <v>30</v>
      </c>
      <c r="Q245" s="22">
        <v>20</v>
      </c>
      <c r="R245" s="20" t="s">
        <v>51</v>
      </c>
      <c r="S245" s="234">
        <f>COUNTIFS(INP_DATA!$R$5:$R$3027,S$4,INP_DATA!$D$5:$D$3027,$D245,INP_DATA!$B$5:$B$3027,$B245)</f>
        <v>0</v>
      </c>
      <c r="T245" s="235">
        <f>COUNTIFS(INP_DATA!$R$5:$R$3027,T$4,INP_DATA!$D$5:$D$3027,$D245,INP_DATA!$B$5:$B$3027,$B245)</f>
        <v>1</v>
      </c>
    </row>
    <row r="246" spans="1:20" x14ac:dyDescent="0.35">
      <c r="A246" s="3" t="s">
        <v>109</v>
      </c>
      <c r="B246" s="165">
        <v>45047</v>
      </c>
      <c r="C246" s="57" t="str">
        <f>IF($B246="","",YEAR($B246)&amp;"-"&amp;IFERROR(VLOOKUP(MONTH(B246),KEY!$AE$5:$AF$16,2,FALSE),""))</f>
        <v>2023-Q2</v>
      </c>
      <c r="D246" s="3" t="s">
        <v>131</v>
      </c>
      <c r="E246" s="219">
        <v>27</v>
      </c>
      <c r="F246" s="166">
        <v>189</v>
      </c>
      <c r="G246" s="166">
        <v>155</v>
      </c>
      <c r="H246" s="21">
        <v>143</v>
      </c>
      <c r="I246" s="21">
        <v>22</v>
      </c>
      <c r="J246" s="21">
        <v>164</v>
      </c>
      <c r="K246" s="21">
        <v>43</v>
      </c>
      <c r="L246" s="21">
        <v>173</v>
      </c>
      <c r="M246" s="21">
        <v>39</v>
      </c>
      <c r="N246" s="21">
        <v>198</v>
      </c>
      <c r="O246" s="19">
        <v>276</v>
      </c>
      <c r="P246" s="22">
        <v>4</v>
      </c>
      <c r="Q246" s="22">
        <v>3</v>
      </c>
      <c r="R246" s="20" t="s">
        <v>58</v>
      </c>
      <c r="S246" s="234">
        <f>COUNTIFS(INP_DATA!$R$5:$R$3027,S$4,INP_DATA!$D$5:$D$3027,$D246,INP_DATA!$B$5:$B$3027,$B246)</f>
        <v>1</v>
      </c>
      <c r="T246" s="235">
        <f>COUNTIFS(INP_DATA!$R$5:$R$3027,T$4,INP_DATA!$D$5:$D$3027,$D246,INP_DATA!$B$5:$B$3027,$B246)</f>
        <v>0</v>
      </c>
    </row>
    <row r="247" spans="1:20" x14ac:dyDescent="0.35">
      <c r="A247" s="3" t="s">
        <v>108</v>
      </c>
      <c r="B247" s="165">
        <v>45047</v>
      </c>
      <c r="C247" s="57" t="str">
        <f>IF($B247="","",YEAR($B247)&amp;"-"&amp;IFERROR(VLOOKUP(MONTH(B247),KEY!$AE$5:$AF$16,2,FALSE),""))</f>
        <v>2023-Q2</v>
      </c>
      <c r="D247" s="3" t="s">
        <v>134</v>
      </c>
      <c r="E247" s="219">
        <v>16</v>
      </c>
      <c r="F247" s="166">
        <v>43</v>
      </c>
      <c r="G247" s="166">
        <v>38</v>
      </c>
      <c r="H247" s="21">
        <v>82</v>
      </c>
      <c r="I247" s="21">
        <v>11</v>
      </c>
      <c r="J247" s="21">
        <v>27</v>
      </c>
      <c r="K247" s="21">
        <v>5</v>
      </c>
      <c r="L247" s="21">
        <v>60</v>
      </c>
      <c r="M247" s="21">
        <v>26</v>
      </c>
      <c r="N247" s="21">
        <v>43</v>
      </c>
      <c r="O247" s="19">
        <v>92</v>
      </c>
      <c r="P247" s="22">
        <v>15</v>
      </c>
      <c r="Q247" s="22">
        <v>12</v>
      </c>
      <c r="R247" s="20" t="s">
        <v>51</v>
      </c>
      <c r="S247" s="234">
        <f>COUNTIFS(INP_DATA!$R$5:$R$3027,S$4,INP_DATA!$D$5:$D$3027,$D247,INP_DATA!$B$5:$B$3027,$B247)</f>
        <v>0</v>
      </c>
      <c r="T247" s="235">
        <f>COUNTIFS(INP_DATA!$R$5:$R$3027,T$4,INP_DATA!$D$5:$D$3027,$D247,INP_DATA!$B$5:$B$3027,$B247)</f>
        <v>1</v>
      </c>
    </row>
    <row r="248" spans="1:20" x14ac:dyDescent="0.35">
      <c r="A248" s="3" t="s">
        <v>108</v>
      </c>
      <c r="B248" s="165">
        <v>45047</v>
      </c>
      <c r="C248" s="57" t="str">
        <f>IF($B248="","",YEAR($B248)&amp;"-"&amp;IFERROR(VLOOKUP(MONTH(B248),KEY!$AE$5:$AF$16,2,FALSE),""))</f>
        <v>2023-Q2</v>
      </c>
      <c r="D248" s="3" t="s">
        <v>135</v>
      </c>
      <c r="E248" s="219">
        <v>55</v>
      </c>
      <c r="F248" s="166">
        <v>173</v>
      </c>
      <c r="G248" s="166">
        <v>274</v>
      </c>
      <c r="H248" s="21">
        <v>461</v>
      </c>
      <c r="I248" s="21">
        <v>57</v>
      </c>
      <c r="J248" s="21">
        <v>165</v>
      </c>
      <c r="K248" s="21">
        <v>41</v>
      </c>
      <c r="L248" s="21">
        <v>574</v>
      </c>
      <c r="M248" s="21">
        <v>111</v>
      </c>
      <c r="N248" s="21">
        <v>178</v>
      </c>
      <c r="O248" s="19">
        <v>276</v>
      </c>
      <c r="P248" s="22">
        <v>27</v>
      </c>
      <c r="Q248" s="22">
        <v>20</v>
      </c>
      <c r="R248" s="20" t="s">
        <v>51</v>
      </c>
      <c r="S248" s="234">
        <f>COUNTIFS(INP_DATA!$R$5:$R$3027,S$4,INP_DATA!$D$5:$D$3027,$D248,INP_DATA!$B$5:$B$3027,$B248)</f>
        <v>0</v>
      </c>
      <c r="T248" s="235">
        <f>COUNTIFS(INP_DATA!$R$5:$R$3027,T$4,INP_DATA!$D$5:$D$3027,$D248,INP_DATA!$B$5:$B$3027,$B248)</f>
        <v>1</v>
      </c>
    </row>
    <row r="249" spans="1:20" x14ac:dyDescent="0.35">
      <c r="A249" s="3" t="s">
        <v>16</v>
      </c>
      <c r="B249" s="165">
        <v>45047</v>
      </c>
      <c r="C249" s="57" t="str">
        <f>IF($B249="","",YEAR($B249)&amp;"-"&amp;IFERROR(VLOOKUP(MONTH(B249),KEY!$AE$5:$AF$16,2,FALSE),""))</f>
        <v>2023-Q2</v>
      </c>
      <c r="D249" s="3" t="s">
        <v>196</v>
      </c>
      <c r="E249" s="219">
        <v>12</v>
      </c>
      <c r="F249" s="166">
        <v>37</v>
      </c>
      <c r="G249" s="166">
        <v>33</v>
      </c>
      <c r="H249" s="21">
        <v>77</v>
      </c>
      <c r="I249" s="21">
        <v>10</v>
      </c>
      <c r="J249" s="21">
        <v>68</v>
      </c>
      <c r="K249" s="21">
        <v>8</v>
      </c>
      <c r="L249" s="21">
        <v>57</v>
      </c>
      <c r="M249" s="21">
        <v>23</v>
      </c>
      <c r="N249" s="21">
        <v>37</v>
      </c>
      <c r="O249" s="19">
        <v>115</v>
      </c>
      <c r="P249" s="22">
        <v>8</v>
      </c>
      <c r="Q249" s="22">
        <v>6</v>
      </c>
      <c r="R249" s="20" t="s">
        <v>58</v>
      </c>
      <c r="S249" s="234">
        <f>COUNTIFS(INP_DATA!$R$5:$R$3027,S$4,INP_DATA!$D$5:$D$3027,$D249,INP_DATA!$B$5:$B$3027,$B249)</f>
        <v>1</v>
      </c>
      <c r="T249" s="235">
        <f>COUNTIFS(INP_DATA!$R$5:$R$3027,T$4,INP_DATA!$D$5:$D$3027,$D249,INP_DATA!$B$5:$B$3027,$B249)</f>
        <v>0</v>
      </c>
    </row>
    <row r="250" spans="1:20" x14ac:dyDescent="0.35">
      <c r="A250" s="3" t="s">
        <v>16</v>
      </c>
      <c r="B250" s="165">
        <v>45047</v>
      </c>
      <c r="C250" s="57" t="str">
        <f>IF($B250="","",YEAR($B250)&amp;"-"&amp;IFERROR(VLOOKUP(MONTH(B250),KEY!$AE$5:$AF$16,2,FALSE),""))</f>
        <v>2023-Q2</v>
      </c>
      <c r="D250" s="3" t="s">
        <v>197</v>
      </c>
      <c r="E250" s="219">
        <v>21</v>
      </c>
      <c r="F250" s="166">
        <v>85</v>
      </c>
      <c r="G250" s="166">
        <v>73</v>
      </c>
      <c r="H250" s="21">
        <v>151</v>
      </c>
      <c r="I250" s="21">
        <v>21</v>
      </c>
      <c r="J250" s="21">
        <v>99</v>
      </c>
      <c r="K250" s="21">
        <v>16</v>
      </c>
      <c r="L250" s="21">
        <v>104</v>
      </c>
      <c r="M250" s="21">
        <v>50</v>
      </c>
      <c r="N250" s="21">
        <v>88</v>
      </c>
      <c r="O250" s="19">
        <v>184</v>
      </c>
      <c r="P250" s="22">
        <v>25</v>
      </c>
      <c r="Q250" s="22">
        <v>18</v>
      </c>
      <c r="R250" s="20" t="s">
        <v>58</v>
      </c>
      <c r="S250" s="234">
        <f>COUNTIFS(INP_DATA!$R$5:$R$3027,S$4,INP_DATA!$D$5:$D$3027,$D250,INP_DATA!$B$5:$B$3027,$B250)</f>
        <v>1</v>
      </c>
      <c r="T250" s="235">
        <f>COUNTIFS(INP_DATA!$R$5:$R$3027,T$4,INP_DATA!$D$5:$D$3027,$D250,INP_DATA!$B$5:$B$3027,$B250)</f>
        <v>0</v>
      </c>
    </row>
    <row r="251" spans="1:20" x14ac:dyDescent="0.35">
      <c r="A251" s="3" t="s">
        <v>109</v>
      </c>
      <c r="B251" s="165">
        <v>45047</v>
      </c>
      <c r="C251" s="57" t="str">
        <f>IF($B251="","",YEAR($B251)&amp;"-"&amp;IFERROR(VLOOKUP(MONTH(B251),KEY!$AE$5:$AF$16,2,FALSE),""))</f>
        <v>2023-Q2</v>
      </c>
      <c r="D251" s="3" t="s">
        <v>136</v>
      </c>
      <c r="E251" s="219">
        <v>89</v>
      </c>
      <c r="F251" s="166">
        <v>251</v>
      </c>
      <c r="G251" s="166">
        <v>252</v>
      </c>
      <c r="H251" s="21">
        <v>557</v>
      </c>
      <c r="I251" s="21">
        <v>56</v>
      </c>
      <c r="J251" s="21">
        <v>324</v>
      </c>
      <c r="K251" s="21">
        <v>39</v>
      </c>
      <c r="L251" s="21">
        <v>302</v>
      </c>
      <c r="M251" s="21">
        <v>141</v>
      </c>
      <c r="N251" s="21">
        <v>275</v>
      </c>
      <c r="O251" s="19">
        <v>345</v>
      </c>
      <c r="P251" s="22">
        <v>34</v>
      </c>
      <c r="Q251" s="22">
        <v>28</v>
      </c>
      <c r="R251" s="20" t="s">
        <v>51</v>
      </c>
      <c r="S251" s="234">
        <f>COUNTIFS(INP_DATA!$R$5:$R$3027,S$4,INP_DATA!$D$5:$D$3027,$D251,INP_DATA!$B$5:$B$3027,$B251)</f>
        <v>0</v>
      </c>
      <c r="T251" s="235">
        <f>COUNTIFS(INP_DATA!$R$5:$R$3027,T$4,INP_DATA!$D$5:$D$3027,$D251,INP_DATA!$B$5:$B$3027,$B251)</f>
        <v>1</v>
      </c>
    </row>
    <row r="252" spans="1:20" x14ac:dyDescent="0.35">
      <c r="A252" s="3" t="s">
        <v>16</v>
      </c>
      <c r="B252" s="165">
        <v>45047</v>
      </c>
      <c r="C252" s="57" t="str">
        <f>IF($B252="","",YEAR($B252)&amp;"-"&amp;IFERROR(VLOOKUP(MONTH(B252),KEY!$AE$5:$AF$16,2,FALSE),""))</f>
        <v>2023-Q2</v>
      </c>
      <c r="D252" s="3" t="s">
        <v>137</v>
      </c>
      <c r="E252" s="219">
        <v>18</v>
      </c>
      <c r="F252" s="166">
        <v>84</v>
      </c>
      <c r="G252" s="166">
        <v>71</v>
      </c>
      <c r="H252" s="21">
        <v>188</v>
      </c>
      <c r="I252" s="21">
        <v>24</v>
      </c>
      <c r="J252" s="21">
        <v>152</v>
      </c>
      <c r="K252" s="21">
        <v>21</v>
      </c>
      <c r="L252" s="21">
        <v>153</v>
      </c>
      <c r="M252" s="21">
        <v>59</v>
      </c>
      <c r="N252" s="21">
        <v>86</v>
      </c>
      <c r="O252" s="19">
        <v>184</v>
      </c>
      <c r="P252" s="22">
        <v>20</v>
      </c>
      <c r="Q252" s="22">
        <v>8</v>
      </c>
      <c r="R252" s="20" t="s">
        <v>58</v>
      </c>
      <c r="S252" s="234">
        <f>COUNTIFS(INP_DATA!$R$5:$R$3027,S$4,INP_DATA!$D$5:$D$3027,$D252,INP_DATA!$B$5:$B$3027,$B252)</f>
        <v>1</v>
      </c>
      <c r="T252" s="235">
        <f>COUNTIFS(INP_DATA!$R$5:$R$3027,T$4,INP_DATA!$D$5:$D$3027,$D252,INP_DATA!$B$5:$B$3027,$B252)</f>
        <v>0</v>
      </c>
    </row>
    <row r="253" spans="1:20" x14ac:dyDescent="0.35">
      <c r="A253" s="3" t="s">
        <v>109</v>
      </c>
      <c r="B253" s="165">
        <v>45047</v>
      </c>
      <c r="C253" s="57" t="str">
        <f>IF($B253="","",YEAR($B253)&amp;"-"&amp;IFERROR(VLOOKUP(MONTH(B253),KEY!$AE$5:$AF$16,2,FALSE),""))</f>
        <v>2023-Q2</v>
      </c>
      <c r="D253" s="3" t="s">
        <v>138</v>
      </c>
      <c r="E253" s="219">
        <v>18</v>
      </c>
      <c r="F253" s="166">
        <v>129</v>
      </c>
      <c r="G253" s="166">
        <v>114</v>
      </c>
      <c r="H253" s="21">
        <v>284</v>
      </c>
      <c r="I253" s="21">
        <v>45</v>
      </c>
      <c r="J253" s="21">
        <v>141</v>
      </c>
      <c r="K253" s="21">
        <v>35</v>
      </c>
      <c r="L253" s="21">
        <v>205</v>
      </c>
      <c r="M253" s="21">
        <v>81</v>
      </c>
      <c r="N253" s="21">
        <v>136</v>
      </c>
      <c r="O253" s="19">
        <v>161</v>
      </c>
      <c r="P253" s="22">
        <v>15</v>
      </c>
      <c r="Q253" s="22">
        <v>11</v>
      </c>
      <c r="R253" s="20" t="s">
        <v>51</v>
      </c>
      <c r="S253" s="234">
        <f>COUNTIFS(INP_DATA!$R$5:$R$3027,S$4,INP_DATA!$D$5:$D$3027,$D253,INP_DATA!$B$5:$B$3027,$B253)</f>
        <v>0</v>
      </c>
      <c r="T253" s="235">
        <f>COUNTIFS(INP_DATA!$R$5:$R$3027,T$4,INP_DATA!$D$5:$D$3027,$D253,INP_DATA!$B$5:$B$3027,$B253)</f>
        <v>1</v>
      </c>
    </row>
    <row r="254" spans="1:20" x14ac:dyDescent="0.35">
      <c r="A254" s="3" t="s">
        <v>108</v>
      </c>
      <c r="B254" s="165">
        <v>45047</v>
      </c>
      <c r="C254" s="57" t="str">
        <f>IF($B254="","",YEAR($B254)&amp;"-"&amp;IFERROR(VLOOKUP(MONTH(B254),KEY!$AE$5:$AF$16,2,FALSE),""))</f>
        <v>2023-Q2</v>
      </c>
      <c r="D254" s="3" t="s">
        <v>139</v>
      </c>
      <c r="E254" s="219">
        <v>32</v>
      </c>
      <c r="F254" s="166">
        <v>159</v>
      </c>
      <c r="G254" s="166">
        <v>191</v>
      </c>
      <c r="H254" s="21">
        <v>281</v>
      </c>
      <c r="I254" s="21">
        <v>32</v>
      </c>
      <c r="J254" s="21">
        <v>181</v>
      </c>
      <c r="K254" s="21">
        <v>14</v>
      </c>
      <c r="L254" s="21">
        <v>201</v>
      </c>
      <c r="M254" s="21">
        <v>88</v>
      </c>
      <c r="N254" s="21">
        <v>160</v>
      </c>
      <c r="O254" s="19">
        <v>299</v>
      </c>
      <c r="P254" s="22">
        <v>45</v>
      </c>
      <c r="Q254" s="22">
        <v>23</v>
      </c>
      <c r="R254" s="20" t="s">
        <v>58</v>
      </c>
      <c r="S254" s="234">
        <f>COUNTIFS(INP_DATA!$R$5:$R$3027,S$4,INP_DATA!$D$5:$D$3027,$D254,INP_DATA!$B$5:$B$3027,$B254)</f>
        <v>1</v>
      </c>
      <c r="T254" s="235">
        <f>COUNTIFS(INP_DATA!$R$5:$R$3027,T$4,INP_DATA!$D$5:$D$3027,$D254,INP_DATA!$B$5:$B$3027,$B254)</f>
        <v>0</v>
      </c>
    </row>
    <row r="255" spans="1:20" x14ac:dyDescent="0.35">
      <c r="A255" s="3" t="s">
        <v>107</v>
      </c>
      <c r="B255" s="165">
        <v>45047</v>
      </c>
      <c r="C255" s="57" t="str">
        <f>IF($B255="","",YEAR($B255)&amp;"-"&amp;IFERROR(VLOOKUP(MONTH(B255),KEY!$AE$5:$AF$16,2,FALSE),""))</f>
        <v>2023-Q2</v>
      </c>
      <c r="D255" s="3" t="s">
        <v>140</v>
      </c>
      <c r="E255" s="219">
        <v>5</v>
      </c>
      <c r="F255" s="166">
        <v>31</v>
      </c>
      <c r="G255" s="166">
        <v>38</v>
      </c>
      <c r="H255" s="21">
        <v>120</v>
      </c>
      <c r="I255" s="21">
        <v>7</v>
      </c>
      <c r="J255" s="21">
        <v>51</v>
      </c>
      <c r="K255" s="21">
        <v>7</v>
      </c>
      <c r="L255" s="21">
        <v>65</v>
      </c>
      <c r="M255" s="21">
        <v>21</v>
      </c>
      <c r="N255" s="21">
        <v>33</v>
      </c>
      <c r="O255" s="19">
        <v>69</v>
      </c>
      <c r="P255" s="22">
        <v>15</v>
      </c>
      <c r="Q255" s="22">
        <v>6</v>
      </c>
      <c r="R255" s="20" t="s">
        <v>51</v>
      </c>
      <c r="S255" s="234">
        <f>COUNTIFS(INP_DATA!$R$5:$R$3027,S$4,INP_DATA!$D$5:$D$3027,$D255,INP_DATA!$B$5:$B$3027,$B255)</f>
        <v>0</v>
      </c>
      <c r="T255" s="235">
        <f>COUNTIFS(INP_DATA!$R$5:$R$3027,T$4,INP_DATA!$D$5:$D$3027,$D255,INP_DATA!$B$5:$B$3027,$B255)</f>
        <v>1</v>
      </c>
    </row>
    <row r="256" spans="1:20" x14ac:dyDescent="0.35">
      <c r="A256" s="3" t="s">
        <v>108</v>
      </c>
      <c r="B256" s="165">
        <v>45047</v>
      </c>
      <c r="C256" s="57" t="str">
        <f>IF($B256="","",YEAR($B256)&amp;"-"&amp;IFERROR(VLOOKUP(MONTH(B256),KEY!$AE$5:$AF$16,2,FALSE),""))</f>
        <v>2023-Q2</v>
      </c>
      <c r="D256" s="3" t="s">
        <v>142</v>
      </c>
      <c r="E256" s="219">
        <v>21</v>
      </c>
      <c r="F256" s="166">
        <v>93</v>
      </c>
      <c r="G256" s="166">
        <v>77</v>
      </c>
      <c r="H256" s="21">
        <v>178</v>
      </c>
      <c r="I256" s="21">
        <v>24</v>
      </c>
      <c r="J256" s="21">
        <v>49</v>
      </c>
      <c r="K256" s="21">
        <v>15</v>
      </c>
      <c r="L256" s="21">
        <v>124</v>
      </c>
      <c r="M256" s="21">
        <v>53</v>
      </c>
      <c r="N256" s="21">
        <v>92</v>
      </c>
      <c r="O256" s="19">
        <v>115</v>
      </c>
      <c r="P256" s="22">
        <v>20</v>
      </c>
      <c r="Q256" s="22">
        <v>16</v>
      </c>
      <c r="R256" s="20" t="s">
        <v>51</v>
      </c>
      <c r="S256" s="234">
        <f>COUNTIFS(INP_DATA!$R$5:$R$3027,S$4,INP_DATA!$D$5:$D$3027,$D256,INP_DATA!$B$5:$B$3027,$B256)</f>
        <v>0</v>
      </c>
      <c r="T256" s="235">
        <f>COUNTIFS(INP_DATA!$R$5:$R$3027,T$4,INP_DATA!$D$5:$D$3027,$D256,INP_DATA!$B$5:$B$3027,$B256)</f>
        <v>1</v>
      </c>
    </row>
    <row r="257" spans="1:20" x14ac:dyDescent="0.35">
      <c r="A257" s="3" t="s">
        <v>16</v>
      </c>
      <c r="B257" s="165">
        <v>45047</v>
      </c>
      <c r="C257" s="57" t="str">
        <f>IF($B257="","",YEAR($B257)&amp;"-"&amp;IFERROR(VLOOKUP(MONTH(B257),KEY!$AE$5:$AF$16,2,FALSE),""))</f>
        <v>2023-Q2</v>
      </c>
      <c r="D257" s="3" t="s">
        <v>143</v>
      </c>
      <c r="E257" s="219">
        <v>19</v>
      </c>
      <c r="F257" s="166">
        <v>79</v>
      </c>
      <c r="G257" s="166">
        <v>89</v>
      </c>
      <c r="H257" s="21">
        <v>117</v>
      </c>
      <c r="I257" s="21">
        <v>21</v>
      </c>
      <c r="J257" s="21">
        <v>73</v>
      </c>
      <c r="K257" s="21">
        <v>21</v>
      </c>
      <c r="L257" s="21">
        <v>168</v>
      </c>
      <c r="M257" s="21">
        <v>61</v>
      </c>
      <c r="N257" s="21">
        <v>79</v>
      </c>
      <c r="O257" s="19">
        <v>207</v>
      </c>
      <c r="P257" s="22">
        <v>12</v>
      </c>
      <c r="Q257" s="22">
        <v>4</v>
      </c>
      <c r="R257" s="20" t="s">
        <v>58</v>
      </c>
      <c r="S257" s="234">
        <f>COUNTIFS(INP_DATA!$R$5:$R$3027,S$4,INP_DATA!$D$5:$D$3027,$D257,INP_DATA!$B$5:$B$3027,$B257)</f>
        <v>1</v>
      </c>
      <c r="T257" s="235">
        <f>COUNTIFS(INP_DATA!$R$5:$R$3027,T$4,INP_DATA!$D$5:$D$3027,$D257,INP_DATA!$B$5:$B$3027,$B257)</f>
        <v>0</v>
      </c>
    </row>
    <row r="258" spans="1:20" x14ac:dyDescent="0.35">
      <c r="A258" s="3" t="s">
        <v>16</v>
      </c>
      <c r="B258" s="165">
        <v>45047</v>
      </c>
      <c r="C258" s="57" t="str">
        <f>IF($B258="","",YEAR($B258)&amp;"-"&amp;IFERROR(VLOOKUP(MONTH(B258),KEY!$AE$5:$AF$16,2,FALSE),""))</f>
        <v>2023-Q2</v>
      </c>
      <c r="D258" s="3" t="s">
        <v>144</v>
      </c>
      <c r="E258" s="219">
        <v>38</v>
      </c>
      <c r="F258" s="166">
        <v>179</v>
      </c>
      <c r="G258" s="166">
        <v>202</v>
      </c>
      <c r="H258" s="21">
        <v>226</v>
      </c>
      <c r="I258" s="21">
        <v>37</v>
      </c>
      <c r="J258" s="21">
        <v>136</v>
      </c>
      <c r="K258" s="21">
        <v>25</v>
      </c>
      <c r="L258" s="21">
        <v>259</v>
      </c>
      <c r="M258" s="21">
        <v>98</v>
      </c>
      <c r="N258" s="21">
        <v>185</v>
      </c>
      <c r="O258" s="19">
        <v>414</v>
      </c>
      <c r="P258" s="22">
        <v>23</v>
      </c>
      <c r="Q258" s="22">
        <v>17</v>
      </c>
      <c r="R258" s="20" t="s">
        <v>58</v>
      </c>
      <c r="S258" s="234">
        <f>COUNTIFS(INP_DATA!$R$5:$R$3027,S$4,INP_DATA!$D$5:$D$3027,$D258,INP_DATA!$B$5:$B$3027,$B258)</f>
        <v>1</v>
      </c>
      <c r="T258" s="235">
        <f>COUNTIFS(INP_DATA!$R$5:$R$3027,T$4,INP_DATA!$D$5:$D$3027,$D258,INP_DATA!$B$5:$B$3027,$B258)</f>
        <v>0</v>
      </c>
    </row>
    <row r="259" spans="1:20" x14ac:dyDescent="0.35">
      <c r="A259" s="3" t="s">
        <v>108</v>
      </c>
      <c r="B259" s="165">
        <v>45047</v>
      </c>
      <c r="C259" s="57" t="str">
        <f>IF($B259="","",YEAR($B259)&amp;"-"&amp;IFERROR(VLOOKUP(MONTH(B259),KEY!$AE$5:$AF$16,2,FALSE),""))</f>
        <v>2023-Q2</v>
      </c>
      <c r="D259" s="3" t="s">
        <v>145</v>
      </c>
      <c r="E259" s="219">
        <v>68</v>
      </c>
      <c r="F259" s="166">
        <v>178</v>
      </c>
      <c r="G259" s="166">
        <v>224</v>
      </c>
      <c r="H259" s="21">
        <v>301</v>
      </c>
      <c r="I259" s="21">
        <v>39</v>
      </c>
      <c r="J259" s="21">
        <v>164</v>
      </c>
      <c r="K259" s="21">
        <v>27</v>
      </c>
      <c r="L259" s="21">
        <v>370</v>
      </c>
      <c r="M259" s="21">
        <v>103</v>
      </c>
      <c r="N259" s="21">
        <v>178</v>
      </c>
      <c r="O259" s="19">
        <v>368</v>
      </c>
      <c r="P259" s="22">
        <v>45</v>
      </c>
      <c r="Q259" s="22">
        <v>29</v>
      </c>
      <c r="R259" s="20" t="s">
        <v>51</v>
      </c>
      <c r="S259" s="234">
        <f>COUNTIFS(INP_DATA!$R$5:$R$3027,S$4,INP_DATA!$D$5:$D$3027,$D259,INP_DATA!$B$5:$B$3027,$B259)</f>
        <v>0</v>
      </c>
      <c r="T259" s="235">
        <f>COUNTIFS(INP_DATA!$R$5:$R$3027,T$4,INP_DATA!$D$5:$D$3027,$D259,INP_DATA!$B$5:$B$3027,$B259)</f>
        <v>1</v>
      </c>
    </row>
    <row r="260" spans="1:20" x14ac:dyDescent="0.35">
      <c r="A260" s="3" t="s">
        <v>16</v>
      </c>
      <c r="B260" s="165">
        <v>45047</v>
      </c>
      <c r="C260" s="57" t="str">
        <f>IF($B260="","",YEAR($B260)&amp;"-"&amp;IFERROR(VLOOKUP(MONTH(B260),KEY!$AE$5:$AF$16,2,FALSE),""))</f>
        <v>2023-Q2</v>
      </c>
      <c r="D260" s="3" t="s">
        <v>146</v>
      </c>
      <c r="E260" s="219">
        <v>4</v>
      </c>
      <c r="F260" s="166">
        <v>39</v>
      </c>
      <c r="G260" s="166">
        <v>30</v>
      </c>
      <c r="H260" s="21">
        <v>99</v>
      </c>
      <c r="I260" s="21">
        <v>16</v>
      </c>
      <c r="J260" s="21">
        <v>42</v>
      </c>
      <c r="K260" s="21">
        <v>5</v>
      </c>
      <c r="L260" s="21">
        <v>74</v>
      </c>
      <c r="M260" s="21">
        <v>30</v>
      </c>
      <c r="N260" s="21">
        <v>39</v>
      </c>
      <c r="O260" s="19">
        <v>115</v>
      </c>
      <c r="P260" s="22">
        <v>6</v>
      </c>
      <c r="Q260" s="22">
        <v>5</v>
      </c>
      <c r="R260" s="20" t="s">
        <v>58</v>
      </c>
      <c r="S260" s="234">
        <f>COUNTIFS(INP_DATA!$R$5:$R$3027,S$4,INP_DATA!$D$5:$D$3027,$D260,INP_DATA!$B$5:$B$3027,$B260)</f>
        <v>1</v>
      </c>
      <c r="T260" s="235">
        <f>COUNTIFS(INP_DATA!$R$5:$R$3027,T$4,INP_DATA!$D$5:$D$3027,$D260,INP_DATA!$B$5:$B$3027,$B260)</f>
        <v>0</v>
      </c>
    </row>
    <row r="261" spans="1:20" x14ac:dyDescent="0.35">
      <c r="A261" s="3" t="s">
        <v>109</v>
      </c>
      <c r="B261" s="165">
        <v>45047</v>
      </c>
      <c r="C261" s="57" t="str">
        <f>IF($B261="","",YEAR($B261)&amp;"-"&amp;IFERROR(VLOOKUP(MONTH(B261),KEY!$AE$5:$AF$16,2,FALSE),""))</f>
        <v>2023-Q2</v>
      </c>
      <c r="D261" s="3" t="s">
        <v>147</v>
      </c>
      <c r="E261" s="219">
        <v>12</v>
      </c>
      <c r="F261" s="166">
        <v>54</v>
      </c>
      <c r="G261" s="166">
        <v>40</v>
      </c>
      <c r="H261" s="21">
        <v>91</v>
      </c>
      <c r="I261" s="21">
        <v>10</v>
      </c>
      <c r="J261" s="21">
        <v>61</v>
      </c>
      <c r="K261" s="21">
        <v>7</v>
      </c>
      <c r="L261" s="21">
        <v>75</v>
      </c>
      <c r="M261" s="21">
        <v>39</v>
      </c>
      <c r="N261" s="21">
        <v>55</v>
      </c>
      <c r="O261" s="19">
        <v>92</v>
      </c>
      <c r="P261" s="22">
        <v>4</v>
      </c>
      <c r="Q261" s="22">
        <v>3</v>
      </c>
      <c r="R261" s="20" t="s">
        <v>58</v>
      </c>
      <c r="S261" s="234">
        <f>COUNTIFS(INP_DATA!$R$5:$R$3027,S$4,INP_DATA!$D$5:$D$3027,$D261,INP_DATA!$B$5:$B$3027,$B261)</f>
        <v>1</v>
      </c>
      <c r="T261" s="235">
        <f>COUNTIFS(INP_DATA!$R$5:$R$3027,T$4,INP_DATA!$D$5:$D$3027,$D261,INP_DATA!$B$5:$B$3027,$B261)</f>
        <v>0</v>
      </c>
    </row>
    <row r="262" spans="1:20" x14ac:dyDescent="0.35">
      <c r="A262" s="3" t="s">
        <v>106</v>
      </c>
      <c r="B262" s="165">
        <v>45047</v>
      </c>
      <c r="C262" s="57" t="str">
        <f>IF($B262="","",YEAR($B262)&amp;"-"&amp;IFERROR(VLOOKUP(MONTH(B262),KEY!$AE$5:$AF$16,2,FALSE),""))</f>
        <v>2023-Q2</v>
      </c>
      <c r="D262" s="3" t="s">
        <v>148</v>
      </c>
      <c r="E262" s="219">
        <v>16</v>
      </c>
      <c r="F262" s="166">
        <v>44</v>
      </c>
      <c r="G262" s="166">
        <v>51</v>
      </c>
      <c r="H262" s="21">
        <v>111</v>
      </c>
      <c r="I262" s="21">
        <v>11</v>
      </c>
      <c r="J262" s="21">
        <v>72</v>
      </c>
      <c r="K262" s="21">
        <v>9</v>
      </c>
      <c r="L262" s="21">
        <v>121</v>
      </c>
      <c r="M262" s="21">
        <v>42</v>
      </c>
      <c r="N262" s="21">
        <v>44</v>
      </c>
      <c r="O262" s="19">
        <v>92</v>
      </c>
      <c r="P262" s="22">
        <v>10</v>
      </c>
      <c r="Q262" s="22">
        <v>6</v>
      </c>
      <c r="R262" s="20" t="s">
        <v>58</v>
      </c>
      <c r="S262" s="234">
        <f>COUNTIFS(INP_DATA!$R$5:$R$3027,S$4,INP_DATA!$D$5:$D$3027,$D262,INP_DATA!$B$5:$B$3027,$B262)</f>
        <v>1</v>
      </c>
      <c r="T262" s="235">
        <f>COUNTIFS(INP_DATA!$R$5:$R$3027,T$4,INP_DATA!$D$5:$D$3027,$D262,INP_DATA!$B$5:$B$3027,$B262)</f>
        <v>0</v>
      </c>
    </row>
    <row r="263" spans="1:20" x14ac:dyDescent="0.35">
      <c r="A263" s="3" t="s">
        <v>107</v>
      </c>
      <c r="B263" s="165">
        <v>45047</v>
      </c>
      <c r="C263" s="57" t="str">
        <f>IF($B263="","",YEAR($B263)&amp;"-"&amp;IFERROR(VLOOKUP(MONTH(B263),KEY!$AE$5:$AF$16,2,FALSE),""))</f>
        <v>2023-Q2</v>
      </c>
      <c r="D263" s="3" t="s">
        <v>149</v>
      </c>
      <c r="E263" s="219">
        <v>1</v>
      </c>
      <c r="F263" s="166">
        <v>23</v>
      </c>
      <c r="G263" s="166">
        <v>14</v>
      </c>
      <c r="H263" s="21">
        <v>60</v>
      </c>
      <c r="I263" s="21">
        <v>9</v>
      </c>
      <c r="J263" s="21">
        <v>28</v>
      </c>
      <c r="K263" s="21">
        <v>1</v>
      </c>
      <c r="L263" s="21">
        <v>42</v>
      </c>
      <c r="M263" s="21">
        <v>15</v>
      </c>
      <c r="N263" s="21">
        <v>23</v>
      </c>
      <c r="O263" s="19">
        <v>46</v>
      </c>
      <c r="P263" s="22">
        <v>4</v>
      </c>
      <c r="Q263" s="22">
        <v>2</v>
      </c>
      <c r="R263" s="20" t="s">
        <v>58</v>
      </c>
      <c r="S263" s="234">
        <f>COUNTIFS(INP_DATA!$R$5:$R$3027,S$4,INP_DATA!$D$5:$D$3027,$D263,INP_DATA!$B$5:$B$3027,$B263)</f>
        <v>1</v>
      </c>
      <c r="T263" s="235">
        <f>COUNTIFS(INP_DATA!$R$5:$R$3027,T$4,INP_DATA!$D$5:$D$3027,$D263,INP_DATA!$B$5:$B$3027,$B263)</f>
        <v>0</v>
      </c>
    </row>
    <row r="264" spans="1:20" x14ac:dyDescent="0.35">
      <c r="A264" s="3" t="s">
        <v>108</v>
      </c>
      <c r="B264" s="165">
        <v>45047</v>
      </c>
      <c r="C264" s="57" t="str">
        <f>IF($B264="","",YEAR($B264)&amp;"-"&amp;IFERROR(VLOOKUP(MONTH(B264),KEY!$AE$5:$AF$16,2,FALSE),""))</f>
        <v>2023-Q2</v>
      </c>
      <c r="D264" s="3" t="s">
        <v>150</v>
      </c>
      <c r="E264" s="219">
        <v>6</v>
      </c>
      <c r="F264" s="166">
        <v>39</v>
      </c>
      <c r="G264" s="166">
        <v>48</v>
      </c>
      <c r="H264" s="21">
        <v>63</v>
      </c>
      <c r="I264" s="21">
        <v>9</v>
      </c>
      <c r="J264" s="21">
        <v>17</v>
      </c>
      <c r="K264" s="21">
        <v>4</v>
      </c>
      <c r="L264" s="21">
        <v>59</v>
      </c>
      <c r="M264" s="21">
        <v>29</v>
      </c>
      <c r="N264" s="21">
        <v>39</v>
      </c>
      <c r="O264" s="19">
        <v>115</v>
      </c>
      <c r="P264" s="22">
        <v>14</v>
      </c>
      <c r="Q264" s="22">
        <v>3</v>
      </c>
      <c r="R264" s="20" t="s">
        <v>58</v>
      </c>
      <c r="S264" s="234">
        <f>COUNTIFS(INP_DATA!$R$5:$R$3027,S$4,INP_DATA!$D$5:$D$3027,$D264,INP_DATA!$B$5:$B$3027,$B264)</f>
        <v>1</v>
      </c>
      <c r="T264" s="235">
        <f>COUNTIFS(INP_DATA!$R$5:$R$3027,T$4,INP_DATA!$D$5:$D$3027,$D264,INP_DATA!$B$5:$B$3027,$B264)</f>
        <v>0</v>
      </c>
    </row>
    <row r="265" spans="1:20" x14ac:dyDescent="0.35">
      <c r="A265" s="3" t="s">
        <v>16</v>
      </c>
      <c r="B265" s="165">
        <v>45047</v>
      </c>
      <c r="C265" s="57" t="str">
        <f>IF($B265="","",YEAR($B265)&amp;"-"&amp;IFERROR(VLOOKUP(MONTH(B265),KEY!$AE$5:$AF$16,2,FALSE),""))</f>
        <v>2023-Q2</v>
      </c>
      <c r="D265" s="3" t="s">
        <v>151</v>
      </c>
      <c r="E265" s="219">
        <v>4</v>
      </c>
      <c r="F265" s="166">
        <v>27</v>
      </c>
      <c r="G265" s="166">
        <v>22</v>
      </c>
      <c r="H265" s="21">
        <v>68</v>
      </c>
      <c r="I265" s="21">
        <v>4</v>
      </c>
      <c r="J265" s="21">
        <v>36</v>
      </c>
      <c r="K265" s="21">
        <v>7</v>
      </c>
      <c r="L265" s="21">
        <v>54</v>
      </c>
      <c r="M265" s="21">
        <v>18</v>
      </c>
      <c r="N265" s="21">
        <v>27</v>
      </c>
      <c r="O265" s="19">
        <v>69</v>
      </c>
      <c r="P265" s="22">
        <v>1</v>
      </c>
      <c r="Q265" s="22">
        <v>0</v>
      </c>
      <c r="R265" s="20" t="s">
        <v>58</v>
      </c>
      <c r="S265" s="234">
        <f>COUNTIFS(INP_DATA!$R$5:$R$3027,S$4,INP_DATA!$D$5:$D$3027,$D265,INP_DATA!$B$5:$B$3027,$B265)</f>
        <v>1</v>
      </c>
      <c r="T265" s="235">
        <f>COUNTIFS(INP_DATA!$R$5:$R$3027,T$4,INP_DATA!$D$5:$D$3027,$D265,INP_DATA!$B$5:$B$3027,$B265)</f>
        <v>0</v>
      </c>
    </row>
    <row r="266" spans="1:20" x14ac:dyDescent="0.35">
      <c r="A266" s="3" t="s">
        <v>106</v>
      </c>
      <c r="B266" s="165">
        <v>45047</v>
      </c>
      <c r="C266" s="57" t="str">
        <f>IF($B266="","",YEAR($B266)&amp;"-"&amp;IFERROR(VLOOKUP(MONTH(B266),KEY!$AE$5:$AF$16,2,FALSE),""))</f>
        <v>2023-Q2</v>
      </c>
      <c r="D266" s="3" t="s">
        <v>152</v>
      </c>
      <c r="E266" s="219">
        <v>49</v>
      </c>
      <c r="F266" s="166">
        <v>205</v>
      </c>
      <c r="G266" s="166">
        <v>209</v>
      </c>
      <c r="H266" s="21">
        <v>465</v>
      </c>
      <c r="I266" s="21">
        <v>54</v>
      </c>
      <c r="J266" s="21">
        <v>134</v>
      </c>
      <c r="K266" s="21">
        <v>26</v>
      </c>
      <c r="L266" s="21">
        <v>309</v>
      </c>
      <c r="M266" s="21">
        <v>138</v>
      </c>
      <c r="N266" s="21">
        <v>205</v>
      </c>
      <c r="O266" s="19">
        <v>253</v>
      </c>
      <c r="P266" s="22">
        <v>51</v>
      </c>
      <c r="Q266" s="22">
        <v>39</v>
      </c>
      <c r="R266" s="20" t="s">
        <v>58</v>
      </c>
      <c r="S266" s="234">
        <f>COUNTIFS(INP_DATA!$R$5:$R$3027,S$4,INP_DATA!$D$5:$D$3027,$D266,INP_DATA!$B$5:$B$3027,$B266)</f>
        <v>1</v>
      </c>
      <c r="T266" s="235">
        <f>COUNTIFS(INP_DATA!$R$5:$R$3027,T$4,INP_DATA!$D$5:$D$3027,$D266,INP_DATA!$B$5:$B$3027,$B266)</f>
        <v>0</v>
      </c>
    </row>
    <row r="267" spans="1:20" x14ac:dyDescent="0.35">
      <c r="A267" s="3" t="s">
        <v>16</v>
      </c>
      <c r="B267" s="165">
        <v>45047</v>
      </c>
      <c r="C267" s="57" t="str">
        <f>IF($B267="","",YEAR($B267)&amp;"-"&amp;IFERROR(VLOOKUP(MONTH(B267),KEY!$AE$5:$AF$16,2,FALSE),""))</f>
        <v>2023-Q2</v>
      </c>
      <c r="D267" s="3" t="s">
        <v>153</v>
      </c>
      <c r="E267" s="219">
        <v>35</v>
      </c>
      <c r="F267" s="166">
        <v>109</v>
      </c>
      <c r="G267" s="166">
        <v>106</v>
      </c>
      <c r="H267" s="21">
        <v>241</v>
      </c>
      <c r="I267" s="21">
        <v>21</v>
      </c>
      <c r="J267" s="21">
        <v>96</v>
      </c>
      <c r="K267" s="21">
        <v>10</v>
      </c>
      <c r="L267" s="21">
        <v>194</v>
      </c>
      <c r="M267" s="21">
        <v>53</v>
      </c>
      <c r="N267" s="21">
        <v>108</v>
      </c>
      <c r="O267" s="19">
        <v>276</v>
      </c>
      <c r="P267" s="22">
        <v>6</v>
      </c>
      <c r="Q267" s="22">
        <v>3</v>
      </c>
      <c r="R267" s="20" t="s">
        <v>194</v>
      </c>
      <c r="S267" s="234">
        <f>COUNTIFS(INP_DATA!$R$5:$R$3027,S$4,INP_DATA!$D$5:$D$3027,$D267,INP_DATA!$B$5:$B$3027,$B267)</f>
        <v>0</v>
      </c>
      <c r="T267" s="235">
        <f>COUNTIFS(INP_DATA!$R$5:$R$3027,T$4,INP_DATA!$D$5:$D$3027,$D267,INP_DATA!$B$5:$B$3027,$B267)</f>
        <v>0</v>
      </c>
    </row>
    <row r="268" spans="1:20" x14ac:dyDescent="0.35">
      <c r="A268" s="3" t="s">
        <v>106</v>
      </c>
      <c r="B268" s="165">
        <v>45047</v>
      </c>
      <c r="C268" s="57" t="str">
        <f>IF($B268="","",YEAR($B268)&amp;"-"&amp;IFERROR(VLOOKUP(MONTH(B268),KEY!$AE$5:$AF$16,2,FALSE),""))</f>
        <v>2023-Q2</v>
      </c>
      <c r="D268" s="3" t="s">
        <v>154</v>
      </c>
      <c r="E268" s="219">
        <v>28</v>
      </c>
      <c r="F268" s="166">
        <v>70</v>
      </c>
      <c r="G268" s="166">
        <v>56</v>
      </c>
      <c r="H268" s="21">
        <v>288</v>
      </c>
      <c r="I268" s="21">
        <v>16</v>
      </c>
      <c r="J268" s="21">
        <v>164</v>
      </c>
      <c r="K268" s="21">
        <v>9</v>
      </c>
      <c r="L268" s="21">
        <v>161</v>
      </c>
      <c r="M268" s="21">
        <v>33</v>
      </c>
      <c r="N268" s="21">
        <v>67</v>
      </c>
      <c r="O268" s="19">
        <v>138</v>
      </c>
      <c r="P268" s="22">
        <v>14</v>
      </c>
      <c r="Q268" s="22">
        <v>9</v>
      </c>
      <c r="R268" s="20" t="s">
        <v>194</v>
      </c>
      <c r="S268" s="234">
        <f>COUNTIFS(INP_DATA!$R$5:$R$3027,S$4,INP_DATA!$D$5:$D$3027,$D268,INP_DATA!$B$5:$B$3027,$B268)</f>
        <v>0</v>
      </c>
      <c r="T268" s="235">
        <f>COUNTIFS(INP_DATA!$R$5:$R$3027,T$4,INP_DATA!$D$5:$D$3027,$D268,INP_DATA!$B$5:$B$3027,$B268)</f>
        <v>0</v>
      </c>
    </row>
    <row r="269" spans="1:20" x14ac:dyDescent="0.35">
      <c r="A269" s="3" t="s">
        <v>109</v>
      </c>
      <c r="B269" s="165">
        <v>45047</v>
      </c>
      <c r="C269" s="57" t="str">
        <f>IF($B269="","",YEAR($B269)&amp;"-"&amp;IFERROR(VLOOKUP(MONTH(B269),KEY!$AE$5:$AF$16,2,FALSE),""))</f>
        <v>2023-Q2</v>
      </c>
      <c r="D269" s="3" t="s">
        <v>155</v>
      </c>
      <c r="E269" s="219">
        <v>57</v>
      </c>
      <c r="F269" s="166">
        <v>368</v>
      </c>
      <c r="G269" s="166">
        <v>237</v>
      </c>
      <c r="H269" s="21">
        <v>1101</v>
      </c>
      <c r="I269" s="21">
        <v>128</v>
      </c>
      <c r="J269" s="21">
        <v>352</v>
      </c>
      <c r="K269" s="21">
        <v>69</v>
      </c>
      <c r="L269" s="21">
        <v>413</v>
      </c>
      <c r="M269" s="21">
        <v>181</v>
      </c>
      <c r="N269" s="21">
        <v>369</v>
      </c>
      <c r="O269" s="19">
        <v>483</v>
      </c>
      <c r="P269" s="22">
        <v>33</v>
      </c>
      <c r="Q269" s="22">
        <v>13</v>
      </c>
      <c r="R269" s="20" t="s">
        <v>51</v>
      </c>
      <c r="S269" s="234">
        <f>COUNTIFS(INP_DATA!$R$5:$R$3027,S$4,INP_DATA!$D$5:$D$3027,$D269,INP_DATA!$B$5:$B$3027,$B269)</f>
        <v>0</v>
      </c>
      <c r="T269" s="235">
        <f>COUNTIFS(INP_DATA!$R$5:$R$3027,T$4,INP_DATA!$D$5:$D$3027,$D269,INP_DATA!$B$5:$B$3027,$B269)</f>
        <v>1</v>
      </c>
    </row>
    <row r="270" spans="1:20" x14ac:dyDescent="0.35">
      <c r="A270" s="3" t="s">
        <v>109</v>
      </c>
      <c r="B270" s="165">
        <v>45047</v>
      </c>
      <c r="C270" s="57" t="str">
        <f>IF($B270="","",YEAR($B270)&amp;"-"&amp;IFERROR(VLOOKUP(MONTH(B270),KEY!$AE$5:$AF$16,2,FALSE),""))</f>
        <v>2023-Q2</v>
      </c>
      <c r="D270" s="3" t="s">
        <v>156</v>
      </c>
      <c r="E270" s="219">
        <v>78</v>
      </c>
      <c r="F270" s="166">
        <v>306</v>
      </c>
      <c r="G270" s="166">
        <v>317</v>
      </c>
      <c r="H270" s="21">
        <v>768</v>
      </c>
      <c r="I270" s="21">
        <v>86</v>
      </c>
      <c r="J270" s="21">
        <v>375</v>
      </c>
      <c r="K270" s="21">
        <v>52</v>
      </c>
      <c r="L270" s="21">
        <v>592</v>
      </c>
      <c r="M270" s="21">
        <v>169</v>
      </c>
      <c r="N270" s="21">
        <v>309</v>
      </c>
      <c r="O270" s="19">
        <v>437</v>
      </c>
      <c r="P270" s="22">
        <v>14</v>
      </c>
      <c r="Q270" s="22">
        <v>7</v>
      </c>
      <c r="R270" s="20" t="s">
        <v>51</v>
      </c>
      <c r="S270" s="234">
        <f>COUNTIFS(INP_DATA!$R$5:$R$3027,S$4,INP_DATA!$D$5:$D$3027,$D270,INP_DATA!$B$5:$B$3027,$B270)</f>
        <v>0</v>
      </c>
      <c r="T270" s="235">
        <f>COUNTIFS(INP_DATA!$R$5:$R$3027,T$4,INP_DATA!$D$5:$D$3027,$D270,INP_DATA!$B$5:$B$3027,$B270)</f>
        <v>1</v>
      </c>
    </row>
    <row r="271" spans="1:20" x14ac:dyDescent="0.35">
      <c r="A271" s="3" t="s">
        <v>109</v>
      </c>
      <c r="B271" s="165">
        <v>45047</v>
      </c>
      <c r="C271" s="57" t="str">
        <f>IF($B271="","",YEAR($B271)&amp;"-"&amp;IFERROR(VLOOKUP(MONTH(B271),KEY!$AE$5:$AF$16,2,FALSE),""))</f>
        <v>2023-Q2</v>
      </c>
      <c r="D271" s="3" t="s">
        <v>157</v>
      </c>
      <c r="E271" s="219">
        <v>1</v>
      </c>
      <c r="F271" s="166">
        <v>233</v>
      </c>
      <c r="G271" s="166">
        <v>232</v>
      </c>
      <c r="H271" s="21">
        <v>813</v>
      </c>
      <c r="I271" s="21">
        <v>56</v>
      </c>
      <c r="J271" s="21">
        <v>509</v>
      </c>
      <c r="K271" s="21">
        <v>42</v>
      </c>
      <c r="L271" s="21">
        <v>245</v>
      </c>
      <c r="M271" s="21">
        <v>75</v>
      </c>
      <c r="N271" s="21">
        <v>239</v>
      </c>
      <c r="O271" s="19">
        <v>322</v>
      </c>
      <c r="P271" s="22">
        <v>14</v>
      </c>
      <c r="Q271" s="22">
        <v>10</v>
      </c>
      <c r="R271" s="20" t="s">
        <v>51</v>
      </c>
      <c r="S271" s="234">
        <f>COUNTIFS(INP_DATA!$R$5:$R$3027,S$4,INP_DATA!$D$5:$D$3027,$D271,INP_DATA!$B$5:$B$3027,$B271)</f>
        <v>0</v>
      </c>
      <c r="T271" s="235">
        <f>COUNTIFS(INP_DATA!$R$5:$R$3027,T$4,INP_DATA!$D$5:$D$3027,$D271,INP_DATA!$B$5:$B$3027,$B271)</f>
        <v>1</v>
      </c>
    </row>
    <row r="272" spans="1:20" x14ac:dyDescent="0.35">
      <c r="A272" s="3" t="s">
        <v>16</v>
      </c>
      <c r="B272" s="165">
        <v>45047</v>
      </c>
      <c r="C272" s="57" t="str">
        <f>IF($B272="","",YEAR($B272)&amp;"-"&amp;IFERROR(VLOOKUP(MONTH(B272),KEY!$AE$5:$AF$16,2,FALSE),""))</f>
        <v>2023-Q2</v>
      </c>
      <c r="D272" s="3" t="s">
        <v>158</v>
      </c>
      <c r="E272" s="219">
        <v>1</v>
      </c>
      <c r="F272" s="166">
        <v>27</v>
      </c>
      <c r="G272" s="166">
        <v>37</v>
      </c>
      <c r="H272" s="21">
        <v>87</v>
      </c>
      <c r="I272" s="21">
        <v>9</v>
      </c>
      <c r="J272" s="21">
        <v>27</v>
      </c>
      <c r="K272" s="21">
        <v>5</v>
      </c>
      <c r="L272" s="21">
        <v>84</v>
      </c>
      <c r="M272" s="21">
        <v>14</v>
      </c>
      <c r="N272" s="21">
        <v>30</v>
      </c>
      <c r="O272" s="19">
        <v>115</v>
      </c>
      <c r="P272" s="22">
        <v>2</v>
      </c>
      <c r="Q272" s="22">
        <v>0</v>
      </c>
      <c r="R272" s="20" t="s">
        <v>194</v>
      </c>
      <c r="S272" s="234">
        <f>COUNTIFS(INP_DATA!$R$5:$R$3027,S$4,INP_DATA!$D$5:$D$3027,$D272,INP_DATA!$B$5:$B$3027,$B272)</f>
        <v>0</v>
      </c>
      <c r="T272" s="235">
        <f>COUNTIFS(INP_DATA!$R$5:$R$3027,T$4,INP_DATA!$D$5:$D$3027,$D272,INP_DATA!$B$5:$B$3027,$B272)</f>
        <v>0</v>
      </c>
    </row>
    <row r="273" spans="1:20" x14ac:dyDescent="0.35">
      <c r="A273" s="3" t="s">
        <v>107</v>
      </c>
      <c r="B273" s="165">
        <v>45047</v>
      </c>
      <c r="C273" s="57" t="str">
        <f>IF($B273="","",YEAR($B273)&amp;"-"&amp;IFERROR(VLOOKUP(MONTH(B273),KEY!$AE$5:$AF$16,2,FALSE),""))</f>
        <v>2023-Q2</v>
      </c>
      <c r="D273" s="3" t="s">
        <v>159</v>
      </c>
      <c r="E273" s="219">
        <v>22</v>
      </c>
      <c r="F273" s="166">
        <v>103</v>
      </c>
      <c r="G273" s="166">
        <v>116</v>
      </c>
      <c r="H273" s="21">
        <v>258</v>
      </c>
      <c r="I273" s="21">
        <v>27</v>
      </c>
      <c r="J273" s="21">
        <v>110</v>
      </c>
      <c r="K273" s="21">
        <v>18</v>
      </c>
      <c r="L273" s="21">
        <v>193</v>
      </c>
      <c r="M273" s="21">
        <v>81</v>
      </c>
      <c r="N273" s="21">
        <v>103</v>
      </c>
      <c r="O273" s="19">
        <v>207</v>
      </c>
      <c r="P273" s="22">
        <v>29</v>
      </c>
      <c r="Q273" s="22">
        <v>19</v>
      </c>
      <c r="R273" s="20" t="s">
        <v>194</v>
      </c>
      <c r="S273" s="234">
        <f>COUNTIFS(INP_DATA!$R$5:$R$3027,S$4,INP_DATA!$D$5:$D$3027,$D273,INP_DATA!$B$5:$B$3027,$B273)</f>
        <v>0</v>
      </c>
      <c r="T273" s="235">
        <f>COUNTIFS(INP_DATA!$R$5:$R$3027,T$4,INP_DATA!$D$5:$D$3027,$D273,INP_DATA!$B$5:$B$3027,$B273)</f>
        <v>0</v>
      </c>
    </row>
    <row r="274" spans="1:20" x14ac:dyDescent="0.35">
      <c r="A274" s="3" t="s">
        <v>16</v>
      </c>
      <c r="B274" s="165">
        <v>45047</v>
      </c>
      <c r="C274" s="57" t="str">
        <f>IF($B274="","",YEAR($B274)&amp;"-"&amp;IFERROR(VLOOKUP(MONTH(B274),KEY!$AE$5:$AF$16,2,FALSE),""))</f>
        <v>2023-Q2</v>
      </c>
      <c r="D274" s="3" t="s">
        <v>160</v>
      </c>
      <c r="E274" s="219">
        <v>100</v>
      </c>
      <c r="F274" s="166">
        <v>366</v>
      </c>
      <c r="G274" s="166">
        <v>299</v>
      </c>
      <c r="H274" s="21">
        <v>801</v>
      </c>
      <c r="I274" s="21">
        <v>127</v>
      </c>
      <c r="J274" s="21">
        <v>301</v>
      </c>
      <c r="K274" s="21">
        <v>49</v>
      </c>
      <c r="L274" s="21">
        <v>536</v>
      </c>
      <c r="M274" s="21">
        <v>212</v>
      </c>
      <c r="N274" s="21">
        <v>372</v>
      </c>
      <c r="O274" s="19">
        <v>529</v>
      </c>
      <c r="P274" s="22">
        <v>60</v>
      </c>
      <c r="Q274" s="22">
        <v>39</v>
      </c>
      <c r="R274" s="20" t="s">
        <v>51</v>
      </c>
      <c r="S274" s="234">
        <f>COUNTIFS(INP_DATA!$R$5:$R$3027,S$4,INP_DATA!$D$5:$D$3027,$D274,INP_DATA!$B$5:$B$3027,$B274)</f>
        <v>0</v>
      </c>
      <c r="T274" s="235">
        <f>COUNTIFS(INP_DATA!$R$5:$R$3027,T$4,INP_DATA!$D$5:$D$3027,$D274,INP_DATA!$B$5:$B$3027,$B274)</f>
        <v>1</v>
      </c>
    </row>
    <row r="275" spans="1:20" x14ac:dyDescent="0.35">
      <c r="A275" s="3" t="s">
        <v>106</v>
      </c>
      <c r="B275" s="165">
        <v>45047</v>
      </c>
      <c r="C275" s="57" t="str">
        <f>IF($B275="","",YEAR($B275)&amp;"-"&amp;IFERROR(VLOOKUP(MONTH(B275),KEY!$AE$5:$AF$16,2,FALSE),""))</f>
        <v>2023-Q2</v>
      </c>
      <c r="D275" s="3" t="s">
        <v>161</v>
      </c>
      <c r="E275" s="219">
        <v>24</v>
      </c>
      <c r="F275" s="166">
        <v>273</v>
      </c>
      <c r="G275" s="166">
        <v>273</v>
      </c>
      <c r="H275" s="21">
        <v>659</v>
      </c>
      <c r="I275" s="21">
        <v>90</v>
      </c>
      <c r="J275" s="21">
        <v>230</v>
      </c>
      <c r="K275" s="21">
        <v>46</v>
      </c>
      <c r="L275" s="21">
        <v>454</v>
      </c>
      <c r="M275" s="21">
        <v>131</v>
      </c>
      <c r="N275" s="21">
        <v>276</v>
      </c>
      <c r="O275" s="19">
        <v>460</v>
      </c>
      <c r="P275" s="22">
        <v>18</v>
      </c>
      <c r="Q275" s="22">
        <v>12</v>
      </c>
      <c r="R275" s="20" t="s">
        <v>51</v>
      </c>
      <c r="S275" s="234">
        <f>COUNTIFS(INP_DATA!$R$5:$R$3027,S$4,INP_DATA!$D$5:$D$3027,$D275,INP_DATA!$B$5:$B$3027,$B275)</f>
        <v>0</v>
      </c>
      <c r="T275" s="235">
        <f>COUNTIFS(INP_DATA!$R$5:$R$3027,T$4,INP_DATA!$D$5:$D$3027,$D275,INP_DATA!$B$5:$B$3027,$B275)</f>
        <v>1</v>
      </c>
    </row>
    <row r="276" spans="1:20" x14ac:dyDescent="0.35">
      <c r="A276" s="3" t="s">
        <v>109</v>
      </c>
      <c r="B276" s="165">
        <v>45047</v>
      </c>
      <c r="C276" s="57" t="str">
        <f>IF($B276="","",YEAR($B276)&amp;"-"&amp;IFERROR(VLOOKUP(MONTH(B276),KEY!$AE$5:$AF$16,2,FALSE),""))</f>
        <v>2023-Q2</v>
      </c>
      <c r="D276" s="3" t="s">
        <v>162</v>
      </c>
      <c r="E276" s="219">
        <v>88</v>
      </c>
      <c r="F276" s="166">
        <v>445</v>
      </c>
      <c r="G276" s="166">
        <v>455</v>
      </c>
      <c r="H276" s="21">
        <v>622</v>
      </c>
      <c r="I276" s="21">
        <v>112</v>
      </c>
      <c r="J276" s="21">
        <v>381</v>
      </c>
      <c r="K276" s="21">
        <v>86</v>
      </c>
      <c r="L276" s="21">
        <v>704</v>
      </c>
      <c r="M276" s="21">
        <v>208</v>
      </c>
      <c r="N276" s="21">
        <v>460</v>
      </c>
      <c r="O276" s="19">
        <v>736</v>
      </c>
      <c r="P276" s="22">
        <v>23</v>
      </c>
      <c r="Q276" s="22">
        <v>17</v>
      </c>
      <c r="R276" s="20" t="s">
        <v>58</v>
      </c>
      <c r="S276" s="234">
        <f>COUNTIFS(INP_DATA!$R$5:$R$3027,S$4,INP_DATA!$D$5:$D$3027,$D276,INP_DATA!$B$5:$B$3027,$B276)</f>
        <v>1</v>
      </c>
      <c r="T276" s="235">
        <f>COUNTIFS(INP_DATA!$R$5:$R$3027,T$4,INP_DATA!$D$5:$D$3027,$D276,INP_DATA!$B$5:$B$3027,$B276)</f>
        <v>0</v>
      </c>
    </row>
    <row r="277" spans="1:20" x14ac:dyDescent="0.35">
      <c r="A277" s="3" t="s">
        <v>16</v>
      </c>
      <c r="B277" s="165">
        <v>45047</v>
      </c>
      <c r="C277" s="57" t="str">
        <f>IF($B277="","",YEAR($B277)&amp;"-"&amp;IFERROR(VLOOKUP(MONTH(B277),KEY!$AE$5:$AF$16,2,FALSE),""))</f>
        <v>2023-Q2</v>
      </c>
      <c r="D277" s="3" t="s">
        <v>163</v>
      </c>
      <c r="E277" s="219">
        <v>40</v>
      </c>
      <c r="F277" s="166">
        <v>203</v>
      </c>
      <c r="G277" s="166">
        <v>233</v>
      </c>
      <c r="H277" s="21">
        <v>327</v>
      </c>
      <c r="I277" s="21">
        <v>62</v>
      </c>
      <c r="J277" s="21">
        <v>177</v>
      </c>
      <c r="K277" s="21">
        <v>47</v>
      </c>
      <c r="L277" s="21">
        <v>360</v>
      </c>
      <c r="M277" s="21">
        <v>137</v>
      </c>
      <c r="N277" s="21">
        <v>206</v>
      </c>
      <c r="O277" s="19">
        <v>414</v>
      </c>
      <c r="P277" s="22">
        <v>11</v>
      </c>
      <c r="Q277" s="22">
        <v>4</v>
      </c>
      <c r="R277" s="20" t="s">
        <v>58</v>
      </c>
      <c r="S277" s="234">
        <f>COUNTIFS(INP_DATA!$R$5:$R$3027,S$4,INP_DATA!$D$5:$D$3027,$D277,INP_DATA!$B$5:$B$3027,$B277)</f>
        <v>1</v>
      </c>
      <c r="T277" s="235">
        <f>COUNTIFS(INP_DATA!$R$5:$R$3027,T$4,INP_DATA!$D$5:$D$3027,$D277,INP_DATA!$B$5:$B$3027,$B277)</f>
        <v>0</v>
      </c>
    </row>
    <row r="278" spans="1:20" x14ac:dyDescent="0.35">
      <c r="A278" s="3" t="s">
        <v>16</v>
      </c>
      <c r="B278" s="165">
        <v>45047</v>
      </c>
      <c r="C278" s="57" t="str">
        <f>IF($B278="","",YEAR($B278)&amp;"-"&amp;IFERROR(VLOOKUP(MONTH(B278),KEY!$AE$5:$AF$16,2,FALSE),""))</f>
        <v>2023-Q2</v>
      </c>
      <c r="D278" s="3" t="s">
        <v>164</v>
      </c>
      <c r="E278" s="219">
        <v>10</v>
      </c>
      <c r="F278" s="166">
        <v>74</v>
      </c>
      <c r="G278" s="166">
        <v>107</v>
      </c>
      <c r="H278" s="21">
        <v>166</v>
      </c>
      <c r="I278" s="21">
        <v>24</v>
      </c>
      <c r="J278" s="21">
        <v>63</v>
      </c>
      <c r="K278" s="21">
        <v>11</v>
      </c>
      <c r="L278" s="21">
        <v>102</v>
      </c>
      <c r="M278" s="21">
        <v>48</v>
      </c>
      <c r="N278" s="21">
        <v>76</v>
      </c>
      <c r="O278" s="19">
        <v>161</v>
      </c>
      <c r="P278" s="22">
        <v>10</v>
      </c>
      <c r="Q278" s="22">
        <v>2</v>
      </c>
      <c r="R278" s="20" t="s">
        <v>58</v>
      </c>
      <c r="S278" s="234">
        <f>COUNTIFS(INP_DATA!$R$5:$R$3027,S$4,INP_DATA!$D$5:$D$3027,$D278,INP_DATA!$B$5:$B$3027,$B278)</f>
        <v>1</v>
      </c>
      <c r="T278" s="235">
        <f>COUNTIFS(INP_DATA!$R$5:$R$3027,T$4,INP_DATA!$D$5:$D$3027,$D278,INP_DATA!$B$5:$B$3027,$B278)</f>
        <v>0</v>
      </c>
    </row>
    <row r="279" spans="1:20" x14ac:dyDescent="0.35">
      <c r="A279" s="3" t="s">
        <v>107</v>
      </c>
      <c r="B279" s="165">
        <v>45047</v>
      </c>
      <c r="C279" s="57" t="str">
        <f>IF($B279="","",YEAR($B279)&amp;"-"&amp;IFERROR(VLOOKUP(MONTH(B279),KEY!$AE$5:$AF$16,2,FALSE),""))</f>
        <v>2023-Q2</v>
      </c>
      <c r="D279" s="3" t="s">
        <v>165</v>
      </c>
      <c r="E279" s="219">
        <v>21</v>
      </c>
      <c r="F279" s="166">
        <v>101</v>
      </c>
      <c r="G279" s="166">
        <v>105</v>
      </c>
      <c r="H279" s="21">
        <v>192</v>
      </c>
      <c r="I279" s="21">
        <v>20</v>
      </c>
      <c r="J279" s="21">
        <v>77</v>
      </c>
      <c r="K279" s="21">
        <v>26</v>
      </c>
      <c r="L279" s="21">
        <v>120</v>
      </c>
      <c r="M279" s="21">
        <v>58</v>
      </c>
      <c r="N279" s="21">
        <v>106</v>
      </c>
      <c r="O279" s="19">
        <v>161</v>
      </c>
      <c r="P279" s="22">
        <v>33</v>
      </c>
      <c r="Q279" s="22">
        <v>19</v>
      </c>
      <c r="R279" s="20" t="s">
        <v>51</v>
      </c>
      <c r="S279" s="234">
        <f>COUNTIFS(INP_DATA!$R$5:$R$3027,S$4,INP_DATA!$D$5:$D$3027,$D279,INP_DATA!$B$5:$B$3027,$B279)</f>
        <v>0</v>
      </c>
      <c r="T279" s="235">
        <f>COUNTIFS(INP_DATA!$R$5:$R$3027,T$4,INP_DATA!$D$5:$D$3027,$D279,INP_DATA!$B$5:$B$3027,$B279)</f>
        <v>1</v>
      </c>
    </row>
    <row r="280" spans="1:20" x14ac:dyDescent="0.35">
      <c r="A280" s="3" t="s">
        <v>16</v>
      </c>
      <c r="B280" s="165">
        <v>45078</v>
      </c>
      <c r="C280" s="57" t="str">
        <f>IF($B280="","",YEAR($B280)&amp;"-"&amp;IFERROR(VLOOKUP(MONTH(B280),KEY!$AE$5:$AF$16,2,FALSE),""))</f>
        <v>2023-Q2</v>
      </c>
      <c r="D280" s="3" t="s">
        <v>111</v>
      </c>
      <c r="E280" s="219">
        <v>14</v>
      </c>
      <c r="F280" s="166">
        <v>69</v>
      </c>
      <c r="G280" s="166">
        <v>46</v>
      </c>
      <c r="H280" s="21">
        <v>176</v>
      </c>
      <c r="I280" s="21">
        <v>30</v>
      </c>
      <c r="J280" s="21">
        <v>60</v>
      </c>
      <c r="K280" s="21">
        <v>4</v>
      </c>
      <c r="L280" s="21">
        <v>140</v>
      </c>
      <c r="M280" s="21">
        <v>43</v>
      </c>
      <c r="N280" s="21">
        <v>70</v>
      </c>
      <c r="O280" s="19">
        <v>176</v>
      </c>
      <c r="P280" s="22">
        <v>11</v>
      </c>
      <c r="Q280" s="22">
        <v>5</v>
      </c>
      <c r="R280" s="20" t="s">
        <v>58</v>
      </c>
      <c r="S280" s="234">
        <f>COUNTIFS(INP_DATA!$R$5:$R$3027,S$4,INP_DATA!$D$5:$D$3027,$D280,INP_DATA!$B$5:$B$3027,$B280)</f>
        <v>1</v>
      </c>
      <c r="T280" s="235">
        <f>COUNTIFS(INP_DATA!$R$5:$R$3027,T$4,INP_DATA!$D$5:$D$3027,$D280,INP_DATA!$B$5:$B$3027,$B280)</f>
        <v>0</v>
      </c>
    </row>
    <row r="281" spans="1:20" x14ac:dyDescent="0.35">
      <c r="A281" s="3" t="s">
        <v>108</v>
      </c>
      <c r="B281" s="165">
        <v>45078</v>
      </c>
      <c r="C281" s="57" t="str">
        <f>IF($B281="","",YEAR($B281)&amp;"-"&amp;IFERROR(VLOOKUP(MONTH(B281),KEY!$AE$5:$AF$16,2,FALSE),""))</f>
        <v>2023-Q2</v>
      </c>
      <c r="D281" s="3" t="s">
        <v>112</v>
      </c>
      <c r="E281" s="219">
        <v>6</v>
      </c>
      <c r="F281" s="166">
        <v>38</v>
      </c>
      <c r="G281" s="166">
        <v>29</v>
      </c>
      <c r="H281" s="21">
        <v>85</v>
      </c>
      <c r="I281" s="21">
        <v>12</v>
      </c>
      <c r="J281" s="21">
        <v>59</v>
      </c>
      <c r="K281" s="21">
        <v>9</v>
      </c>
      <c r="L281" s="21">
        <v>70</v>
      </c>
      <c r="M281" s="21">
        <v>32</v>
      </c>
      <c r="N281" s="21">
        <v>38</v>
      </c>
      <c r="O281" s="19">
        <v>88</v>
      </c>
      <c r="P281" s="22">
        <v>8</v>
      </c>
      <c r="Q281" s="22">
        <v>7</v>
      </c>
      <c r="R281" s="20" t="s">
        <v>51</v>
      </c>
      <c r="S281" s="234">
        <f>COUNTIFS(INP_DATA!$R$5:$R$3027,S$4,INP_DATA!$D$5:$D$3027,$D281,INP_DATA!$B$5:$B$3027,$B281)</f>
        <v>0</v>
      </c>
      <c r="T281" s="235">
        <f>COUNTIFS(INP_DATA!$R$5:$R$3027,T$4,INP_DATA!$D$5:$D$3027,$D281,INP_DATA!$B$5:$B$3027,$B281)</f>
        <v>1</v>
      </c>
    </row>
    <row r="282" spans="1:20" x14ac:dyDescent="0.35">
      <c r="A282" s="3" t="s">
        <v>16</v>
      </c>
      <c r="B282" s="165">
        <v>45078</v>
      </c>
      <c r="C282" s="57" t="str">
        <f>IF($B282="","",YEAR($B282)&amp;"-"&amp;IFERROR(VLOOKUP(MONTH(B282),KEY!$AE$5:$AF$16,2,FALSE),""))</f>
        <v>2023-Q2</v>
      </c>
      <c r="D282" s="3" t="s">
        <v>113</v>
      </c>
      <c r="E282" s="219">
        <v>13</v>
      </c>
      <c r="F282" s="166">
        <v>92</v>
      </c>
      <c r="G282" s="166">
        <v>80</v>
      </c>
      <c r="H282" s="21">
        <v>203</v>
      </c>
      <c r="I282" s="21">
        <v>27</v>
      </c>
      <c r="J282" s="21">
        <v>87</v>
      </c>
      <c r="K282" s="21">
        <v>27</v>
      </c>
      <c r="L282" s="21">
        <v>113</v>
      </c>
      <c r="M282" s="21">
        <v>47</v>
      </c>
      <c r="N282" s="21">
        <v>90</v>
      </c>
      <c r="O282" s="19">
        <v>154</v>
      </c>
      <c r="P282" s="22">
        <v>13</v>
      </c>
      <c r="Q282" s="22">
        <v>8</v>
      </c>
      <c r="R282" s="20" t="s">
        <v>58</v>
      </c>
      <c r="S282" s="234">
        <f>COUNTIFS(INP_DATA!$R$5:$R$3027,S$4,INP_DATA!$D$5:$D$3027,$D282,INP_DATA!$B$5:$B$3027,$B282)</f>
        <v>1</v>
      </c>
      <c r="T282" s="235">
        <f>COUNTIFS(INP_DATA!$R$5:$R$3027,T$4,INP_DATA!$D$5:$D$3027,$D282,INP_DATA!$B$5:$B$3027,$B282)</f>
        <v>0</v>
      </c>
    </row>
    <row r="283" spans="1:20" x14ac:dyDescent="0.35">
      <c r="A283" s="3" t="s">
        <v>108</v>
      </c>
      <c r="B283" s="165">
        <v>45078</v>
      </c>
      <c r="C283" s="57" t="str">
        <f>IF($B283="","",YEAR($B283)&amp;"-"&amp;IFERROR(VLOOKUP(MONTH(B283),KEY!$AE$5:$AF$16,2,FALSE),""))</f>
        <v>2023-Q2</v>
      </c>
      <c r="D283" s="3" t="s">
        <v>114</v>
      </c>
      <c r="E283" s="219">
        <v>19</v>
      </c>
      <c r="F283" s="166">
        <v>58</v>
      </c>
      <c r="G283" s="166">
        <v>69</v>
      </c>
      <c r="H283" s="21">
        <v>139</v>
      </c>
      <c r="I283" s="21">
        <v>12</v>
      </c>
      <c r="J283" s="21">
        <v>37</v>
      </c>
      <c r="K283" s="21">
        <v>6</v>
      </c>
      <c r="L283" s="21">
        <v>102</v>
      </c>
      <c r="M283" s="21">
        <v>38</v>
      </c>
      <c r="N283" s="21">
        <v>57</v>
      </c>
      <c r="O283" s="19">
        <v>154</v>
      </c>
      <c r="P283" s="22">
        <v>10</v>
      </c>
      <c r="Q283" s="22">
        <v>7</v>
      </c>
      <c r="R283" s="20" t="s">
        <v>51</v>
      </c>
      <c r="S283" s="234">
        <f>COUNTIFS(INP_DATA!$R$5:$R$3027,S$4,INP_DATA!$D$5:$D$3027,$D283,INP_DATA!$B$5:$B$3027,$B283)</f>
        <v>0</v>
      </c>
      <c r="T283" s="235">
        <f>COUNTIFS(INP_DATA!$R$5:$R$3027,T$4,INP_DATA!$D$5:$D$3027,$D283,INP_DATA!$B$5:$B$3027,$B283)</f>
        <v>1</v>
      </c>
    </row>
    <row r="284" spans="1:20" x14ac:dyDescent="0.35">
      <c r="A284" s="3" t="s">
        <v>107</v>
      </c>
      <c r="B284" s="165">
        <v>45078</v>
      </c>
      <c r="C284" s="57" t="str">
        <f>IF($B284="","",YEAR($B284)&amp;"-"&amp;IFERROR(VLOOKUP(MONTH(B284),KEY!$AE$5:$AF$16,2,FALSE),""))</f>
        <v>2023-Q2</v>
      </c>
      <c r="D284" s="3" t="s">
        <v>115</v>
      </c>
      <c r="E284" s="219">
        <v>4</v>
      </c>
      <c r="F284" s="166">
        <v>70</v>
      </c>
      <c r="G284" s="166">
        <v>58</v>
      </c>
      <c r="H284" s="21">
        <v>160</v>
      </c>
      <c r="I284" s="21">
        <v>20</v>
      </c>
      <c r="J284" s="21">
        <v>70</v>
      </c>
      <c r="K284" s="21">
        <v>27</v>
      </c>
      <c r="L284" s="21">
        <v>76</v>
      </c>
      <c r="M284" s="21">
        <v>37</v>
      </c>
      <c r="N284" s="21">
        <v>71</v>
      </c>
      <c r="O284" s="19">
        <v>110</v>
      </c>
      <c r="P284" s="22" t="s">
        <v>194</v>
      </c>
      <c r="Q284" s="22" t="s">
        <v>194</v>
      </c>
      <c r="R284" s="20" t="s">
        <v>194</v>
      </c>
      <c r="S284" s="234">
        <f>COUNTIFS(INP_DATA!$R$5:$R$3027,S$4,INP_DATA!$D$5:$D$3027,$D284,INP_DATA!$B$5:$B$3027,$B284)</f>
        <v>0</v>
      </c>
      <c r="T284" s="235">
        <f>COUNTIFS(INP_DATA!$R$5:$R$3027,T$4,INP_DATA!$D$5:$D$3027,$D284,INP_DATA!$B$5:$B$3027,$B284)</f>
        <v>0</v>
      </c>
    </row>
    <row r="285" spans="1:20" x14ac:dyDescent="0.35">
      <c r="A285" s="3" t="s">
        <v>16</v>
      </c>
      <c r="B285" s="165">
        <v>45078</v>
      </c>
      <c r="C285" s="57" t="str">
        <f>IF($B285="","",YEAR($B285)&amp;"-"&amp;IFERROR(VLOOKUP(MONTH(B285),KEY!$AE$5:$AF$16,2,FALSE),""))</f>
        <v>2023-Q2</v>
      </c>
      <c r="D285" s="3" t="s">
        <v>116</v>
      </c>
      <c r="E285" s="219">
        <v>40</v>
      </c>
      <c r="F285" s="166">
        <v>153</v>
      </c>
      <c r="G285" s="166">
        <v>148</v>
      </c>
      <c r="H285" s="21">
        <v>165</v>
      </c>
      <c r="I285" s="21">
        <v>21</v>
      </c>
      <c r="J285" s="21">
        <v>110</v>
      </c>
      <c r="K285" s="21">
        <v>24</v>
      </c>
      <c r="L285" s="21">
        <v>208</v>
      </c>
      <c r="M285" s="21">
        <v>91</v>
      </c>
      <c r="N285" s="21">
        <v>158</v>
      </c>
      <c r="O285" s="19">
        <v>264</v>
      </c>
      <c r="P285" s="22">
        <v>13</v>
      </c>
      <c r="Q285" s="22">
        <v>5</v>
      </c>
      <c r="R285" s="20" t="s">
        <v>51</v>
      </c>
      <c r="S285" s="234">
        <f>COUNTIFS(INP_DATA!$R$5:$R$3027,S$4,INP_DATA!$D$5:$D$3027,$D285,INP_DATA!$B$5:$B$3027,$B285)</f>
        <v>0</v>
      </c>
      <c r="T285" s="235">
        <f>COUNTIFS(INP_DATA!$R$5:$R$3027,T$4,INP_DATA!$D$5:$D$3027,$D285,INP_DATA!$B$5:$B$3027,$B285)</f>
        <v>1</v>
      </c>
    </row>
    <row r="286" spans="1:20" x14ac:dyDescent="0.35">
      <c r="A286" s="3" t="s">
        <v>107</v>
      </c>
      <c r="B286" s="165">
        <v>45078</v>
      </c>
      <c r="C286" s="57" t="str">
        <f>IF($B286="","",YEAR($B286)&amp;"-"&amp;IFERROR(VLOOKUP(MONTH(B286),KEY!$AE$5:$AF$16,2,FALSE),""))</f>
        <v>2023-Q2</v>
      </c>
      <c r="D286" s="3" t="s">
        <v>117</v>
      </c>
      <c r="E286" s="219">
        <v>24</v>
      </c>
      <c r="F286" s="166">
        <v>166</v>
      </c>
      <c r="G286" s="166">
        <v>162</v>
      </c>
      <c r="H286" s="21">
        <v>216</v>
      </c>
      <c r="I286" s="21">
        <v>42</v>
      </c>
      <c r="J286" s="21">
        <v>135</v>
      </c>
      <c r="K286" s="21">
        <v>50</v>
      </c>
      <c r="L286" s="21">
        <v>268</v>
      </c>
      <c r="M286" s="21">
        <v>108</v>
      </c>
      <c r="N286" s="21">
        <v>167</v>
      </c>
      <c r="O286" s="19">
        <v>286</v>
      </c>
      <c r="P286" s="22">
        <v>35</v>
      </c>
      <c r="Q286" s="22">
        <v>18</v>
      </c>
      <c r="R286" s="20" t="s">
        <v>58</v>
      </c>
      <c r="S286" s="234">
        <f>COUNTIFS(INP_DATA!$R$5:$R$3027,S$4,INP_DATA!$D$5:$D$3027,$D286,INP_DATA!$B$5:$B$3027,$B286)</f>
        <v>1</v>
      </c>
      <c r="T286" s="235">
        <f>COUNTIFS(INP_DATA!$R$5:$R$3027,T$4,INP_DATA!$D$5:$D$3027,$D286,INP_DATA!$B$5:$B$3027,$B286)</f>
        <v>0</v>
      </c>
    </row>
    <row r="287" spans="1:20" x14ac:dyDescent="0.35">
      <c r="A287" s="3" t="s">
        <v>106</v>
      </c>
      <c r="B287" s="165">
        <v>45078</v>
      </c>
      <c r="C287" s="57" t="str">
        <f>IF($B287="","",YEAR($B287)&amp;"-"&amp;IFERROR(VLOOKUP(MONTH(B287),KEY!$AE$5:$AF$16,2,FALSE),""))</f>
        <v>2023-Q2</v>
      </c>
      <c r="D287" s="3" t="s">
        <v>118</v>
      </c>
      <c r="E287" s="219">
        <v>29</v>
      </c>
      <c r="F287" s="166">
        <v>197</v>
      </c>
      <c r="G287" s="166">
        <v>199</v>
      </c>
      <c r="H287" s="21">
        <v>545</v>
      </c>
      <c r="I287" s="21">
        <v>33</v>
      </c>
      <c r="J287" s="21">
        <v>348</v>
      </c>
      <c r="K287" s="21">
        <v>38</v>
      </c>
      <c r="L287" s="21">
        <v>245</v>
      </c>
      <c r="M287" s="21">
        <v>59</v>
      </c>
      <c r="N287" s="21">
        <v>201</v>
      </c>
      <c r="O287" s="19">
        <v>286</v>
      </c>
      <c r="P287" s="22">
        <v>46</v>
      </c>
      <c r="Q287" s="22">
        <v>35</v>
      </c>
      <c r="R287" s="20" t="s">
        <v>51</v>
      </c>
      <c r="S287" s="234">
        <f>COUNTIFS(INP_DATA!$R$5:$R$3027,S$4,INP_DATA!$D$5:$D$3027,$D287,INP_DATA!$B$5:$B$3027,$B287)</f>
        <v>0</v>
      </c>
      <c r="T287" s="235">
        <f>COUNTIFS(INP_DATA!$R$5:$R$3027,T$4,INP_DATA!$D$5:$D$3027,$D287,INP_DATA!$B$5:$B$3027,$B287)</f>
        <v>1</v>
      </c>
    </row>
    <row r="288" spans="1:20" x14ac:dyDescent="0.35">
      <c r="A288" s="3" t="s">
        <v>16</v>
      </c>
      <c r="B288" s="165">
        <v>45078</v>
      </c>
      <c r="C288" s="57" t="str">
        <f>IF($B288="","",YEAR($B288)&amp;"-"&amp;IFERROR(VLOOKUP(MONTH(B288),KEY!$AE$5:$AF$16,2,FALSE),""))</f>
        <v>2023-Q2</v>
      </c>
      <c r="D288" s="3" t="s">
        <v>119</v>
      </c>
      <c r="E288" s="219">
        <v>6</v>
      </c>
      <c r="F288" s="166">
        <v>22</v>
      </c>
      <c r="G288" s="166">
        <v>22</v>
      </c>
      <c r="H288" s="21">
        <v>21</v>
      </c>
      <c r="I288" s="21">
        <v>3</v>
      </c>
      <c r="J288" s="21">
        <v>32</v>
      </c>
      <c r="K288" s="21">
        <v>9</v>
      </c>
      <c r="L288" s="21">
        <v>71</v>
      </c>
      <c r="M288" s="21">
        <v>14</v>
      </c>
      <c r="N288" s="21">
        <v>20</v>
      </c>
      <c r="O288" s="19">
        <v>88</v>
      </c>
      <c r="P288" s="22">
        <v>1</v>
      </c>
      <c r="Q288" s="22">
        <v>0</v>
      </c>
      <c r="R288" s="20" t="s">
        <v>194</v>
      </c>
      <c r="S288" s="234">
        <f>COUNTIFS(INP_DATA!$R$5:$R$3027,S$4,INP_DATA!$D$5:$D$3027,$D288,INP_DATA!$B$5:$B$3027,$B288)</f>
        <v>0</v>
      </c>
      <c r="T288" s="235">
        <f>COUNTIFS(INP_DATA!$R$5:$R$3027,T$4,INP_DATA!$D$5:$D$3027,$D288,INP_DATA!$B$5:$B$3027,$B288)</f>
        <v>0</v>
      </c>
    </row>
    <row r="289" spans="1:20" x14ac:dyDescent="0.35">
      <c r="A289" s="3" t="s">
        <v>16</v>
      </c>
      <c r="B289" s="165">
        <v>45078</v>
      </c>
      <c r="C289" s="57" t="str">
        <f>IF($B289="","",YEAR($B289)&amp;"-"&amp;IFERROR(VLOOKUP(MONTH(B289),KEY!$AE$5:$AF$16,2,FALSE),""))</f>
        <v>2023-Q2</v>
      </c>
      <c r="D289" s="3" t="s">
        <v>120</v>
      </c>
      <c r="E289" s="219">
        <v>54</v>
      </c>
      <c r="F289" s="166">
        <v>345</v>
      </c>
      <c r="G289" s="166">
        <v>359</v>
      </c>
      <c r="H289" s="21">
        <v>708</v>
      </c>
      <c r="I289" s="21">
        <v>90</v>
      </c>
      <c r="J289" s="21">
        <v>291</v>
      </c>
      <c r="K289" s="21">
        <v>52</v>
      </c>
      <c r="L289" s="21">
        <v>476</v>
      </c>
      <c r="M289" s="21">
        <v>188</v>
      </c>
      <c r="N289" s="21">
        <v>350</v>
      </c>
      <c r="O289" s="19">
        <v>572</v>
      </c>
      <c r="P289" s="22">
        <v>37</v>
      </c>
      <c r="Q289" s="22">
        <v>23</v>
      </c>
      <c r="R289" s="20" t="s">
        <v>58</v>
      </c>
      <c r="S289" s="234">
        <f>COUNTIFS(INP_DATA!$R$5:$R$3027,S$4,INP_DATA!$D$5:$D$3027,$D289,INP_DATA!$B$5:$B$3027,$B289)</f>
        <v>1</v>
      </c>
      <c r="T289" s="235">
        <f>COUNTIFS(INP_DATA!$R$5:$R$3027,T$4,INP_DATA!$D$5:$D$3027,$D289,INP_DATA!$B$5:$B$3027,$B289)</f>
        <v>0</v>
      </c>
    </row>
    <row r="290" spans="1:20" x14ac:dyDescent="0.35">
      <c r="A290" s="3" t="s">
        <v>109</v>
      </c>
      <c r="B290" s="165">
        <v>45078</v>
      </c>
      <c r="C290" s="57" t="str">
        <f>IF($B290="","",YEAR($B290)&amp;"-"&amp;IFERROR(VLOOKUP(MONTH(B290),KEY!$AE$5:$AF$16,2,FALSE),""))</f>
        <v>2023-Q2</v>
      </c>
      <c r="D290" s="3" t="s">
        <v>121</v>
      </c>
      <c r="E290" s="219">
        <v>68</v>
      </c>
      <c r="F290" s="166">
        <v>233</v>
      </c>
      <c r="G290" s="166">
        <v>276</v>
      </c>
      <c r="H290" s="21">
        <v>661</v>
      </c>
      <c r="I290" s="21">
        <v>72</v>
      </c>
      <c r="J290" s="21">
        <v>211</v>
      </c>
      <c r="K290" s="21">
        <v>29</v>
      </c>
      <c r="L290" s="21">
        <v>441</v>
      </c>
      <c r="M290" s="21">
        <v>193</v>
      </c>
      <c r="N290" s="21">
        <v>236</v>
      </c>
      <c r="O290" s="19">
        <v>462</v>
      </c>
      <c r="P290" s="22">
        <v>21</v>
      </c>
      <c r="Q290" s="22">
        <v>15</v>
      </c>
      <c r="R290" s="20" t="s">
        <v>58</v>
      </c>
      <c r="S290" s="234">
        <f>COUNTIFS(INP_DATA!$R$5:$R$3027,S$4,INP_DATA!$D$5:$D$3027,$D290,INP_DATA!$B$5:$B$3027,$B290)</f>
        <v>1</v>
      </c>
      <c r="T290" s="235">
        <f>COUNTIFS(INP_DATA!$R$5:$R$3027,T$4,INP_DATA!$D$5:$D$3027,$D290,INP_DATA!$B$5:$B$3027,$B290)</f>
        <v>0</v>
      </c>
    </row>
    <row r="291" spans="1:20" x14ac:dyDescent="0.35">
      <c r="A291" s="3" t="s">
        <v>108</v>
      </c>
      <c r="B291" s="165">
        <v>45078</v>
      </c>
      <c r="C291" s="57" t="str">
        <f>IF($B291="","",YEAR($B291)&amp;"-"&amp;IFERROR(VLOOKUP(MONTH(B291),KEY!$AE$5:$AF$16,2,FALSE),""))</f>
        <v>2023-Q2</v>
      </c>
      <c r="D291" s="3" t="s">
        <v>122</v>
      </c>
      <c r="E291" s="219">
        <v>20</v>
      </c>
      <c r="F291" s="166">
        <v>80</v>
      </c>
      <c r="G291" s="166">
        <v>113</v>
      </c>
      <c r="H291" s="21">
        <v>349</v>
      </c>
      <c r="I291" s="21">
        <v>30</v>
      </c>
      <c r="J291" s="21">
        <v>121</v>
      </c>
      <c r="K291" s="21">
        <v>12</v>
      </c>
      <c r="L291" s="21">
        <v>166</v>
      </c>
      <c r="M291" s="21">
        <v>50</v>
      </c>
      <c r="N291" s="21">
        <v>82</v>
      </c>
      <c r="O291" s="19">
        <v>176</v>
      </c>
      <c r="P291" s="22" t="s">
        <v>194</v>
      </c>
      <c r="Q291" s="22" t="s">
        <v>194</v>
      </c>
      <c r="R291" s="20" t="s">
        <v>58</v>
      </c>
      <c r="S291" s="234">
        <f>COUNTIFS(INP_DATA!$R$5:$R$3027,S$4,INP_DATA!$D$5:$D$3027,$D291,INP_DATA!$B$5:$B$3027,$B291)</f>
        <v>1</v>
      </c>
      <c r="T291" s="235">
        <f>COUNTIFS(INP_DATA!$R$5:$R$3027,T$4,INP_DATA!$D$5:$D$3027,$D291,INP_DATA!$B$5:$B$3027,$B291)</f>
        <v>0</v>
      </c>
    </row>
    <row r="292" spans="1:20" x14ac:dyDescent="0.35">
      <c r="A292" s="3" t="s">
        <v>107</v>
      </c>
      <c r="B292" s="165">
        <v>45078</v>
      </c>
      <c r="C292" s="57" t="str">
        <f>IF($B292="","",YEAR($B292)&amp;"-"&amp;IFERROR(VLOOKUP(MONTH(B292),KEY!$AE$5:$AF$16,2,FALSE),""))</f>
        <v>2023-Q2</v>
      </c>
      <c r="D292" s="3" t="s">
        <v>123</v>
      </c>
      <c r="E292" s="219">
        <v>46</v>
      </c>
      <c r="F292" s="166">
        <v>201</v>
      </c>
      <c r="G292" s="166">
        <v>163</v>
      </c>
      <c r="H292" s="21">
        <v>330</v>
      </c>
      <c r="I292" s="21">
        <v>39</v>
      </c>
      <c r="J292" s="21">
        <v>175</v>
      </c>
      <c r="K292" s="21">
        <v>47</v>
      </c>
      <c r="L292" s="21">
        <v>374</v>
      </c>
      <c r="M292" s="21">
        <v>145</v>
      </c>
      <c r="N292" s="21">
        <v>202</v>
      </c>
      <c r="O292" s="19">
        <v>374</v>
      </c>
      <c r="P292" s="22">
        <v>17</v>
      </c>
      <c r="Q292" s="22">
        <v>10</v>
      </c>
      <c r="R292" s="20" t="s">
        <v>58</v>
      </c>
      <c r="S292" s="234">
        <f>COUNTIFS(INP_DATA!$R$5:$R$3027,S$4,INP_DATA!$D$5:$D$3027,$D292,INP_DATA!$B$5:$B$3027,$B292)</f>
        <v>1</v>
      </c>
      <c r="T292" s="235">
        <f>COUNTIFS(INP_DATA!$R$5:$R$3027,T$4,INP_DATA!$D$5:$D$3027,$D292,INP_DATA!$B$5:$B$3027,$B292)</f>
        <v>0</v>
      </c>
    </row>
    <row r="293" spans="1:20" x14ac:dyDescent="0.35">
      <c r="A293" s="3" t="s">
        <v>108</v>
      </c>
      <c r="B293" s="165">
        <v>45078</v>
      </c>
      <c r="C293" s="57" t="str">
        <f>IF($B293="","",YEAR($B293)&amp;"-"&amp;IFERROR(VLOOKUP(MONTH(B293),KEY!$AE$5:$AF$16,2,FALSE),""))</f>
        <v>2023-Q2</v>
      </c>
      <c r="D293" s="3" t="s">
        <v>124</v>
      </c>
      <c r="E293" s="219">
        <v>86</v>
      </c>
      <c r="F293" s="166">
        <v>188</v>
      </c>
      <c r="G293" s="166">
        <v>258</v>
      </c>
      <c r="H293" s="21">
        <v>451</v>
      </c>
      <c r="I293" s="21">
        <v>50</v>
      </c>
      <c r="J293" s="21">
        <v>176</v>
      </c>
      <c r="K293" s="21">
        <v>19</v>
      </c>
      <c r="L293" s="21">
        <v>321</v>
      </c>
      <c r="M293" s="21">
        <v>129</v>
      </c>
      <c r="N293" s="21">
        <v>190</v>
      </c>
      <c r="O293" s="19">
        <v>418</v>
      </c>
      <c r="P293" s="22">
        <v>31</v>
      </c>
      <c r="Q293" s="22">
        <v>24</v>
      </c>
      <c r="R293" s="20" t="s">
        <v>58</v>
      </c>
      <c r="S293" s="234">
        <f>COUNTIFS(INP_DATA!$R$5:$R$3027,S$4,INP_DATA!$D$5:$D$3027,$D293,INP_DATA!$B$5:$B$3027,$B293)</f>
        <v>1</v>
      </c>
      <c r="T293" s="235">
        <f>COUNTIFS(INP_DATA!$R$5:$R$3027,T$4,INP_DATA!$D$5:$D$3027,$D293,INP_DATA!$B$5:$B$3027,$B293)</f>
        <v>0</v>
      </c>
    </row>
    <row r="294" spans="1:20" x14ac:dyDescent="0.35">
      <c r="A294" s="3" t="s">
        <v>106</v>
      </c>
      <c r="B294" s="165">
        <v>45078</v>
      </c>
      <c r="C294" s="57" t="str">
        <f>IF($B294="","",YEAR($B294)&amp;"-"&amp;IFERROR(VLOOKUP(MONTH(B294),KEY!$AE$5:$AF$16,2,FALSE),""))</f>
        <v>2023-Q2</v>
      </c>
      <c r="D294" s="3" t="s">
        <v>195</v>
      </c>
      <c r="E294" s="219">
        <v>10</v>
      </c>
      <c r="F294" s="166">
        <v>42</v>
      </c>
      <c r="G294" s="166">
        <v>20</v>
      </c>
      <c r="H294" s="21">
        <v>166</v>
      </c>
      <c r="I294" s="21">
        <v>20</v>
      </c>
      <c r="J294" s="21">
        <v>42</v>
      </c>
      <c r="K294" s="21">
        <v>5</v>
      </c>
      <c r="L294" s="21">
        <v>80</v>
      </c>
      <c r="M294" s="21">
        <v>31</v>
      </c>
      <c r="N294" s="21">
        <v>42</v>
      </c>
      <c r="O294" s="19">
        <v>88</v>
      </c>
      <c r="P294" s="22">
        <v>9</v>
      </c>
      <c r="Q294" s="22">
        <v>9</v>
      </c>
      <c r="R294" s="20" t="s">
        <v>58</v>
      </c>
      <c r="S294" s="234">
        <f>COUNTIFS(INP_DATA!$R$5:$R$3027,S$4,INP_DATA!$D$5:$D$3027,$D294,INP_DATA!$B$5:$B$3027,$B294)</f>
        <v>1</v>
      </c>
      <c r="T294" s="235">
        <f>COUNTIFS(INP_DATA!$R$5:$R$3027,T$4,INP_DATA!$D$5:$D$3027,$D294,INP_DATA!$B$5:$B$3027,$B294)</f>
        <v>0</v>
      </c>
    </row>
    <row r="295" spans="1:20" x14ac:dyDescent="0.35">
      <c r="A295" s="3" t="s">
        <v>106</v>
      </c>
      <c r="B295" s="165">
        <v>45078</v>
      </c>
      <c r="C295" s="57" t="str">
        <f>IF($B295="","",YEAR($B295)&amp;"-"&amp;IFERROR(VLOOKUP(MONTH(B295),KEY!$AE$5:$AF$16,2,FALSE),""))</f>
        <v>2023-Q2</v>
      </c>
      <c r="D295" s="3" t="s">
        <v>125</v>
      </c>
      <c r="E295" s="219">
        <v>36</v>
      </c>
      <c r="F295" s="166">
        <v>261</v>
      </c>
      <c r="G295" s="166">
        <v>146</v>
      </c>
      <c r="H295" s="21">
        <v>711</v>
      </c>
      <c r="I295" s="21">
        <v>91</v>
      </c>
      <c r="J295" s="21">
        <v>220</v>
      </c>
      <c r="K295" s="21">
        <v>48</v>
      </c>
      <c r="L295" s="21">
        <v>521</v>
      </c>
      <c r="M295" s="21">
        <v>99</v>
      </c>
      <c r="N295" s="21">
        <v>273</v>
      </c>
      <c r="O295" s="19">
        <v>352</v>
      </c>
      <c r="P295" s="22">
        <v>29</v>
      </c>
      <c r="Q295" s="22">
        <v>19</v>
      </c>
      <c r="R295" s="20" t="s">
        <v>58</v>
      </c>
      <c r="S295" s="234">
        <f>COUNTIFS(INP_DATA!$R$5:$R$3027,S$4,INP_DATA!$D$5:$D$3027,$D295,INP_DATA!$B$5:$B$3027,$B295)</f>
        <v>1</v>
      </c>
      <c r="T295" s="235">
        <f>COUNTIFS(INP_DATA!$R$5:$R$3027,T$4,INP_DATA!$D$5:$D$3027,$D295,INP_DATA!$B$5:$B$3027,$B295)</f>
        <v>0</v>
      </c>
    </row>
    <row r="296" spans="1:20" x14ac:dyDescent="0.35">
      <c r="A296" s="3" t="s">
        <v>107</v>
      </c>
      <c r="B296" s="165">
        <v>45078</v>
      </c>
      <c r="C296" s="57" t="str">
        <f>IF($B296="","",YEAR($B296)&amp;"-"&amp;IFERROR(VLOOKUP(MONTH(B296),KEY!$AE$5:$AF$16,2,FALSE),""))</f>
        <v>2023-Q2</v>
      </c>
      <c r="D296" s="3" t="s">
        <v>126</v>
      </c>
      <c r="E296" s="219">
        <v>102</v>
      </c>
      <c r="F296" s="166">
        <v>518</v>
      </c>
      <c r="G296" s="166">
        <v>452</v>
      </c>
      <c r="H296" s="21">
        <v>877</v>
      </c>
      <c r="I296" s="21">
        <v>132</v>
      </c>
      <c r="J296" s="21">
        <v>492</v>
      </c>
      <c r="K296" s="21">
        <v>147</v>
      </c>
      <c r="L296" s="21">
        <v>798</v>
      </c>
      <c r="M296" s="21">
        <v>316</v>
      </c>
      <c r="N296" s="21">
        <v>524</v>
      </c>
      <c r="O296" s="19">
        <v>726</v>
      </c>
      <c r="P296" s="22">
        <v>129</v>
      </c>
      <c r="Q296" s="22">
        <v>81</v>
      </c>
      <c r="R296" s="20" t="s">
        <v>58</v>
      </c>
      <c r="S296" s="234">
        <f>COUNTIFS(INP_DATA!$R$5:$R$3027,S$4,INP_DATA!$D$5:$D$3027,$D296,INP_DATA!$B$5:$B$3027,$B296)</f>
        <v>1</v>
      </c>
      <c r="T296" s="235">
        <f>COUNTIFS(INP_DATA!$R$5:$R$3027,T$4,INP_DATA!$D$5:$D$3027,$D296,INP_DATA!$B$5:$B$3027,$B296)</f>
        <v>0</v>
      </c>
    </row>
    <row r="297" spans="1:20" x14ac:dyDescent="0.35">
      <c r="A297" s="3" t="s">
        <v>107</v>
      </c>
      <c r="B297" s="165">
        <v>45078</v>
      </c>
      <c r="C297" s="57" t="str">
        <f>IF($B297="","",YEAR($B297)&amp;"-"&amp;IFERROR(VLOOKUP(MONTH(B297),KEY!$AE$5:$AF$16,2,FALSE),""))</f>
        <v>2023-Q2</v>
      </c>
      <c r="D297" s="3" t="s">
        <v>127</v>
      </c>
      <c r="E297" s="219">
        <v>12</v>
      </c>
      <c r="F297" s="166">
        <v>73</v>
      </c>
      <c r="G297" s="166">
        <v>65</v>
      </c>
      <c r="H297" s="21">
        <v>119</v>
      </c>
      <c r="I297" s="21">
        <v>23</v>
      </c>
      <c r="J297" s="21">
        <v>54</v>
      </c>
      <c r="K297" s="21">
        <v>13</v>
      </c>
      <c r="L297" s="21">
        <v>102</v>
      </c>
      <c r="M297" s="21">
        <v>46</v>
      </c>
      <c r="N297" s="21">
        <v>74</v>
      </c>
      <c r="O297" s="19">
        <v>88</v>
      </c>
      <c r="P297" s="22">
        <v>10</v>
      </c>
      <c r="Q297" s="22">
        <v>6</v>
      </c>
      <c r="R297" s="20" t="s">
        <v>58</v>
      </c>
      <c r="S297" s="234">
        <f>COUNTIFS(INP_DATA!$R$5:$R$3027,S$4,INP_DATA!$D$5:$D$3027,$D297,INP_DATA!$B$5:$B$3027,$B297)</f>
        <v>1</v>
      </c>
      <c r="T297" s="235">
        <f>COUNTIFS(INP_DATA!$R$5:$R$3027,T$4,INP_DATA!$D$5:$D$3027,$D297,INP_DATA!$B$5:$B$3027,$B297)</f>
        <v>0</v>
      </c>
    </row>
    <row r="298" spans="1:20" x14ac:dyDescent="0.35">
      <c r="A298" s="3" t="s">
        <v>109</v>
      </c>
      <c r="B298" s="165">
        <v>45078</v>
      </c>
      <c r="C298" s="57" t="str">
        <f>IF($B298="","",YEAR($B298)&amp;"-"&amp;IFERROR(VLOOKUP(MONTH(B298),KEY!$AE$5:$AF$16,2,FALSE),""))</f>
        <v>2023-Q2</v>
      </c>
      <c r="D298" s="3" t="s">
        <v>128</v>
      </c>
      <c r="E298" s="219">
        <v>3</v>
      </c>
      <c r="F298" s="166">
        <v>257</v>
      </c>
      <c r="G298" s="166">
        <v>175</v>
      </c>
      <c r="H298" s="21">
        <v>830</v>
      </c>
      <c r="I298" s="21">
        <v>79</v>
      </c>
      <c r="J298" s="21">
        <v>452</v>
      </c>
      <c r="K298" s="21">
        <v>68</v>
      </c>
      <c r="L298" s="21">
        <v>445</v>
      </c>
      <c r="M298" s="21">
        <v>139</v>
      </c>
      <c r="N298" s="21">
        <v>255</v>
      </c>
      <c r="O298" s="19">
        <v>264</v>
      </c>
      <c r="P298" s="22" t="s">
        <v>194</v>
      </c>
      <c r="Q298" s="22" t="s">
        <v>194</v>
      </c>
      <c r="R298" s="20" t="s">
        <v>51</v>
      </c>
      <c r="S298" s="234">
        <f>COUNTIFS(INP_DATA!$R$5:$R$3027,S$4,INP_DATA!$D$5:$D$3027,$D298,INP_DATA!$B$5:$B$3027,$B298)</f>
        <v>0</v>
      </c>
      <c r="T298" s="235">
        <f>COUNTIFS(INP_DATA!$R$5:$R$3027,T$4,INP_DATA!$D$5:$D$3027,$D298,INP_DATA!$B$5:$B$3027,$B298)</f>
        <v>1</v>
      </c>
    </row>
    <row r="299" spans="1:20" x14ac:dyDescent="0.35">
      <c r="A299" s="3" t="s">
        <v>106</v>
      </c>
      <c r="B299" s="165">
        <v>45078</v>
      </c>
      <c r="C299" s="57" t="str">
        <f>IF($B299="","",YEAR($B299)&amp;"-"&amp;IFERROR(VLOOKUP(MONTH(B299),KEY!$AE$5:$AF$16,2,FALSE),""))</f>
        <v>2023-Q2</v>
      </c>
      <c r="D299" s="3" t="s">
        <v>129</v>
      </c>
      <c r="E299" s="219">
        <v>26</v>
      </c>
      <c r="F299" s="166">
        <v>154</v>
      </c>
      <c r="G299" s="166">
        <v>135</v>
      </c>
      <c r="H299" s="21">
        <v>303</v>
      </c>
      <c r="I299" s="21">
        <v>32</v>
      </c>
      <c r="J299" s="21">
        <v>224</v>
      </c>
      <c r="K299" s="21">
        <v>27</v>
      </c>
      <c r="L299" s="21">
        <v>273</v>
      </c>
      <c r="M299" s="21">
        <v>92</v>
      </c>
      <c r="N299" s="21">
        <v>162</v>
      </c>
      <c r="O299" s="19">
        <v>308</v>
      </c>
      <c r="P299" s="22">
        <v>37</v>
      </c>
      <c r="Q299" s="22">
        <v>25</v>
      </c>
      <c r="R299" s="20" t="s">
        <v>58</v>
      </c>
      <c r="S299" s="234">
        <f>COUNTIFS(INP_DATA!$R$5:$R$3027,S$4,INP_DATA!$D$5:$D$3027,$D299,INP_DATA!$B$5:$B$3027,$B299)</f>
        <v>1</v>
      </c>
      <c r="T299" s="235">
        <f>COUNTIFS(INP_DATA!$R$5:$R$3027,T$4,INP_DATA!$D$5:$D$3027,$D299,INP_DATA!$B$5:$B$3027,$B299)</f>
        <v>0</v>
      </c>
    </row>
    <row r="300" spans="1:20" x14ac:dyDescent="0.35">
      <c r="A300" s="3" t="s">
        <v>108</v>
      </c>
      <c r="B300" s="165">
        <v>45078</v>
      </c>
      <c r="C300" s="57" t="str">
        <f>IF($B300="","",YEAR($B300)&amp;"-"&amp;IFERROR(VLOOKUP(MONTH(B300),KEY!$AE$5:$AF$16,2,FALSE),""))</f>
        <v>2023-Q2</v>
      </c>
      <c r="D300" s="3" t="s">
        <v>130</v>
      </c>
      <c r="E300" s="219">
        <v>27</v>
      </c>
      <c r="F300" s="166">
        <v>172</v>
      </c>
      <c r="G300" s="166">
        <v>95</v>
      </c>
      <c r="H300" s="21">
        <v>321</v>
      </c>
      <c r="I300" s="21">
        <v>51</v>
      </c>
      <c r="J300" s="21">
        <v>165</v>
      </c>
      <c r="K300" s="21">
        <v>42</v>
      </c>
      <c r="L300" s="21">
        <v>166</v>
      </c>
      <c r="M300" s="21">
        <v>80</v>
      </c>
      <c r="N300" s="21">
        <v>175</v>
      </c>
      <c r="O300" s="19">
        <v>154</v>
      </c>
      <c r="P300" s="22">
        <v>24</v>
      </c>
      <c r="Q300" s="22">
        <v>17</v>
      </c>
      <c r="R300" s="20" t="s">
        <v>58</v>
      </c>
      <c r="S300" s="234">
        <f>COUNTIFS(INP_DATA!$R$5:$R$3027,S$4,INP_DATA!$D$5:$D$3027,$D300,INP_DATA!$B$5:$B$3027,$B300)</f>
        <v>1</v>
      </c>
      <c r="T300" s="235">
        <f>COUNTIFS(INP_DATA!$R$5:$R$3027,T$4,INP_DATA!$D$5:$D$3027,$D300,INP_DATA!$B$5:$B$3027,$B300)</f>
        <v>0</v>
      </c>
    </row>
    <row r="301" spans="1:20" x14ac:dyDescent="0.35">
      <c r="A301" s="3" t="s">
        <v>109</v>
      </c>
      <c r="B301" s="165">
        <v>45078</v>
      </c>
      <c r="C301" s="57" t="str">
        <f>IF($B301="","",YEAR($B301)&amp;"-"&amp;IFERROR(VLOOKUP(MONTH(B301),KEY!$AE$5:$AF$16,2,FALSE),""))</f>
        <v>2023-Q2</v>
      </c>
      <c r="D301" s="3" t="s">
        <v>131</v>
      </c>
      <c r="E301" s="219">
        <v>37</v>
      </c>
      <c r="F301" s="166">
        <v>190</v>
      </c>
      <c r="G301" s="166">
        <v>167</v>
      </c>
      <c r="H301" s="21">
        <v>130</v>
      </c>
      <c r="I301" s="21">
        <v>21</v>
      </c>
      <c r="J301" s="21">
        <v>138</v>
      </c>
      <c r="K301" s="21">
        <v>39</v>
      </c>
      <c r="L301" s="21">
        <v>149</v>
      </c>
      <c r="M301" s="21">
        <v>37</v>
      </c>
      <c r="N301" s="21">
        <v>200</v>
      </c>
      <c r="O301" s="19">
        <v>286</v>
      </c>
      <c r="P301" s="22">
        <v>4</v>
      </c>
      <c r="Q301" s="22">
        <v>2</v>
      </c>
      <c r="R301" s="20" t="s">
        <v>58</v>
      </c>
      <c r="S301" s="234">
        <f>COUNTIFS(INP_DATA!$R$5:$R$3027,S$4,INP_DATA!$D$5:$D$3027,$D301,INP_DATA!$B$5:$B$3027,$B301)</f>
        <v>1</v>
      </c>
      <c r="T301" s="235">
        <f>COUNTIFS(INP_DATA!$R$5:$R$3027,T$4,INP_DATA!$D$5:$D$3027,$D301,INP_DATA!$B$5:$B$3027,$B301)</f>
        <v>0</v>
      </c>
    </row>
    <row r="302" spans="1:20" x14ac:dyDescent="0.35">
      <c r="A302" s="3" t="s">
        <v>108</v>
      </c>
      <c r="B302" s="165">
        <v>45078</v>
      </c>
      <c r="C302" s="57" t="str">
        <f>IF($B302="","",YEAR($B302)&amp;"-"&amp;IFERROR(VLOOKUP(MONTH(B302),KEY!$AE$5:$AF$16,2,FALSE),""))</f>
        <v>2023-Q2</v>
      </c>
      <c r="D302" s="3" t="s">
        <v>134</v>
      </c>
      <c r="E302" s="219">
        <v>11</v>
      </c>
      <c r="F302" s="166">
        <v>42</v>
      </c>
      <c r="G302" s="166">
        <v>49</v>
      </c>
      <c r="H302" s="21">
        <v>91</v>
      </c>
      <c r="I302" s="21">
        <v>11</v>
      </c>
      <c r="J302" s="21">
        <v>22</v>
      </c>
      <c r="K302" s="21">
        <v>5</v>
      </c>
      <c r="L302" s="21">
        <v>42</v>
      </c>
      <c r="M302" s="21">
        <v>25</v>
      </c>
      <c r="N302" s="21">
        <v>44</v>
      </c>
      <c r="O302" s="19">
        <v>88</v>
      </c>
      <c r="P302" s="22">
        <v>12</v>
      </c>
      <c r="Q302" s="22">
        <v>10</v>
      </c>
      <c r="R302" s="20" t="s">
        <v>51</v>
      </c>
      <c r="S302" s="234">
        <f>COUNTIFS(INP_DATA!$R$5:$R$3027,S$4,INP_DATA!$D$5:$D$3027,$D302,INP_DATA!$B$5:$B$3027,$B302)</f>
        <v>0</v>
      </c>
      <c r="T302" s="235">
        <f>COUNTIFS(INP_DATA!$R$5:$R$3027,T$4,INP_DATA!$D$5:$D$3027,$D302,INP_DATA!$B$5:$B$3027,$B302)</f>
        <v>1</v>
      </c>
    </row>
    <row r="303" spans="1:20" x14ac:dyDescent="0.35">
      <c r="A303" s="3" t="s">
        <v>108</v>
      </c>
      <c r="B303" s="165">
        <v>45078</v>
      </c>
      <c r="C303" s="57" t="str">
        <f>IF($B303="","",YEAR($B303)&amp;"-"&amp;IFERROR(VLOOKUP(MONTH(B303),KEY!$AE$5:$AF$16,2,FALSE),""))</f>
        <v>2023-Q2</v>
      </c>
      <c r="D303" s="3" t="s">
        <v>135</v>
      </c>
      <c r="E303" s="219">
        <v>57</v>
      </c>
      <c r="F303" s="166">
        <v>222</v>
      </c>
      <c r="G303" s="166">
        <v>249</v>
      </c>
      <c r="H303" s="21">
        <v>469</v>
      </c>
      <c r="I303" s="21">
        <v>68</v>
      </c>
      <c r="J303" s="21">
        <v>174</v>
      </c>
      <c r="K303" s="21">
        <v>49</v>
      </c>
      <c r="L303" s="21">
        <v>635</v>
      </c>
      <c r="M303" s="21">
        <v>113</v>
      </c>
      <c r="N303" s="21">
        <v>225</v>
      </c>
      <c r="O303" s="19">
        <v>286</v>
      </c>
      <c r="P303" s="22">
        <v>20</v>
      </c>
      <c r="Q303" s="22">
        <v>13</v>
      </c>
      <c r="R303" s="20" t="s">
        <v>51</v>
      </c>
      <c r="S303" s="234">
        <f>COUNTIFS(INP_DATA!$R$5:$R$3027,S$4,INP_DATA!$D$5:$D$3027,$D303,INP_DATA!$B$5:$B$3027,$B303)</f>
        <v>0</v>
      </c>
      <c r="T303" s="235">
        <f>COUNTIFS(INP_DATA!$R$5:$R$3027,T$4,INP_DATA!$D$5:$D$3027,$D303,INP_DATA!$B$5:$B$3027,$B303)</f>
        <v>1</v>
      </c>
    </row>
    <row r="304" spans="1:20" x14ac:dyDescent="0.35">
      <c r="A304" s="3" t="s">
        <v>16</v>
      </c>
      <c r="B304" s="165">
        <v>45078</v>
      </c>
      <c r="C304" s="57" t="str">
        <f>IF($B304="","",YEAR($B304)&amp;"-"&amp;IFERROR(VLOOKUP(MONTH(B304),KEY!$AE$5:$AF$16,2,FALSE),""))</f>
        <v>2023-Q2</v>
      </c>
      <c r="D304" s="3" t="s">
        <v>196</v>
      </c>
      <c r="E304" s="219">
        <v>11</v>
      </c>
      <c r="F304" s="166">
        <v>38</v>
      </c>
      <c r="G304" s="166">
        <v>20</v>
      </c>
      <c r="H304" s="21">
        <v>60</v>
      </c>
      <c r="I304" s="21">
        <v>9</v>
      </c>
      <c r="J304" s="21">
        <v>49</v>
      </c>
      <c r="K304" s="21">
        <v>8</v>
      </c>
      <c r="L304" s="21">
        <v>79</v>
      </c>
      <c r="M304" s="21">
        <v>33</v>
      </c>
      <c r="N304" s="21">
        <v>38</v>
      </c>
      <c r="O304" s="19">
        <v>110</v>
      </c>
      <c r="P304" s="22">
        <v>4</v>
      </c>
      <c r="Q304" s="22">
        <v>3</v>
      </c>
      <c r="R304" s="20" t="s">
        <v>58</v>
      </c>
      <c r="S304" s="234">
        <f>COUNTIFS(INP_DATA!$R$5:$R$3027,S$4,INP_DATA!$D$5:$D$3027,$D304,INP_DATA!$B$5:$B$3027,$B304)</f>
        <v>1</v>
      </c>
      <c r="T304" s="235">
        <f>COUNTIFS(INP_DATA!$R$5:$R$3027,T$4,INP_DATA!$D$5:$D$3027,$D304,INP_DATA!$B$5:$B$3027,$B304)</f>
        <v>0</v>
      </c>
    </row>
    <row r="305" spans="1:20" x14ac:dyDescent="0.35">
      <c r="A305" s="3" t="s">
        <v>16</v>
      </c>
      <c r="B305" s="165">
        <v>45078</v>
      </c>
      <c r="C305" s="57" t="str">
        <f>IF($B305="","",YEAR($B305)&amp;"-"&amp;IFERROR(VLOOKUP(MONTH(B305),KEY!$AE$5:$AF$16,2,FALSE),""))</f>
        <v>2023-Q2</v>
      </c>
      <c r="D305" s="3" t="s">
        <v>197</v>
      </c>
      <c r="E305" s="219">
        <v>20</v>
      </c>
      <c r="F305" s="166">
        <v>89</v>
      </c>
      <c r="G305" s="166">
        <v>49</v>
      </c>
      <c r="H305" s="21">
        <v>158</v>
      </c>
      <c r="I305" s="21">
        <v>27</v>
      </c>
      <c r="J305" s="21">
        <v>93</v>
      </c>
      <c r="K305" s="21">
        <v>19</v>
      </c>
      <c r="L305" s="21">
        <v>134</v>
      </c>
      <c r="M305" s="21">
        <v>63</v>
      </c>
      <c r="N305" s="21">
        <v>92</v>
      </c>
      <c r="O305" s="19">
        <v>176</v>
      </c>
      <c r="P305" s="22">
        <v>6</v>
      </c>
      <c r="Q305" s="22">
        <v>5</v>
      </c>
      <c r="R305" s="20" t="s">
        <v>58</v>
      </c>
      <c r="S305" s="234">
        <f>COUNTIFS(INP_DATA!$R$5:$R$3027,S$4,INP_DATA!$D$5:$D$3027,$D305,INP_DATA!$B$5:$B$3027,$B305)</f>
        <v>1</v>
      </c>
      <c r="T305" s="235">
        <f>COUNTIFS(INP_DATA!$R$5:$R$3027,T$4,INP_DATA!$D$5:$D$3027,$D305,INP_DATA!$B$5:$B$3027,$B305)</f>
        <v>0</v>
      </c>
    </row>
    <row r="306" spans="1:20" x14ac:dyDescent="0.35">
      <c r="A306" s="3" t="s">
        <v>109</v>
      </c>
      <c r="B306" s="165">
        <v>45078</v>
      </c>
      <c r="C306" s="57" t="str">
        <f>IF($B306="","",YEAR($B306)&amp;"-"&amp;IFERROR(VLOOKUP(MONTH(B306),KEY!$AE$5:$AF$16,2,FALSE),""))</f>
        <v>2023-Q2</v>
      </c>
      <c r="D306" s="3" t="s">
        <v>136</v>
      </c>
      <c r="E306" s="219">
        <v>83</v>
      </c>
      <c r="F306" s="166">
        <v>258</v>
      </c>
      <c r="G306" s="166">
        <v>232</v>
      </c>
      <c r="H306" s="21">
        <v>516</v>
      </c>
      <c r="I306" s="21">
        <v>44</v>
      </c>
      <c r="J306" s="21">
        <v>514</v>
      </c>
      <c r="K306" s="21">
        <v>34</v>
      </c>
      <c r="L306" s="21">
        <v>253</v>
      </c>
      <c r="M306" s="21">
        <v>123</v>
      </c>
      <c r="N306" s="21">
        <v>264</v>
      </c>
      <c r="O306" s="19">
        <v>330</v>
      </c>
      <c r="P306" s="22">
        <v>39</v>
      </c>
      <c r="Q306" s="22">
        <v>30</v>
      </c>
      <c r="R306" s="20" t="s">
        <v>51</v>
      </c>
      <c r="S306" s="234">
        <f>COUNTIFS(INP_DATA!$R$5:$R$3027,S$4,INP_DATA!$D$5:$D$3027,$D306,INP_DATA!$B$5:$B$3027,$B306)</f>
        <v>0</v>
      </c>
      <c r="T306" s="235">
        <f>COUNTIFS(INP_DATA!$R$5:$R$3027,T$4,INP_DATA!$D$5:$D$3027,$D306,INP_DATA!$B$5:$B$3027,$B306)</f>
        <v>1</v>
      </c>
    </row>
    <row r="307" spans="1:20" x14ac:dyDescent="0.35">
      <c r="A307" s="3" t="s">
        <v>16</v>
      </c>
      <c r="B307" s="165">
        <v>45078</v>
      </c>
      <c r="C307" s="57" t="str">
        <f>IF($B307="","",YEAR($B307)&amp;"-"&amp;IFERROR(VLOOKUP(MONTH(B307),KEY!$AE$5:$AF$16,2,FALSE),""))</f>
        <v>2023-Q2</v>
      </c>
      <c r="D307" s="3" t="s">
        <v>137</v>
      </c>
      <c r="E307" s="219">
        <v>20</v>
      </c>
      <c r="F307" s="166">
        <v>82</v>
      </c>
      <c r="G307" s="166">
        <v>67</v>
      </c>
      <c r="H307" s="21">
        <v>204</v>
      </c>
      <c r="I307" s="21">
        <v>26</v>
      </c>
      <c r="J307" s="21">
        <v>148</v>
      </c>
      <c r="K307" s="21">
        <v>31</v>
      </c>
      <c r="L307" s="21">
        <v>142</v>
      </c>
      <c r="M307" s="21">
        <v>68</v>
      </c>
      <c r="N307" s="21">
        <v>84</v>
      </c>
      <c r="O307" s="19">
        <v>176</v>
      </c>
      <c r="P307" s="22">
        <v>9</v>
      </c>
      <c r="Q307" s="22">
        <v>2</v>
      </c>
      <c r="R307" s="20" t="s">
        <v>58</v>
      </c>
      <c r="S307" s="234">
        <f>COUNTIFS(INP_DATA!$R$5:$R$3027,S$4,INP_DATA!$D$5:$D$3027,$D307,INP_DATA!$B$5:$B$3027,$B307)</f>
        <v>1</v>
      </c>
      <c r="T307" s="235">
        <f>COUNTIFS(INP_DATA!$R$5:$R$3027,T$4,INP_DATA!$D$5:$D$3027,$D307,INP_DATA!$B$5:$B$3027,$B307)</f>
        <v>0</v>
      </c>
    </row>
    <row r="308" spans="1:20" x14ac:dyDescent="0.35">
      <c r="A308" s="3" t="s">
        <v>109</v>
      </c>
      <c r="B308" s="165">
        <v>45078</v>
      </c>
      <c r="C308" s="57" t="str">
        <f>IF($B308="","",YEAR($B308)&amp;"-"&amp;IFERROR(VLOOKUP(MONTH(B308),KEY!$AE$5:$AF$16,2,FALSE),""))</f>
        <v>2023-Q2</v>
      </c>
      <c r="D308" s="3" t="s">
        <v>138</v>
      </c>
      <c r="E308" s="219">
        <v>21</v>
      </c>
      <c r="F308" s="166">
        <v>132</v>
      </c>
      <c r="G308" s="166">
        <v>98</v>
      </c>
      <c r="H308" s="21">
        <v>252</v>
      </c>
      <c r="I308" s="21">
        <v>40</v>
      </c>
      <c r="J308" s="21">
        <v>158</v>
      </c>
      <c r="K308" s="21">
        <v>38</v>
      </c>
      <c r="L308" s="21">
        <v>188</v>
      </c>
      <c r="M308" s="21">
        <v>76</v>
      </c>
      <c r="N308" s="21">
        <v>137</v>
      </c>
      <c r="O308" s="19">
        <v>154</v>
      </c>
      <c r="P308" s="22">
        <v>13</v>
      </c>
      <c r="Q308" s="22">
        <v>9</v>
      </c>
      <c r="R308" s="20" t="s">
        <v>51</v>
      </c>
      <c r="S308" s="234">
        <f>COUNTIFS(INP_DATA!$R$5:$R$3027,S$4,INP_DATA!$D$5:$D$3027,$D308,INP_DATA!$B$5:$B$3027,$B308)</f>
        <v>0</v>
      </c>
      <c r="T308" s="235">
        <f>COUNTIFS(INP_DATA!$R$5:$R$3027,T$4,INP_DATA!$D$5:$D$3027,$D308,INP_DATA!$B$5:$B$3027,$B308)</f>
        <v>1</v>
      </c>
    </row>
    <row r="309" spans="1:20" x14ac:dyDescent="0.35">
      <c r="A309" s="3" t="s">
        <v>108</v>
      </c>
      <c r="B309" s="165">
        <v>45078</v>
      </c>
      <c r="C309" s="57" t="str">
        <f>IF($B309="","",YEAR($B309)&amp;"-"&amp;IFERROR(VLOOKUP(MONTH(B309),KEY!$AE$5:$AF$16,2,FALSE),""))</f>
        <v>2023-Q2</v>
      </c>
      <c r="D309" s="3" t="s">
        <v>139</v>
      </c>
      <c r="E309" s="219">
        <v>33</v>
      </c>
      <c r="F309" s="166">
        <v>160</v>
      </c>
      <c r="G309" s="166">
        <v>165</v>
      </c>
      <c r="H309" s="21">
        <v>303</v>
      </c>
      <c r="I309" s="21">
        <v>32</v>
      </c>
      <c r="J309" s="21">
        <v>224</v>
      </c>
      <c r="K309" s="21">
        <v>27</v>
      </c>
      <c r="L309" s="21">
        <v>273</v>
      </c>
      <c r="M309" s="21">
        <v>92</v>
      </c>
      <c r="N309" s="21">
        <v>162</v>
      </c>
      <c r="O309" s="19">
        <v>286</v>
      </c>
      <c r="P309" s="22">
        <v>56</v>
      </c>
      <c r="Q309" s="22">
        <v>35</v>
      </c>
      <c r="R309" s="20" t="s">
        <v>58</v>
      </c>
      <c r="S309" s="234">
        <f>COUNTIFS(INP_DATA!$R$5:$R$3027,S$4,INP_DATA!$D$5:$D$3027,$D309,INP_DATA!$B$5:$B$3027,$B309)</f>
        <v>1</v>
      </c>
      <c r="T309" s="235">
        <f>COUNTIFS(INP_DATA!$R$5:$R$3027,T$4,INP_DATA!$D$5:$D$3027,$D309,INP_DATA!$B$5:$B$3027,$B309)</f>
        <v>0</v>
      </c>
    </row>
    <row r="310" spans="1:20" x14ac:dyDescent="0.35">
      <c r="A310" s="3" t="s">
        <v>107</v>
      </c>
      <c r="B310" s="165">
        <v>45078</v>
      </c>
      <c r="C310" s="57" t="str">
        <f>IF($B310="","",YEAR($B310)&amp;"-"&amp;IFERROR(VLOOKUP(MONTH(B310),KEY!$AE$5:$AF$16,2,FALSE),""))</f>
        <v>2023-Q2</v>
      </c>
      <c r="D310" s="3" t="s">
        <v>140</v>
      </c>
      <c r="E310" s="219">
        <v>4</v>
      </c>
      <c r="F310" s="166">
        <v>25</v>
      </c>
      <c r="G310" s="166">
        <v>29</v>
      </c>
      <c r="H310" s="21">
        <v>116</v>
      </c>
      <c r="I310" s="21">
        <v>9</v>
      </c>
      <c r="J310" s="21">
        <v>38</v>
      </c>
      <c r="K310" s="21">
        <v>9</v>
      </c>
      <c r="L310" s="21">
        <v>75</v>
      </c>
      <c r="M310" s="21">
        <v>18</v>
      </c>
      <c r="N310" s="21">
        <v>28</v>
      </c>
      <c r="O310" s="19">
        <v>88</v>
      </c>
      <c r="P310" s="22">
        <v>8</v>
      </c>
      <c r="Q310" s="22">
        <v>5</v>
      </c>
      <c r="R310" s="20" t="s">
        <v>194</v>
      </c>
      <c r="S310" s="234">
        <f>COUNTIFS(INP_DATA!$R$5:$R$3027,S$4,INP_DATA!$D$5:$D$3027,$D310,INP_DATA!$B$5:$B$3027,$B310)</f>
        <v>0</v>
      </c>
      <c r="T310" s="235">
        <f>COUNTIFS(INP_DATA!$R$5:$R$3027,T$4,INP_DATA!$D$5:$D$3027,$D310,INP_DATA!$B$5:$B$3027,$B310)</f>
        <v>0</v>
      </c>
    </row>
    <row r="311" spans="1:20" x14ac:dyDescent="0.35">
      <c r="A311" s="3" t="s">
        <v>108</v>
      </c>
      <c r="B311" s="165">
        <v>45078</v>
      </c>
      <c r="C311" s="57" t="str">
        <f>IF($B311="","",YEAR($B311)&amp;"-"&amp;IFERROR(VLOOKUP(MONTH(B311),KEY!$AE$5:$AF$16,2,FALSE),""))</f>
        <v>2023-Q2</v>
      </c>
      <c r="D311" s="3" t="s">
        <v>142</v>
      </c>
      <c r="E311" s="219">
        <v>20</v>
      </c>
      <c r="F311" s="166">
        <v>71</v>
      </c>
      <c r="G311" s="166">
        <v>49</v>
      </c>
      <c r="H311" s="21">
        <v>138</v>
      </c>
      <c r="I311" s="21">
        <v>22</v>
      </c>
      <c r="J311" s="21">
        <v>20</v>
      </c>
      <c r="K311" s="21">
        <v>6</v>
      </c>
      <c r="L311" s="21">
        <v>122</v>
      </c>
      <c r="M311" s="21">
        <v>36</v>
      </c>
      <c r="N311" s="21">
        <v>72</v>
      </c>
      <c r="O311" s="19">
        <v>110</v>
      </c>
      <c r="P311" s="22">
        <v>19</v>
      </c>
      <c r="Q311" s="22">
        <v>13</v>
      </c>
      <c r="R311" s="20" t="s">
        <v>51</v>
      </c>
      <c r="S311" s="234">
        <f>COUNTIFS(INP_DATA!$R$5:$R$3027,S$4,INP_DATA!$D$5:$D$3027,$D311,INP_DATA!$B$5:$B$3027,$B311)</f>
        <v>0</v>
      </c>
      <c r="T311" s="235">
        <f>COUNTIFS(INP_DATA!$R$5:$R$3027,T$4,INP_DATA!$D$5:$D$3027,$D311,INP_DATA!$B$5:$B$3027,$B311)</f>
        <v>1</v>
      </c>
    </row>
    <row r="312" spans="1:20" x14ac:dyDescent="0.35">
      <c r="A312" s="3" t="s">
        <v>16</v>
      </c>
      <c r="B312" s="165">
        <v>45078</v>
      </c>
      <c r="C312" s="57" t="str">
        <f>IF($B312="","",YEAR($B312)&amp;"-"&amp;IFERROR(VLOOKUP(MONTH(B312),KEY!$AE$5:$AF$16,2,FALSE),""))</f>
        <v>2023-Q2</v>
      </c>
      <c r="D312" s="3" t="s">
        <v>143</v>
      </c>
      <c r="E312" s="219">
        <v>15</v>
      </c>
      <c r="F312" s="166">
        <v>74</v>
      </c>
      <c r="G312" s="166">
        <v>71</v>
      </c>
      <c r="H312" s="21">
        <v>114</v>
      </c>
      <c r="I312" s="21">
        <v>23</v>
      </c>
      <c r="J312" s="21">
        <v>79</v>
      </c>
      <c r="K312" s="21">
        <v>22</v>
      </c>
      <c r="L312" s="21">
        <v>151</v>
      </c>
      <c r="M312" s="21">
        <v>54</v>
      </c>
      <c r="N312" s="21">
        <v>74</v>
      </c>
      <c r="O312" s="19">
        <v>198</v>
      </c>
      <c r="P312" s="22">
        <v>19</v>
      </c>
      <c r="Q312" s="22">
        <v>11</v>
      </c>
      <c r="R312" s="20" t="s">
        <v>58</v>
      </c>
      <c r="S312" s="234">
        <f>COUNTIFS(INP_DATA!$R$5:$R$3027,S$4,INP_DATA!$D$5:$D$3027,$D312,INP_DATA!$B$5:$B$3027,$B312)</f>
        <v>1</v>
      </c>
      <c r="T312" s="235">
        <f>COUNTIFS(INP_DATA!$R$5:$R$3027,T$4,INP_DATA!$D$5:$D$3027,$D312,INP_DATA!$B$5:$B$3027,$B312)</f>
        <v>0</v>
      </c>
    </row>
    <row r="313" spans="1:20" x14ac:dyDescent="0.35">
      <c r="A313" s="3" t="s">
        <v>16</v>
      </c>
      <c r="B313" s="165">
        <v>45078</v>
      </c>
      <c r="C313" s="57" t="str">
        <f>IF($B313="","",YEAR($B313)&amp;"-"&amp;IFERROR(VLOOKUP(MONTH(B313),KEY!$AE$5:$AF$16,2,FALSE),""))</f>
        <v>2023-Q2</v>
      </c>
      <c r="D313" s="3" t="s">
        <v>144</v>
      </c>
      <c r="E313" s="219">
        <v>26</v>
      </c>
      <c r="F313" s="166">
        <v>142</v>
      </c>
      <c r="G313" s="166">
        <v>209</v>
      </c>
      <c r="H313" s="21">
        <v>145</v>
      </c>
      <c r="I313" s="21">
        <v>22</v>
      </c>
      <c r="J313" s="21">
        <v>124</v>
      </c>
      <c r="K313" s="21">
        <v>22</v>
      </c>
      <c r="L313" s="21">
        <v>216</v>
      </c>
      <c r="M313" s="21">
        <v>83</v>
      </c>
      <c r="N313" s="21">
        <v>148</v>
      </c>
      <c r="O313" s="19">
        <v>396</v>
      </c>
      <c r="P313" s="22">
        <v>11</v>
      </c>
      <c r="Q313" s="22">
        <v>9</v>
      </c>
      <c r="R313" s="20" t="s">
        <v>58</v>
      </c>
      <c r="S313" s="234">
        <f>COUNTIFS(INP_DATA!$R$5:$R$3027,S$4,INP_DATA!$D$5:$D$3027,$D313,INP_DATA!$B$5:$B$3027,$B313)</f>
        <v>1</v>
      </c>
      <c r="T313" s="235">
        <f>COUNTIFS(INP_DATA!$R$5:$R$3027,T$4,INP_DATA!$D$5:$D$3027,$D313,INP_DATA!$B$5:$B$3027,$B313)</f>
        <v>0</v>
      </c>
    </row>
    <row r="314" spans="1:20" x14ac:dyDescent="0.35">
      <c r="A314" s="3" t="s">
        <v>108</v>
      </c>
      <c r="B314" s="165">
        <v>45078</v>
      </c>
      <c r="C314" s="57" t="str">
        <f>IF($B314="","",YEAR($B314)&amp;"-"&amp;IFERROR(VLOOKUP(MONTH(B314),KEY!$AE$5:$AF$16,2,FALSE),""))</f>
        <v>2023-Q2</v>
      </c>
      <c r="D314" s="3" t="s">
        <v>145</v>
      </c>
      <c r="E314" s="219">
        <v>67</v>
      </c>
      <c r="F314" s="166">
        <v>161</v>
      </c>
      <c r="G314" s="166">
        <v>192</v>
      </c>
      <c r="H314" s="21">
        <v>266</v>
      </c>
      <c r="I314" s="21">
        <v>34</v>
      </c>
      <c r="J314" s="21">
        <v>160</v>
      </c>
      <c r="K314" s="21">
        <v>28</v>
      </c>
      <c r="L314" s="21">
        <v>373</v>
      </c>
      <c r="M314" s="21">
        <v>92</v>
      </c>
      <c r="N314" s="21">
        <v>162</v>
      </c>
      <c r="O314" s="19">
        <v>308</v>
      </c>
      <c r="P314" s="22">
        <v>58</v>
      </c>
      <c r="Q314" s="22">
        <v>26</v>
      </c>
      <c r="R314" s="20" t="s">
        <v>51</v>
      </c>
      <c r="S314" s="234">
        <f>COUNTIFS(INP_DATA!$R$5:$R$3027,S$4,INP_DATA!$D$5:$D$3027,$D314,INP_DATA!$B$5:$B$3027,$B314)</f>
        <v>0</v>
      </c>
      <c r="T314" s="235">
        <f>COUNTIFS(INP_DATA!$R$5:$R$3027,T$4,INP_DATA!$D$5:$D$3027,$D314,INP_DATA!$B$5:$B$3027,$B314)</f>
        <v>1</v>
      </c>
    </row>
    <row r="315" spans="1:20" x14ac:dyDescent="0.35">
      <c r="A315" s="3" t="s">
        <v>16</v>
      </c>
      <c r="B315" s="165">
        <v>45078</v>
      </c>
      <c r="C315" s="57" t="str">
        <f>IF($B315="","",YEAR($B315)&amp;"-"&amp;IFERROR(VLOOKUP(MONTH(B315),KEY!$AE$5:$AF$16,2,FALSE),""))</f>
        <v>2023-Q2</v>
      </c>
      <c r="D315" s="3" t="s">
        <v>146</v>
      </c>
      <c r="E315" s="219">
        <v>10</v>
      </c>
      <c r="F315" s="166">
        <v>48</v>
      </c>
      <c r="G315" s="166">
        <v>38</v>
      </c>
      <c r="H315" s="21">
        <v>101</v>
      </c>
      <c r="I315" s="21">
        <v>17</v>
      </c>
      <c r="J315" s="21">
        <v>29</v>
      </c>
      <c r="K315" s="21">
        <v>3</v>
      </c>
      <c r="L315" s="21">
        <v>69</v>
      </c>
      <c r="M315" s="21">
        <v>33</v>
      </c>
      <c r="N315" s="21">
        <v>48</v>
      </c>
      <c r="O315" s="19">
        <v>110</v>
      </c>
      <c r="P315" s="22">
        <v>1</v>
      </c>
      <c r="Q315" s="22">
        <v>0</v>
      </c>
      <c r="R315" s="20" t="s">
        <v>58</v>
      </c>
      <c r="S315" s="234">
        <f>COUNTIFS(INP_DATA!$R$5:$R$3027,S$4,INP_DATA!$D$5:$D$3027,$D315,INP_DATA!$B$5:$B$3027,$B315)</f>
        <v>1</v>
      </c>
      <c r="T315" s="235">
        <f>COUNTIFS(INP_DATA!$R$5:$R$3027,T$4,INP_DATA!$D$5:$D$3027,$D315,INP_DATA!$B$5:$B$3027,$B315)</f>
        <v>0</v>
      </c>
    </row>
    <row r="316" spans="1:20" x14ac:dyDescent="0.35">
      <c r="A316" s="3" t="s">
        <v>109</v>
      </c>
      <c r="B316" s="165">
        <v>45078</v>
      </c>
      <c r="C316" s="57" t="str">
        <f>IF($B316="","",YEAR($B316)&amp;"-"&amp;IFERROR(VLOOKUP(MONTH(B316),KEY!$AE$5:$AF$16,2,FALSE),""))</f>
        <v>2023-Q2</v>
      </c>
      <c r="D316" s="3" t="s">
        <v>147</v>
      </c>
      <c r="E316" s="219">
        <v>16</v>
      </c>
      <c r="F316" s="166">
        <v>55</v>
      </c>
      <c r="G316" s="166">
        <v>47</v>
      </c>
      <c r="H316" s="21">
        <v>98</v>
      </c>
      <c r="I316" s="21">
        <v>8</v>
      </c>
      <c r="J316" s="21">
        <v>69</v>
      </c>
      <c r="K316" s="21">
        <v>13</v>
      </c>
      <c r="L316" s="21">
        <v>91</v>
      </c>
      <c r="M316" s="21">
        <v>45</v>
      </c>
      <c r="N316" s="21">
        <v>55</v>
      </c>
      <c r="O316" s="19">
        <v>110</v>
      </c>
      <c r="P316" s="22">
        <v>2</v>
      </c>
      <c r="Q316" s="22">
        <v>2</v>
      </c>
      <c r="R316" s="20" t="s">
        <v>58</v>
      </c>
      <c r="S316" s="234">
        <f>COUNTIFS(INP_DATA!$R$5:$R$3027,S$4,INP_DATA!$D$5:$D$3027,$D316,INP_DATA!$B$5:$B$3027,$B316)</f>
        <v>1</v>
      </c>
      <c r="T316" s="235">
        <f>COUNTIFS(INP_DATA!$R$5:$R$3027,T$4,INP_DATA!$D$5:$D$3027,$D316,INP_DATA!$B$5:$B$3027,$B316)</f>
        <v>0</v>
      </c>
    </row>
    <row r="317" spans="1:20" x14ac:dyDescent="0.35">
      <c r="A317" s="3" t="s">
        <v>106</v>
      </c>
      <c r="B317" s="165">
        <v>45078</v>
      </c>
      <c r="C317" s="57" t="str">
        <f>IF($B317="","",YEAR($B317)&amp;"-"&amp;IFERROR(VLOOKUP(MONTH(B317),KEY!$AE$5:$AF$16,2,FALSE),""))</f>
        <v>2023-Q2</v>
      </c>
      <c r="D317" s="3" t="s">
        <v>148</v>
      </c>
      <c r="E317" s="219">
        <v>17</v>
      </c>
      <c r="F317" s="166">
        <v>53</v>
      </c>
      <c r="G317" s="166">
        <v>49</v>
      </c>
      <c r="H317" s="21">
        <v>96</v>
      </c>
      <c r="I317" s="21">
        <v>13</v>
      </c>
      <c r="J317" s="21">
        <v>61</v>
      </c>
      <c r="K317" s="21">
        <v>11</v>
      </c>
      <c r="L317" s="21">
        <v>131</v>
      </c>
      <c r="M317" s="21">
        <v>46</v>
      </c>
      <c r="N317" s="21">
        <v>54</v>
      </c>
      <c r="O317" s="19">
        <v>88</v>
      </c>
      <c r="P317" s="22">
        <v>9</v>
      </c>
      <c r="Q317" s="22">
        <v>7</v>
      </c>
      <c r="R317" s="20" t="s">
        <v>58</v>
      </c>
      <c r="S317" s="234">
        <f>COUNTIFS(INP_DATA!$R$5:$R$3027,S$4,INP_DATA!$D$5:$D$3027,$D317,INP_DATA!$B$5:$B$3027,$B317)</f>
        <v>1</v>
      </c>
      <c r="T317" s="235">
        <f>COUNTIFS(INP_DATA!$R$5:$R$3027,T$4,INP_DATA!$D$5:$D$3027,$D317,INP_DATA!$B$5:$B$3027,$B317)</f>
        <v>0</v>
      </c>
    </row>
    <row r="318" spans="1:20" x14ac:dyDescent="0.35">
      <c r="A318" s="3" t="s">
        <v>107</v>
      </c>
      <c r="B318" s="165">
        <v>45078</v>
      </c>
      <c r="C318" s="57" t="str">
        <f>IF($B318="","",YEAR($B318)&amp;"-"&amp;IFERROR(VLOOKUP(MONTH(B318),KEY!$AE$5:$AF$16,2,FALSE),""))</f>
        <v>2023-Q2</v>
      </c>
      <c r="D318" s="3" t="s">
        <v>149</v>
      </c>
      <c r="E318" s="219">
        <v>12</v>
      </c>
      <c r="F318" s="166">
        <v>33</v>
      </c>
      <c r="G318" s="166">
        <v>21</v>
      </c>
      <c r="H318" s="21">
        <v>71</v>
      </c>
      <c r="I318" s="21">
        <v>7</v>
      </c>
      <c r="J318" s="21">
        <v>33</v>
      </c>
      <c r="K318" s="21">
        <v>4</v>
      </c>
      <c r="L318" s="21">
        <v>45</v>
      </c>
      <c r="M318" s="21">
        <v>18</v>
      </c>
      <c r="N318" s="21">
        <v>33</v>
      </c>
      <c r="O318" s="19">
        <v>44</v>
      </c>
      <c r="P318" s="22">
        <v>8</v>
      </c>
      <c r="Q318" s="22">
        <v>0</v>
      </c>
      <c r="R318" s="20" t="s">
        <v>58</v>
      </c>
      <c r="S318" s="234">
        <f>COUNTIFS(INP_DATA!$R$5:$R$3027,S$4,INP_DATA!$D$5:$D$3027,$D318,INP_DATA!$B$5:$B$3027,$B318)</f>
        <v>1</v>
      </c>
      <c r="T318" s="235">
        <f>COUNTIFS(INP_DATA!$R$5:$R$3027,T$4,INP_DATA!$D$5:$D$3027,$D318,INP_DATA!$B$5:$B$3027,$B318)</f>
        <v>0</v>
      </c>
    </row>
    <row r="319" spans="1:20" x14ac:dyDescent="0.35">
      <c r="A319" s="3" t="s">
        <v>108</v>
      </c>
      <c r="B319" s="165">
        <v>45078</v>
      </c>
      <c r="C319" s="57" t="str">
        <f>IF($B319="","",YEAR($B319)&amp;"-"&amp;IFERROR(VLOOKUP(MONTH(B319),KEY!$AE$5:$AF$16,2,FALSE),""))</f>
        <v>2023-Q2</v>
      </c>
      <c r="D319" s="3" t="s">
        <v>150</v>
      </c>
      <c r="E319" s="219">
        <v>6</v>
      </c>
      <c r="F319" s="166">
        <v>44</v>
      </c>
      <c r="G319" s="166">
        <v>73</v>
      </c>
      <c r="H319" s="21">
        <v>70</v>
      </c>
      <c r="I319" s="21">
        <v>12</v>
      </c>
      <c r="J319" s="21">
        <v>4</v>
      </c>
      <c r="K319" s="21">
        <v>1</v>
      </c>
      <c r="L319" s="21">
        <v>60</v>
      </c>
      <c r="M319" s="21">
        <v>31</v>
      </c>
      <c r="N319" s="21">
        <v>45</v>
      </c>
      <c r="O319" s="19">
        <v>110</v>
      </c>
      <c r="P319" s="22">
        <v>14</v>
      </c>
      <c r="Q319" s="22">
        <v>8</v>
      </c>
      <c r="R319" s="20" t="s">
        <v>58</v>
      </c>
      <c r="S319" s="234">
        <f>COUNTIFS(INP_DATA!$R$5:$R$3027,S$4,INP_DATA!$D$5:$D$3027,$D319,INP_DATA!$B$5:$B$3027,$B319)</f>
        <v>1</v>
      </c>
      <c r="T319" s="235">
        <f>COUNTIFS(INP_DATA!$R$5:$R$3027,T$4,INP_DATA!$D$5:$D$3027,$D319,INP_DATA!$B$5:$B$3027,$B319)</f>
        <v>0</v>
      </c>
    </row>
    <row r="320" spans="1:20" x14ac:dyDescent="0.35">
      <c r="A320" s="3" t="s">
        <v>16</v>
      </c>
      <c r="B320" s="165">
        <v>45078</v>
      </c>
      <c r="C320" s="57" t="str">
        <f>IF($B320="","",YEAR($B320)&amp;"-"&amp;IFERROR(VLOOKUP(MONTH(B320),KEY!$AE$5:$AF$16,2,FALSE),""))</f>
        <v>2023-Q2</v>
      </c>
      <c r="D320" s="3" t="s">
        <v>151</v>
      </c>
      <c r="E320" s="219">
        <v>5</v>
      </c>
      <c r="F320" s="166">
        <v>22</v>
      </c>
      <c r="G320" s="166">
        <v>26</v>
      </c>
      <c r="H320" s="21">
        <v>83</v>
      </c>
      <c r="I320" s="21">
        <v>3</v>
      </c>
      <c r="J320" s="21">
        <v>19</v>
      </c>
      <c r="K320" s="21">
        <v>6</v>
      </c>
      <c r="L320" s="21">
        <v>42</v>
      </c>
      <c r="M320" s="21">
        <v>17</v>
      </c>
      <c r="N320" s="21">
        <v>21</v>
      </c>
      <c r="O320" s="19">
        <v>66</v>
      </c>
      <c r="P320" s="22">
        <v>4</v>
      </c>
      <c r="Q320" s="22">
        <v>3</v>
      </c>
      <c r="R320" s="20" t="s">
        <v>58</v>
      </c>
      <c r="S320" s="234">
        <f>COUNTIFS(INP_DATA!$R$5:$R$3027,S$4,INP_DATA!$D$5:$D$3027,$D320,INP_DATA!$B$5:$B$3027,$B320)</f>
        <v>1</v>
      </c>
      <c r="T320" s="235">
        <f>COUNTIFS(INP_DATA!$R$5:$R$3027,T$4,INP_DATA!$D$5:$D$3027,$D320,INP_DATA!$B$5:$B$3027,$B320)</f>
        <v>0</v>
      </c>
    </row>
    <row r="321" spans="1:20" x14ac:dyDescent="0.35">
      <c r="A321" s="3" t="s">
        <v>106</v>
      </c>
      <c r="B321" s="165">
        <v>45078</v>
      </c>
      <c r="C321" s="57" t="str">
        <f>IF($B321="","",YEAR($B321)&amp;"-"&amp;IFERROR(VLOOKUP(MONTH(B321),KEY!$AE$5:$AF$16,2,FALSE),""))</f>
        <v>2023-Q2</v>
      </c>
      <c r="D321" s="3" t="s">
        <v>152</v>
      </c>
      <c r="E321" s="219">
        <v>47</v>
      </c>
      <c r="F321" s="166">
        <v>193</v>
      </c>
      <c r="G321" s="166">
        <v>193</v>
      </c>
      <c r="H321" s="21">
        <v>489</v>
      </c>
      <c r="I321" s="21">
        <v>63</v>
      </c>
      <c r="J321" s="21">
        <v>80</v>
      </c>
      <c r="K321" s="21">
        <v>15</v>
      </c>
      <c r="L321" s="21">
        <v>329</v>
      </c>
      <c r="M321" s="21">
        <v>133</v>
      </c>
      <c r="N321" s="21">
        <v>191</v>
      </c>
      <c r="O321" s="19">
        <v>286</v>
      </c>
      <c r="P321" s="22">
        <v>51</v>
      </c>
      <c r="Q321" s="22">
        <v>38</v>
      </c>
      <c r="R321" s="20" t="s">
        <v>58</v>
      </c>
      <c r="S321" s="234">
        <f>COUNTIFS(INP_DATA!$R$5:$R$3027,S$4,INP_DATA!$D$5:$D$3027,$D321,INP_DATA!$B$5:$B$3027,$B321)</f>
        <v>1</v>
      </c>
      <c r="T321" s="235">
        <f>COUNTIFS(INP_DATA!$R$5:$R$3027,T$4,INP_DATA!$D$5:$D$3027,$D321,INP_DATA!$B$5:$B$3027,$B321)</f>
        <v>0</v>
      </c>
    </row>
    <row r="322" spans="1:20" x14ac:dyDescent="0.35">
      <c r="A322" s="3" t="s">
        <v>16</v>
      </c>
      <c r="B322" s="165">
        <v>45078</v>
      </c>
      <c r="C322" s="57" t="str">
        <f>IF($B322="","",YEAR($B322)&amp;"-"&amp;IFERROR(VLOOKUP(MONTH(B322),KEY!$AE$5:$AF$16,2,FALSE),""))</f>
        <v>2023-Q2</v>
      </c>
      <c r="D322" s="3" t="s">
        <v>153</v>
      </c>
      <c r="E322" s="219">
        <v>34</v>
      </c>
      <c r="F322" s="166">
        <v>107</v>
      </c>
      <c r="G322" s="166">
        <v>116</v>
      </c>
      <c r="H322" s="21">
        <v>251</v>
      </c>
      <c r="I322" s="21">
        <v>21</v>
      </c>
      <c r="J322" s="21">
        <v>73</v>
      </c>
      <c r="K322" s="21">
        <v>8</v>
      </c>
      <c r="L322" s="21">
        <v>305</v>
      </c>
      <c r="M322" s="21">
        <v>67</v>
      </c>
      <c r="N322" s="21">
        <v>105</v>
      </c>
      <c r="O322" s="19">
        <v>264</v>
      </c>
      <c r="P322" s="22">
        <v>8</v>
      </c>
      <c r="Q322" s="22">
        <v>3</v>
      </c>
      <c r="R322" s="20" t="s">
        <v>194</v>
      </c>
      <c r="S322" s="234">
        <f>COUNTIFS(INP_DATA!$R$5:$R$3027,S$4,INP_DATA!$D$5:$D$3027,$D322,INP_DATA!$B$5:$B$3027,$B322)</f>
        <v>0</v>
      </c>
      <c r="T322" s="235">
        <f>COUNTIFS(INP_DATA!$R$5:$R$3027,T$4,INP_DATA!$D$5:$D$3027,$D322,INP_DATA!$B$5:$B$3027,$B322)</f>
        <v>0</v>
      </c>
    </row>
    <row r="323" spans="1:20" x14ac:dyDescent="0.35">
      <c r="A323" s="3" t="s">
        <v>106</v>
      </c>
      <c r="B323" s="165">
        <v>45078</v>
      </c>
      <c r="C323" s="57" t="str">
        <f>IF($B323="","",YEAR($B323)&amp;"-"&amp;IFERROR(VLOOKUP(MONTH(B323),KEY!$AE$5:$AF$16,2,FALSE),""))</f>
        <v>2023-Q2</v>
      </c>
      <c r="D323" s="3" t="s">
        <v>154</v>
      </c>
      <c r="E323" s="219">
        <v>15</v>
      </c>
      <c r="F323" s="166">
        <v>53</v>
      </c>
      <c r="G323" s="166">
        <v>68</v>
      </c>
      <c r="H323" s="21">
        <v>244</v>
      </c>
      <c r="I323" s="21">
        <v>14</v>
      </c>
      <c r="J323" s="21">
        <v>178</v>
      </c>
      <c r="K323" s="21">
        <v>12</v>
      </c>
      <c r="L323" s="21">
        <v>169</v>
      </c>
      <c r="M323" s="21">
        <v>41</v>
      </c>
      <c r="N323" s="21">
        <v>46</v>
      </c>
      <c r="O323" s="19">
        <v>132</v>
      </c>
      <c r="P323" s="22">
        <v>10</v>
      </c>
      <c r="Q323" s="22">
        <v>7</v>
      </c>
      <c r="R323" s="20" t="s">
        <v>194</v>
      </c>
      <c r="S323" s="234">
        <f>COUNTIFS(INP_DATA!$R$5:$R$3027,S$4,INP_DATA!$D$5:$D$3027,$D323,INP_DATA!$B$5:$B$3027,$B323)</f>
        <v>0</v>
      </c>
      <c r="T323" s="235">
        <f>COUNTIFS(INP_DATA!$R$5:$R$3027,T$4,INP_DATA!$D$5:$D$3027,$D323,INP_DATA!$B$5:$B$3027,$B323)</f>
        <v>0</v>
      </c>
    </row>
    <row r="324" spans="1:20" x14ac:dyDescent="0.35">
      <c r="A324" s="3" t="s">
        <v>109</v>
      </c>
      <c r="B324" s="165">
        <v>45078</v>
      </c>
      <c r="C324" s="57" t="str">
        <f>IF($B324="","",YEAR($B324)&amp;"-"&amp;IFERROR(VLOOKUP(MONTH(B324),KEY!$AE$5:$AF$16,2,FALSE),""))</f>
        <v>2023-Q2</v>
      </c>
      <c r="D324" s="3" t="s">
        <v>155</v>
      </c>
      <c r="E324" s="219">
        <v>57</v>
      </c>
      <c r="F324" s="166">
        <v>338</v>
      </c>
      <c r="G324" s="166">
        <v>207</v>
      </c>
      <c r="H324" s="21">
        <v>1208</v>
      </c>
      <c r="I324" s="21">
        <v>118</v>
      </c>
      <c r="J324" s="21">
        <v>333</v>
      </c>
      <c r="K324" s="21">
        <v>53</v>
      </c>
      <c r="L324" s="21">
        <v>431</v>
      </c>
      <c r="M324" s="21">
        <v>161</v>
      </c>
      <c r="N324" s="21">
        <v>342</v>
      </c>
      <c r="O324" s="19">
        <v>506</v>
      </c>
      <c r="P324" s="22">
        <v>33</v>
      </c>
      <c r="Q324" s="22">
        <v>17</v>
      </c>
      <c r="R324" s="20" t="s">
        <v>51</v>
      </c>
      <c r="S324" s="234">
        <f>COUNTIFS(INP_DATA!$R$5:$R$3027,S$4,INP_DATA!$D$5:$D$3027,$D324,INP_DATA!$B$5:$B$3027,$B324)</f>
        <v>0</v>
      </c>
      <c r="T324" s="235">
        <f>COUNTIFS(INP_DATA!$R$5:$R$3027,T$4,INP_DATA!$D$5:$D$3027,$D324,INP_DATA!$B$5:$B$3027,$B324)</f>
        <v>1</v>
      </c>
    </row>
    <row r="325" spans="1:20" x14ac:dyDescent="0.35">
      <c r="A325" s="3" t="s">
        <v>109</v>
      </c>
      <c r="B325" s="165">
        <v>45078</v>
      </c>
      <c r="C325" s="57" t="str">
        <f>IF($B325="","",YEAR($B325)&amp;"-"&amp;IFERROR(VLOOKUP(MONTH(B325),KEY!$AE$5:$AF$16,2,FALSE),""))</f>
        <v>2023-Q2</v>
      </c>
      <c r="D325" s="3" t="s">
        <v>156</v>
      </c>
      <c r="E325" s="219">
        <v>70</v>
      </c>
      <c r="F325" s="166">
        <v>315</v>
      </c>
      <c r="G325" s="166">
        <v>343</v>
      </c>
      <c r="H325" s="21">
        <v>707</v>
      </c>
      <c r="I325" s="21">
        <v>81</v>
      </c>
      <c r="J325" s="21">
        <v>355</v>
      </c>
      <c r="K325" s="21">
        <v>57</v>
      </c>
      <c r="L325" s="21">
        <v>678</v>
      </c>
      <c r="M325" s="21">
        <v>160</v>
      </c>
      <c r="N325" s="21">
        <v>318</v>
      </c>
      <c r="O325" s="19">
        <v>418</v>
      </c>
      <c r="P325" s="22">
        <v>7</v>
      </c>
      <c r="Q325" s="22">
        <v>2</v>
      </c>
      <c r="R325" s="20" t="s">
        <v>51</v>
      </c>
      <c r="S325" s="234">
        <f>COUNTIFS(INP_DATA!$R$5:$R$3027,S$4,INP_DATA!$D$5:$D$3027,$D325,INP_DATA!$B$5:$B$3027,$B325)</f>
        <v>0</v>
      </c>
      <c r="T325" s="235">
        <f>COUNTIFS(INP_DATA!$R$5:$R$3027,T$4,INP_DATA!$D$5:$D$3027,$D325,INP_DATA!$B$5:$B$3027,$B325)</f>
        <v>1</v>
      </c>
    </row>
    <row r="326" spans="1:20" x14ac:dyDescent="0.35">
      <c r="A326" s="3" t="s">
        <v>109</v>
      </c>
      <c r="B326" s="165">
        <v>45078</v>
      </c>
      <c r="C326" s="57" t="str">
        <f>IF($B326="","",YEAR($B326)&amp;"-"&amp;IFERROR(VLOOKUP(MONTH(B326),KEY!$AE$5:$AF$16,2,FALSE),""))</f>
        <v>2023-Q2</v>
      </c>
      <c r="D326" s="3" t="s">
        <v>157</v>
      </c>
      <c r="E326" s="219">
        <v>2</v>
      </c>
      <c r="F326" s="166">
        <v>231</v>
      </c>
      <c r="G326" s="166">
        <v>210</v>
      </c>
      <c r="H326" s="21">
        <v>847</v>
      </c>
      <c r="I326" s="21">
        <v>51</v>
      </c>
      <c r="J326" s="21">
        <v>604</v>
      </c>
      <c r="K326" s="21">
        <v>42</v>
      </c>
      <c r="L326" s="21">
        <v>392</v>
      </c>
      <c r="M326" s="21">
        <v>103</v>
      </c>
      <c r="N326" s="21">
        <v>231</v>
      </c>
      <c r="O326" s="19">
        <v>286</v>
      </c>
      <c r="P326" s="22">
        <v>9</v>
      </c>
      <c r="Q326" s="22">
        <v>8</v>
      </c>
      <c r="R326" s="20" t="s">
        <v>58</v>
      </c>
      <c r="S326" s="234">
        <f>COUNTIFS(INP_DATA!$R$5:$R$3027,S$4,INP_DATA!$D$5:$D$3027,$D326,INP_DATA!$B$5:$B$3027,$B326)</f>
        <v>1</v>
      </c>
      <c r="T326" s="235">
        <f>COUNTIFS(INP_DATA!$R$5:$R$3027,T$4,INP_DATA!$D$5:$D$3027,$D326,INP_DATA!$B$5:$B$3027,$B326)</f>
        <v>0</v>
      </c>
    </row>
    <row r="327" spans="1:20" x14ac:dyDescent="0.35">
      <c r="A327" s="3" t="s">
        <v>16</v>
      </c>
      <c r="B327" s="165">
        <v>45078</v>
      </c>
      <c r="C327" s="57" t="str">
        <f>IF($B327="","",YEAR($B327)&amp;"-"&amp;IFERROR(VLOOKUP(MONTH(B327),KEY!$AE$5:$AF$16,2,FALSE),""))</f>
        <v>2023-Q2</v>
      </c>
      <c r="D327" s="3" t="s">
        <v>158</v>
      </c>
      <c r="E327" s="219">
        <v>5</v>
      </c>
      <c r="F327" s="166">
        <v>24</v>
      </c>
      <c r="G327" s="166">
        <v>32</v>
      </c>
      <c r="H327" s="21">
        <v>61</v>
      </c>
      <c r="I327" s="21">
        <v>3</v>
      </c>
      <c r="J327" s="21">
        <v>29</v>
      </c>
      <c r="K327" s="21">
        <v>3</v>
      </c>
      <c r="L327" s="21">
        <v>72</v>
      </c>
      <c r="M327" s="21">
        <v>14</v>
      </c>
      <c r="N327" s="21">
        <v>25</v>
      </c>
      <c r="O327" s="19">
        <v>110</v>
      </c>
      <c r="P327" s="22" t="s">
        <v>194</v>
      </c>
      <c r="Q327" s="22" t="s">
        <v>194</v>
      </c>
      <c r="R327" s="20" t="s">
        <v>194</v>
      </c>
      <c r="S327" s="234">
        <f>COUNTIFS(INP_DATA!$R$5:$R$3027,S$4,INP_DATA!$D$5:$D$3027,$D327,INP_DATA!$B$5:$B$3027,$B327)</f>
        <v>0</v>
      </c>
      <c r="T327" s="235">
        <f>COUNTIFS(INP_DATA!$R$5:$R$3027,T$4,INP_DATA!$D$5:$D$3027,$D327,INP_DATA!$B$5:$B$3027,$B327)</f>
        <v>0</v>
      </c>
    </row>
    <row r="328" spans="1:20" x14ac:dyDescent="0.35">
      <c r="A328" s="3" t="s">
        <v>107</v>
      </c>
      <c r="B328" s="165">
        <v>45078</v>
      </c>
      <c r="C328" s="57" t="str">
        <f>IF($B328="","",YEAR($B328)&amp;"-"&amp;IFERROR(VLOOKUP(MONTH(B328),KEY!$AE$5:$AF$16,2,FALSE),""))</f>
        <v>2023-Q2</v>
      </c>
      <c r="D328" s="3" t="s">
        <v>159</v>
      </c>
      <c r="E328" s="219">
        <v>19</v>
      </c>
      <c r="F328" s="166">
        <v>95</v>
      </c>
      <c r="G328" s="166">
        <v>101</v>
      </c>
      <c r="H328" s="21">
        <v>150</v>
      </c>
      <c r="I328" s="21">
        <v>24</v>
      </c>
      <c r="J328" s="21">
        <v>84</v>
      </c>
      <c r="K328" s="21">
        <v>17</v>
      </c>
      <c r="L328" s="21">
        <v>195</v>
      </c>
      <c r="M328" s="21">
        <v>79</v>
      </c>
      <c r="N328" s="21">
        <v>95</v>
      </c>
      <c r="O328" s="19">
        <v>198</v>
      </c>
      <c r="P328" s="22">
        <v>27</v>
      </c>
      <c r="Q328" s="22">
        <v>20</v>
      </c>
      <c r="R328" s="20" t="s">
        <v>194</v>
      </c>
      <c r="S328" s="234">
        <f>COUNTIFS(INP_DATA!$R$5:$R$3027,S$4,INP_DATA!$D$5:$D$3027,$D328,INP_DATA!$B$5:$B$3027,$B328)</f>
        <v>0</v>
      </c>
      <c r="T328" s="235">
        <f>COUNTIFS(INP_DATA!$R$5:$R$3027,T$4,INP_DATA!$D$5:$D$3027,$D328,INP_DATA!$B$5:$B$3027,$B328)</f>
        <v>0</v>
      </c>
    </row>
    <row r="329" spans="1:20" x14ac:dyDescent="0.35">
      <c r="A329" s="3" t="s">
        <v>16</v>
      </c>
      <c r="B329" s="165">
        <v>45078</v>
      </c>
      <c r="C329" s="57" t="str">
        <f>IF($B329="","",YEAR($B329)&amp;"-"&amp;IFERROR(VLOOKUP(MONTH(B329),KEY!$AE$5:$AF$16,2,FALSE),""))</f>
        <v>2023-Q2</v>
      </c>
      <c r="D329" s="3" t="s">
        <v>160</v>
      </c>
      <c r="E329" s="219">
        <v>110</v>
      </c>
      <c r="F329" s="166">
        <v>380</v>
      </c>
      <c r="G329" s="166">
        <v>279</v>
      </c>
      <c r="H329" s="21">
        <v>784</v>
      </c>
      <c r="I329" s="21">
        <v>121</v>
      </c>
      <c r="J329" s="21">
        <v>319</v>
      </c>
      <c r="K329" s="21">
        <v>53</v>
      </c>
      <c r="L329" s="21">
        <v>514</v>
      </c>
      <c r="M329" s="21">
        <v>207</v>
      </c>
      <c r="N329" s="21">
        <v>385</v>
      </c>
      <c r="O329" s="19">
        <v>506</v>
      </c>
      <c r="P329" s="22">
        <v>51</v>
      </c>
      <c r="Q329" s="22">
        <v>34</v>
      </c>
      <c r="R329" s="20" t="s">
        <v>51</v>
      </c>
      <c r="S329" s="234">
        <f>COUNTIFS(INP_DATA!$R$5:$R$3027,S$4,INP_DATA!$D$5:$D$3027,$D329,INP_DATA!$B$5:$B$3027,$B329)</f>
        <v>0</v>
      </c>
      <c r="T329" s="235">
        <f>COUNTIFS(INP_DATA!$R$5:$R$3027,T$4,INP_DATA!$D$5:$D$3027,$D329,INP_DATA!$B$5:$B$3027,$B329)</f>
        <v>1</v>
      </c>
    </row>
    <row r="330" spans="1:20" x14ac:dyDescent="0.35">
      <c r="A330" s="3" t="s">
        <v>106</v>
      </c>
      <c r="B330" s="165">
        <v>45078</v>
      </c>
      <c r="C330" s="57" t="str">
        <f>IF($B330="","",YEAR($B330)&amp;"-"&amp;IFERROR(VLOOKUP(MONTH(B330),KEY!$AE$5:$AF$16,2,FALSE),""))</f>
        <v>2023-Q2</v>
      </c>
      <c r="D330" s="3" t="s">
        <v>161</v>
      </c>
      <c r="E330" s="219">
        <v>17</v>
      </c>
      <c r="F330" s="166">
        <v>274</v>
      </c>
      <c r="G330" s="166">
        <v>240</v>
      </c>
      <c r="H330" s="21">
        <v>563</v>
      </c>
      <c r="I330" s="21">
        <v>95</v>
      </c>
      <c r="J330" s="21">
        <v>230</v>
      </c>
      <c r="K330" s="21">
        <v>38</v>
      </c>
      <c r="L330" s="21">
        <v>440</v>
      </c>
      <c r="M330" s="21">
        <v>123</v>
      </c>
      <c r="N330" s="21">
        <v>281</v>
      </c>
      <c r="O330" s="19">
        <v>418</v>
      </c>
      <c r="P330" s="22">
        <v>14</v>
      </c>
      <c r="Q330" s="22">
        <v>11</v>
      </c>
      <c r="R330" s="20" t="s">
        <v>58</v>
      </c>
      <c r="S330" s="234">
        <f>COUNTIFS(INP_DATA!$R$5:$R$3027,S$4,INP_DATA!$D$5:$D$3027,$D330,INP_DATA!$B$5:$B$3027,$B330)</f>
        <v>1</v>
      </c>
      <c r="T330" s="235">
        <f>COUNTIFS(INP_DATA!$R$5:$R$3027,T$4,INP_DATA!$D$5:$D$3027,$D330,INP_DATA!$B$5:$B$3027,$B330)</f>
        <v>0</v>
      </c>
    </row>
    <row r="331" spans="1:20" x14ac:dyDescent="0.35">
      <c r="A331" s="3" t="s">
        <v>109</v>
      </c>
      <c r="B331" s="165">
        <v>45078</v>
      </c>
      <c r="C331" s="57" t="str">
        <f>IF($B331="","",YEAR($B331)&amp;"-"&amp;IFERROR(VLOOKUP(MONTH(B331),KEY!$AE$5:$AF$16,2,FALSE),""))</f>
        <v>2023-Q2</v>
      </c>
      <c r="D331" s="3" t="s">
        <v>162</v>
      </c>
      <c r="E331" s="219">
        <v>111</v>
      </c>
      <c r="F331" s="166">
        <v>487</v>
      </c>
      <c r="G331" s="166">
        <v>413</v>
      </c>
      <c r="H331" s="21">
        <v>609</v>
      </c>
      <c r="I331" s="21">
        <v>102</v>
      </c>
      <c r="J331" s="21">
        <v>356</v>
      </c>
      <c r="K331" s="21">
        <v>76</v>
      </c>
      <c r="L331" s="21">
        <v>624</v>
      </c>
      <c r="M331" s="21">
        <v>185</v>
      </c>
      <c r="N331" s="21">
        <v>494</v>
      </c>
      <c r="O331" s="19">
        <v>660</v>
      </c>
      <c r="P331" s="22">
        <v>16</v>
      </c>
      <c r="Q331" s="22">
        <v>15</v>
      </c>
      <c r="R331" s="20" t="s">
        <v>58</v>
      </c>
      <c r="S331" s="234">
        <f>COUNTIFS(INP_DATA!$R$5:$R$3027,S$4,INP_DATA!$D$5:$D$3027,$D331,INP_DATA!$B$5:$B$3027,$B331)</f>
        <v>1</v>
      </c>
      <c r="T331" s="235">
        <f>COUNTIFS(INP_DATA!$R$5:$R$3027,T$4,INP_DATA!$D$5:$D$3027,$D331,INP_DATA!$B$5:$B$3027,$B331)</f>
        <v>0</v>
      </c>
    </row>
    <row r="332" spans="1:20" x14ac:dyDescent="0.35">
      <c r="A332" s="3" t="s">
        <v>16</v>
      </c>
      <c r="B332" s="165">
        <v>45078</v>
      </c>
      <c r="C332" s="57" t="str">
        <f>IF($B332="","",YEAR($B332)&amp;"-"&amp;IFERROR(VLOOKUP(MONTH(B332),KEY!$AE$5:$AF$16,2,FALSE),""))</f>
        <v>2023-Q2</v>
      </c>
      <c r="D332" s="3" t="s">
        <v>163</v>
      </c>
      <c r="E332" s="219">
        <v>66</v>
      </c>
      <c r="F332" s="166">
        <v>246</v>
      </c>
      <c r="G332" s="166">
        <v>216</v>
      </c>
      <c r="H332" s="21">
        <v>296</v>
      </c>
      <c r="I332" s="21">
        <v>59</v>
      </c>
      <c r="J332" s="21">
        <v>187</v>
      </c>
      <c r="K332" s="21">
        <v>62</v>
      </c>
      <c r="L332" s="21">
        <v>385</v>
      </c>
      <c r="M332" s="21">
        <v>147</v>
      </c>
      <c r="N332" s="21">
        <v>248</v>
      </c>
      <c r="O332" s="19">
        <v>374</v>
      </c>
      <c r="P332" s="22">
        <v>4</v>
      </c>
      <c r="Q332" s="22">
        <v>0</v>
      </c>
      <c r="R332" s="20" t="s">
        <v>51</v>
      </c>
      <c r="S332" s="234">
        <f>COUNTIFS(INP_DATA!$R$5:$R$3027,S$4,INP_DATA!$D$5:$D$3027,$D332,INP_DATA!$B$5:$B$3027,$B332)</f>
        <v>0</v>
      </c>
      <c r="T332" s="235">
        <f>COUNTIFS(INP_DATA!$R$5:$R$3027,T$4,INP_DATA!$D$5:$D$3027,$D332,INP_DATA!$B$5:$B$3027,$B332)</f>
        <v>1</v>
      </c>
    </row>
    <row r="333" spans="1:20" x14ac:dyDescent="0.35">
      <c r="A333" s="3" t="s">
        <v>16</v>
      </c>
      <c r="B333" s="165">
        <v>45078</v>
      </c>
      <c r="C333" s="57" t="str">
        <f>IF($B333="","",YEAR($B333)&amp;"-"&amp;IFERROR(VLOOKUP(MONTH(B333),KEY!$AE$5:$AF$16,2,FALSE),""))</f>
        <v>2023-Q2</v>
      </c>
      <c r="D333" s="3" t="s">
        <v>164</v>
      </c>
      <c r="E333" s="219">
        <v>7</v>
      </c>
      <c r="F333" s="166">
        <v>76</v>
      </c>
      <c r="G333" s="166">
        <v>73</v>
      </c>
      <c r="H333" s="21">
        <v>230</v>
      </c>
      <c r="I333" s="21">
        <v>28</v>
      </c>
      <c r="J333" s="21">
        <v>136</v>
      </c>
      <c r="K333" s="21">
        <v>10</v>
      </c>
      <c r="L333" s="21">
        <v>120</v>
      </c>
      <c r="M333" s="21">
        <v>51</v>
      </c>
      <c r="N333" s="21">
        <v>79</v>
      </c>
      <c r="O333" s="19">
        <v>176</v>
      </c>
      <c r="P333" s="22">
        <v>17</v>
      </c>
      <c r="Q333" s="22">
        <v>10</v>
      </c>
      <c r="R333" s="20" t="s">
        <v>58</v>
      </c>
      <c r="S333" s="234">
        <f>COUNTIFS(INP_DATA!$R$5:$R$3027,S$4,INP_DATA!$D$5:$D$3027,$D333,INP_DATA!$B$5:$B$3027,$B333)</f>
        <v>1</v>
      </c>
      <c r="T333" s="235">
        <f>COUNTIFS(INP_DATA!$R$5:$R$3027,T$4,INP_DATA!$D$5:$D$3027,$D333,INP_DATA!$B$5:$B$3027,$B333)</f>
        <v>0</v>
      </c>
    </row>
    <row r="334" spans="1:20" x14ac:dyDescent="0.35">
      <c r="A334" s="3" t="s">
        <v>107</v>
      </c>
      <c r="B334" s="165">
        <v>45078</v>
      </c>
      <c r="C334" s="57" t="str">
        <f>IF($B334="","",YEAR($B334)&amp;"-"&amp;IFERROR(VLOOKUP(MONTH(B334),KEY!$AE$5:$AF$16,2,FALSE),""))</f>
        <v>2023-Q2</v>
      </c>
      <c r="D334" s="3" t="s">
        <v>165</v>
      </c>
      <c r="E334" s="219">
        <v>20</v>
      </c>
      <c r="F334" s="166">
        <v>85</v>
      </c>
      <c r="G334" s="166">
        <v>102</v>
      </c>
      <c r="H334" s="21">
        <v>258</v>
      </c>
      <c r="I334" s="21">
        <v>29</v>
      </c>
      <c r="J334" s="21">
        <v>78</v>
      </c>
      <c r="K334" s="21">
        <v>18</v>
      </c>
      <c r="L334" s="21">
        <v>123</v>
      </c>
      <c r="M334" s="21">
        <v>52</v>
      </c>
      <c r="N334" s="21">
        <v>86</v>
      </c>
      <c r="O334" s="19">
        <v>154</v>
      </c>
      <c r="P334" s="22">
        <v>16</v>
      </c>
      <c r="Q334" s="22">
        <v>10</v>
      </c>
      <c r="R334" s="20" t="s">
        <v>51</v>
      </c>
      <c r="S334" s="234">
        <f>COUNTIFS(INP_DATA!$R$5:$R$3027,S$4,INP_DATA!$D$5:$D$3027,$D334,INP_DATA!$B$5:$B$3027,$B334)</f>
        <v>0</v>
      </c>
      <c r="T334" s="235">
        <f>COUNTIFS(INP_DATA!$R$5:$R$3027,T$4,INP_DATA!$D$5:$D$3027,$D334,INP_DATA!$B$5:$B$3027,$B334)</f>
        <v>1</v>
      </c>
    </row>
    <row r="335" spans="1:20" x14ac:dyDescent="0.35">
      <c r="A335" s="3" t="s">
        <v>16</v>
      </c>
      <c r="B335" s="165">
        <v>45108</v>
      </c>
      <c r="C335" s="57" t="str">
        <f>IF($B335="","",YEAR($B335)&amp;"-"&amp;IFERROR(VLOOKUP(MONTH(B335),KEY!$AE$5:$AF$16,2,FALSE),""))</f>
        <v>2023-Q3</v>
      </c>
      <c r="D335" s="3" t="s">
        <v>111</v>
      </c>
      <c r="E335" s="219">
        <v>14</v>
      </c>
      <c r="F335" s="166">
        <v>67</v>
      </c>
      <c r="G335" s="166">
        <v>56</v>
      </c>
      <c r="H335" s="21">
        <v>139</v>
      </c>
      <c r="I335" s="21">
        <v>20</v>
      </c>
      <c r="J335" s="21">
        <v>69</v>
      </c>
      <c r="K335" s="21">
        <v>16</v>
      </c>
      <c r="L335" s="21">
        <v>142</v>
      </c>
      <c r="M335" s="21">
        <v>43</v>
      </c>
      <c r="N335" s="21">
        <v>68</v>
      </c>
      <c r="O335" s="19">
        <v>161</v>
      </c>
      <c r="P335" s="22">
        <v>13</v>
      </c>
      <c r="Q335" s="22">
        <v>8</v>
      </c>
      <c r="R335" s="20" t="s">
        <v>58</v>
      </c>
      <c r="S335" s="234">
        <f>COUNTIFS(INP_DATA!$R$5:$R$3027,S$4,INP_DATA!$D$5:$D$3027,$D335,INP_DATA!$B$5:$B$3027,$B335)</f>
        <v>1</v>
      </c>
      <c r="T335" s="235">
        <f>COUNTIFS(INP_DATA!$R$5:$R$3027,T$4,INP_DATA!$D$5:$D$3027,$D335,INP_DATA!$B$5:$B$3027,$B335)</f>
        <v>0</v>
      </c>
    </row>
    <row r="336" spans="1:20" x14ac:dyDescent="0.35">
      <c r="A336" s="3" t="s">
        <v>108</v>
      </c>
      <c r="B336" s="165">
        <v>45108</v>
      </c>
      <c r="C336" s="57" t="str">
        <f>IF($B336="","",YEAR($B336)&amp;"-"&amp;IFERROR(VLOOKUP(MONTH(B336),KEY!$AE$5:$AF$16,2,FALSE),""))</f>
        <v>2023-Q3</v>
      </c>
      <c r="D336" s="3" t="s">
        <v>112</v>
      </c>
      <c r="E336" s="219">
        <v>5</v>
      </c>
      <c r="F336" s="166">
        <v>34</v>
      </c>
      <c r="G336" s="166">
        <v>38</v>
      </c>
      <c r="H336" s="21">
        <v>60</v>
      </c>
      <c r="I336" s="21">
        <v>6</v>
      </c>
      <c r="J336" s="21">
        <v>24</v>
      </c>
      <c r="K336" s="21">
        <v>7</v>
      </c>
      <c r="L336" s="21">
        <v>80</v>
      </c>
      <c r="M336" s="21">
        <v>18</v>
      </c>
      <c r="N336" s="21">
        <v>34</v>
      </c>
      <c r="O336" s="19">
        <v>92</v>
      </c>
      <c r="P336" s="22">
        <v>11</v>
      </c>
      <c r="Q336" s="22">
        <v>8</v>
      </c>
      <c r="R336" s="20" t="s">
        <v>51</v>
      </c>
      <c r="S336" s="234">
        <f>COUNTIFS(INP_DATA!$R$5:$R$3027,S$4,INP_DATA!$D$5:$D$3027,$D336,INP_DATA!$B$5:$B$3027,$B336)</f>
        <v>0</v>
      </c>
      <c r="T336" s="235">
        <f>COUNTIFS(INP_DATA!$R$5:$R$3027,T$4,INP_DATA!$D$5:$D$3027,$D336,INP_DATA!$B$5:$B$3027,$B336)</f>
        <v>1</v>
      </c>
    </row>
    <row r="337" spans="1:20" x14ac:dyDescent="0.35">
      <c r="A337" s="3" t="s">
        <v>16</v>
      </c>
      <c r="B337" s="165">
        <v>45108</v>
      </c>
      <c r="C337" s="57" t="str">
        <f>IF($B337="","",YEAR($B337)&amp;"-"&amp;IFERROR(VLOOKUP(MONTH(B337),KEY!$AE$5:$AF$16,2,FALSE),""))</f>
        <v>2023-Q3</v>
      </c>
      <c r="D337" s="3" t="s">
        <v>113</v>
      </c>
      <c r="E337" s="219">
        <v>11</v>
      </c>
      <c r="F337" s="166">
        <v>67</v>
      </c>
      <c r="G337" s="166">
        <v>78</v>
      </c>
      <c r="H337" s="21">
        <v>240</v>
      </c>
      <c r="I337" s="21">
        <v>26</v>
      </c>
      <c r="J337" s="21">
        <v>73</v>
      </c>
      <c r="K337" s="21">
        <v>16</v>
      </c>
      <c r="L337" s="21">
        <v>105</v>
      </c>
      <c r="M337" s="21">
        <v>43</v>
      </c>
      <c r="N337" s="21">
        <v>68</v>
      </c>
      <c r="O337" s="19">
        <v>184</v>
      </c>
      <c r="P337" s="22">
        <v>10</v>
      </c>
      <c r="Q337" s="22">
        <v>7</v>
      </c>
      <c r="R337" s="20" t="s">
        <v>58</v>
      </c>
      <c r="S337" s="234">
        <f>COUNTIFS(INP_DATA!$R$5:$R$3027,S$4,INP_DATA!$D$5:$D$3027,$D337,INP_DATA!$B$5:$B$3027,$B337)</f>
        <v>1</v>
      </c>
      <c r="T337" s="235">
        <f>COUNTIFS(INP_DATA!$R$5:$R$3027,T$4,INP_DATA!$D$5:$D$3027,$D337,INP_DATA!$B$5:$B$3027,$B337)</f>
        <v>0</v>
      </c>
    </row>
    <row r="338" spans="1:20" x14ac:dyDescent="0.35">
      <c r="A338" s="3" t="s">
        <v>108</v>
      </c>
      <c r="B338" s="165">
        <v>45108</v>
      </c>
      <c r="C338" s="57" t="str">
        <f>IF($B338="","",YEAR($B338)&amp;"-"&amp;IFERROR(VLOOKUP(MONTH(B338),KEY!$AE$5:$AF$16,2,FALSE),""))</f>
        <v>2023-Q3</v>
      </c>
      <c r="D338" s="3" t="s">
        <v>114</v>
      </c>
      <c r="E338" s="219">
        <v>15</v>
      </c>
      <c r="F338" s="166">
        <v>63</v>
      </c>
      <c r="G338" s="166">
        <v>71</v>
      </c>
      <c r="H338" s="21">
        <v>122</v>
      </c>
      <c r="I338" s="21">
        <v>20</v>
      </c>
      <c r="J338" s="21">
        <v>67</v>
      </c>
      <c r="K338" s="21">
        <v>17</v>
      </c>
      <c r="L338" s="21">
        <v>124</v>
      </c>
      <c r="M338" s="21">
        <v>43</v>
      </c>
      <c r="N338" s="21">
        <v>64</v>
      </c>
      <c r="O338" s="19">
        <v>161</v>
      </c>
      <c r="P338" s="22">
        <v>8</v>
      </c>
      <c r="Q338" s="22">
        <v>6</v>
      </c>
      <c r="R338" s="20" t="s">
        <v>51</v>
      </c>
      <c r="S338" s="234">
        <f>COUNTIFS(INP_DATA!$R$5:$R$3027,S$4,INP_DATA!$D$5:$D$3027,$D338,INP_DATA!$B$5:$B$3027,$B338)</f>
        <v>0</v>
      </c>
      <c r="T338" s="235">
        <f>COUNTIFS(INP_DATA!$R$5:$R$3027,T$4,INP_DATA!$D$5:$D$3027,$D338,INP_DATA!$B$5:$B$3027,$B338)</f>
        <v>1</v>
      </c>
    </row>
    <row r="339" spans="1:20" x14ac:dyDescent="0.35">
      <c r="A339" s="3" t="s">
        <v>107</v>
      </c>
      <c r="B339" s="165">
        <v>45108</v>
      </c>
      <c r="C339" s="57" t="str">
        <f>IF($B339="","",YEAR($B339)&amp;"-"&amp;IFERROR(VLOOKUP(MONTH(B339),KEY!$AE$5:$AF$16,2,FALSE),""))</f>
        <v>2023-Q3</v>
      </c>
      <c r="D339" s="3" t="s">
        <v>115</v>
      </c>
      <c r="E339" s="219">
        <v>4</v>
      </c>
      <c r="F339" s="166">
        <v>50</v>
      </c>
      <c r="G339" s="166">
        <v>86</v>
      </c>
      <c r="H339" s="21">
        <v>140</v>
      </c>
      <c r="I339" s="21">
        <v>20</v>
      </c>
      <c r="J339" s="21">
        <v>50</v>
      </c>
      <c r="K339" s="21">
        <v>14</v>
      </c>
      <c r="L339" s="21">
        <v>76</v>
      </c>
      <c r="M339" s="21">
        <v>35</v>
      </c>
      <c r="N339" s="21">
        <v>52</v>
      </c>
      <c r="O339" s="19">
        <v>69</v>
      </c>
      <c r="P339" s="22" t="s">
        <v>194</v>
      </c>
      <c r="Q339" s="22" t="s">
        <v>194</v>
      </c>
      <c r="R339" s="20" t="s">
        <v>194</v>
      </c>
      <c r="S339" s="234">
        <f>COUNTIFS(INP_DATA!$R$5:$R$3027,S$4,INP_DATA!$D$5:$D$3027,$D339,INP_DATA!$B$5:$B$3027,$B339)</f>
        <v>0</v>
      </c>
      <c r="T339" s="235">
        <f>COUNTIFS(INP_DATA!$R$5:$R$3027,T$4,INP_DATA!$D$5:$D$3027,$D339,INP_DATA!$B$5:$B$3027,$B339)</f>
        <v>0</v>
      </c>
    </row>
    <row r="340" spans="1:20" x14ac:dyDescent="0.35">
      <c r="A340" s="3" t="s">
        <v>16</v>
      </c>
      <c r="B340" s="165">
        <v>45108</v>
      </c>
      <c r="C340" s="57" t="str">
        <f>IF($B340="","",YEAR($B340)&amp;"-"&amp;IFERROR(VLOOKUP(MONTH(B340),KEY!$AE$5:$AF$16,2,FALSE),""))</f>
        <v>2023-Q3</v>
      </c>
      <c r="D340" s="3" t="s">
        <v>116</v>
      </c>
      <c r="E340" s="219">
        <v>23</v>
      </c>
      <c r="F340" s="166">
        <v>163</v>
      </c>
      <c r="G340" s="166">
        <v>139</v>
      </c>
      <c r="H340" s="21">
        <v>213</v>
      </c>
      <c r="I340" s="21">
        <v>36</v>
      </c>
      <c r="J340" s="21">
        <v>109</v>
      </c>
      <c r="K340" s="21">
        <v>22</v>
      </c>
      <c r="L340" s="21">
        <v>214</v>
      </c>
      <c r="M340" s="21">
        <v>93</v>
      </c>
      <c r="N340" s="21">
        <v>168</v>
      </c>
      <c r="O340" s="19">
        <v>299</v>
      </c>
      <c r="P340" s="22">
        <v>13</v>
      </c>
      <c r="Q340" s="22">
        <v>4</v>
      </c>
      <c r="R340" s="20" t="s">
        <v>58</v>
      </c>
      <c r="S340" s="234">
        <f>COUNTIFS(INP_DATA!$R$5:$R$3027,S$4,INP_DATA!$D$5:$D$3027,$D340,INP_DATA!$B$5:$B$3027,$B340)</f>
        <v>1</v>
      </c>
      <c r="T340" s="235">
        <f>COUNTIFS(INP_DATA!$R$5:$R$3027,T$4,INP_DATA!$D$5:$D$3027,$D340,INP_DATA!$B$5:$B$3027,$B340)</f>
        <v>0</v>
      </c>
    </row>
    <row r="341" spans="1:20" x14ac:dyDescent="0.35">
      <c r="A341" s="3" t="s">
        <v>107</v>
      </c>
      <c r="B341" s="165">
        <v>45108</v>
      </c>
      <c r="C341" s="57" t="str">
        <f>IF($B341="","",YEAR($B341)&amp;"-"&amp;IFERROR(VLOOKUP(MONTH(B341),KEY!$AE$5:$AF$16,2,FALSE),""))</f>
        <v>2023-Q3</v>
      </c>
      <c r="D341" s="3" t="s">
        <v>117</v>
      </c>
      <c r="E341" s="219">
        <v>14</v>
      </c>
      <c r="F341" s="166">
        <v>154</v>
      </c>
      <c r="G341" s="166">
        <v>170</v>
      </c>
      <c r="H341" s="21">
        <v>202</v>
      </c>
      <c r="I341" s="21">
        <v>36</v>
      </c>
      <c r="J341" s="21">
        <v>105</v>
      </c>
      <c r="K341" s="21">
        <v>38</v>
      </c>
      <c r="L341" s="21">
        <v>248</v>
      </c>
      <c r="M341" s="21">
        <v>100</v>
      </c>
      <c r="N341" s="21">
        <v>155</v>
      </c>
      <c r="O341" s="19">
        <v>253</v>
      </c>
      <c r="P341" s="22">
        <v>55</v>
      </c>
      <c r="Q341" s="22">
        <v>33</v>
      </c>
      <c r="R341" s="20" t="s">
        <v>58</v>
      </c>
      <c r="S341" s="234">
        <f>COUNTIFS(INP_DATA!$R$5:$R$3027,S$4,INP_DATA!$D$5:$D$3027,$D341,INP_DATA!$B$5:$B$3027,$B341)</f>
        <v>1</v>
      </c>
      <c r="T341" s="235">
        <f>COUNTIFS(INP_DATA!$R$5:$R$3027,T$4,INP_DATA!$D$5:$D$3027,$D341,INP_DATA!$B$5:$B$3027,$B341)</f>
        <v>0</v>
      </c>
    </row>
    <row r="342" spans="1:20" x14ac:dyDescent="0.35">
      <c r="A342" s="3" t="s">
        <v>106</v>
      </c>
      <c r="B342" s="165">
        <v>45108</v>
      </c>
      <c r="C342" s="57" t="str">
        <f>IF($B342="","",YEAR($B342)&amp;"-"&amp;IFERROR(VLOOKUP(MONTH(B342),KEY!$AE$5:$AF$16,2,FALSE),""))</f>
        <v>2023-Q3</v>
      </c>
      <c r="D342" s="3" t="s">
        <v>118</v>
      </c>
      <c r="E342" s="219">
        <v>40</v>
      </c>
      <c r="F342" s="166">
        <v>238</v>
      </c>
      <c r="G342" s="166">
        <v>241</v>
      </c>
      <c r="H342" s="21">
        <v>554</v>
      </c>
      <c r="I342" s="21">
        <v>68</v>
      </c>
      <c r="J342" s="21">
        <v>282</v>
      </c>
      <c r="K342" s="21">
        <v>45</v>
      </c>
      <c r="L342" s="21">
        <v>334</v>
      </c>
      <c r="M342" s="21">
        <v>88</v>
      </c>
      <c r="N342" s="21">
        <v>241</v>
      </c>
      <c r="O342" s="19">
        <v>299</v>
      </c>
      <c r="P342" s="22">
        <v>58</v>
      </c>
      <c r="Q342" s="22">
        <v>39</v>
      </c>
      <c r="R342" s="20" t="s">
        <v>51</v>
      </c>
      <c r="S342" s="234">
        <f>COUNTIFS(INP_DATA!$R$5:$R$3027,S$4,INP_DATA!$D$5:$D$3027,$D342,INP_DATA!$B$5:$B$3027,$B342)</f>
        <v>0</v>
      </c>
      <c r="T342" s="235">
        <f>COUNTIFS(INP_DATA!$R$5:$R$3027,T$4,INP_DATA!$D$5:$D$3027,$D342,INP_DATA!$B$5:$B$3027,$B342)</f>
        <v>1</v>
      </c>
    </row>
    <row r="343" spans="1:20" x14ac:dyDescent="0.35">
      <c r="A343" s="3" t="s">
        <v>16</v>
      </c>
      <c r="B343" s="165">
        <v>45108</v>
      </c>
      <c r="C343" s="57" t="str">
        <f>IF($B343="","",YEAR($B343)&amp;"-"&amp;IFERROR(VLOOKUP(MONTH(B343),KEY!$AE$5:$AF$16,2,FALSE),""))</f>
        <v>2023-Q3</v>
      </c>
      <c r="D343" s="3" t="s">
        <v>119</v>
      </c>
      <c r="E343" s="219">
        <v>5</v>
      </c>
      <c r="F343" s="166">
        <v>21</v>
      </c>
      <c r="G343" s="166">
        <v>25</v>
      </c>
      <c r="H343" s="21">
        <v>11</v>
      </c>
      <c r="I343" s="21">
        <v>3</v>
      </c>
      <c r="J343" s="21">
        <v>28</v>
      </c>
      <c r="K343" s="21">
        <v>11</v>
      </c>
      <c r="L343" s="21">
        <v>46</v>
      </c>
      <c r="M343" s="21">
        <v>11</v>
      </c>
      <c r="N343" s="21">
        <v>21</v>
      </c>
      <c r="O343" s="19">
        <v>92</v>
      </c>
      <c r="P343" s="22">
        <v>1</v>
      </c>
      <c r="Q343" s="22">
        <v>1</v>
      </c>
      <c r="R343" s="20" t="s">
        <v>194</v>
      </c>
      <c r="S343" s="234">
        <f>COUNTIFS(INP_DATA!$R$5:$R$3027,S$4,INP_DATA!$D$5:$D$3027,$D343,INP_DATA!$B$5:$B$3027,$B343)</f>
        <v>0</v>
      </c>
      <c r="T343" s="235">
        <f>COUNTIFS(INP_DATA!$R$5:$R$3027,T$4,INP_DATA!$D$5:$D$3027,$D343,INP_DATA!$B$5:$B$3027,$B343)</f>
        <v>0</v>
      </c>
    </row>
    <row r="344" spans="1:20" x14ac:dyDescent="0.35">
      <c r="A344" s="3" t="s">
        <v>16</v>
      </c>
      <c r="B344" s="165">
        <v>45108</v>
      </c>
      <c r="C344" s="57" t="str">
        <f>IF($B344="","",YEAR($B344)&amp;"-"&amp;IFERROR(VLOOKUP(MONTH(B344),KEY!$AE$5:$AF$16,2,FALSE),""))</f>
        <v>2023-Q3</v>
      </c>
      <c r="D344" s="3" t="s">
        <v>120</v>
      </c>
      <c r="E344" s="219">
        <v>46</v>
      </c>
      <c r="F344" s="166">
        <v>344</v>
      </c>
      <c r="G344" s="166">
        <v>345</v>
      </c>
      <c r="H344" s="21">
        <v>755</v>
      </c>
      <c r="I344" s="21">
        <v>97</v>
      </c>
      <c r="J344" s="21">
        <v>278</v>
      </c>
      <c r="K344" s="21">
        <v>61</v>
      </c>
      <c r="L344" s="21">
        <v>475</v>
      </c>
      <c r="M344" s="21">
        <v>189</v>
      </c>
      <c r="N344" s="21">
        <v>347</v>
      </c>
      <c r="O344" s="19">
        <v>621</v>
      </c>
      <c r="P344" s="22">
        <v>46</v>
      </c>
      <c r="Q344" s="22">
        <v>28</v>
      </c>
      <c r="R344" s="20" t="s">
        <v>58</v>
      </c>
      <c r="S344" s="234">
        <f>COUNTIFS(INP_DATA!$R$5:$R$3027,S$4,INP_DATA!$D$5:$D$3027,$D344,INP_DATA!$B$5:$B$3027,$B344)</f>
        <v>1</v>
      </c>
      <c r="T344" s="235">
        <f>COUNTIFS(INP_DATA!$R$5:$R$3027,T$4,INP_DATA!$D$5:$D$3027,$D344,INP_DATA!$B$5:$B$3027,$B344)</f>
        <v>0</v>
      </c>
    </row>
    <row r="345" spans="1:20" x14ac:dyDescent="0.35">
      <c r="A345" s="3" t="s">
        <v>109</v>
      </c>
      <c r="B345" s="165">
        <v>45108</v>
      </c>
      <c r="C345" s="57" t="str">
        <f>IF($B345="","",YEAR($B345)&amp;"-"&amp;IFERROR(VLOOKUP(MONTH(B345),KEY!$AE$5:$AF$16,2,FALSE),""))</f>
        <v>2023-Q3</v>
      </c>
      <c r="D345" s="3" t="s">
        <v>121</v>
      </c>
      <c r="E345" s="219">
        <v>69</v>
      </c>
      <c r="F345" s="166">
        <v>228</v>
      </c>
      <c r="G345" s="166">
        <v>256</v>
      </c>
      <c r="H345" s="21">
        <v>655</v>
      </c>
      <c r="I345" s="21">
        <v>65</v>
      </c>
      <c r="J345" s="21">
        <v>266</v>
      </c>
      <c r="K345" s="21">
        <v>39</v>
      </c>
      <c r="L345" s="21">
        <v>326</v>
      </c>
      <c r="M345" s="21">
        <v>101</v>
      </c>
      <c r="N345" s="21">
        <v>232</v>
      </c>
      <c r="O345" s="19">
        <v>483</v>
      </c>
      <c r="P345" s="22">
        <v>19</v>
      </c>
      <c r="Q345" s="22">
        <v>16</v>
      </c>
      <c r="R345" s="20" t="s">
        <v>58</v>
      </c>
      <c r="S345" s="234">
        <f>COUNTIFS(INP_DATA!$R$5:$R$3027,S$4,INP_DATA!$D$5:$D$3027,$D345,INP_DATA!$B$5:$B$3027,$B345)</f>
        <v>1</v>
      </c>
      <c r="T345" s="235">
        <f>COUNTIFS(INP_DATA!$R$5:$R$3027,T$4,INP_DATA!$D$5:$D$3027,$D345,INP_DATA!$B$5:$B$3027,$B345)</f>
        <v>0</v>
      </c>
    </row>
    <row r="346" spans="1:20" x14ac:dyDescent="0.35">
      <c r="A346" s="3" t="s">
        <v>108</v>
      </c>
      <c r="B346" s="165">
        <v>45108</v>
      </c>
      <c r="C346" s="57" t="str">
        <f>IF($B346="","",YEAR($B346)&amp;"-"&amp;IFERROR(VLOOKUP(MONTH(B346),KEY!$AE$5:$AF$16,2,FALSE),""))</f>
        <v>2023-Q3</v>
      </c>
      <c r="D346" s="3" t="s">
        <v>122</v>
      </c>
      <c r="E346" s="219">
        <v>15</v>
      </c>
      <c r="F346" s="166">
        <v>97</v>
      </c>
      <c r="G346" s="166">
        <v>122</v>
      </c>
      <c r="H346" s="21">
        <v>361</v>
      </c>
      <c r="I346" s="21">
        <v>35</v>
      </c>
      <c r="J346" s="21">
        <v>164</v>
      </c>
      <c r="K346" s="21">
        <v>27</v>
      </c>
      <c r="L346" s="21">
        <v>183</v>
      </c>
      <c r="M346" s="21">
        <v>50</v>
      </c>
      <c r="N346" s="21">
        <v>99</v>
      </c>
      <c r="O346" s="19">
        <v>184</v>
      </c>
      <c r="P346" s="22" t="s">
        <v>194</v>
      </c>
      <c r="Q346" s="22" t="s">
        <v>194</v>
      </c>
      <c r="R346" s="20" t="s">
        <v>58</v>
      </c>
      <c r="S346" s="234">
        <f>COUNTIFS(INP_DATA!$R$5:$R$3027,S$4,INP_DATA!$D$5:$D$3027,$D346,INP_DATA!$B$5:$B$3027,$B346)</f>
        <v>1</v>
      </c>
      <c r="T346" s="235">
        <f>COUNTIFS(INP_DATA!$R$5:$R$3027,T$4,INP_DATA!$D$5:$D$3027,$D346,INP_DATA!$B$5:$B$3027,$B346)</f>
        <v>0</v>
      </c>
    </row>
    <row r="347" spans="1:20" x14ac:dyDescent="0.35">
      <c r="A347" s="3" t="s">
        <v>107</v>
      </c>
      <c r="B347" s="165">
        <v>45108</v>
      </c>
      <c r="C347" s="57" t="str">
        <f>IF($B347="","",YEAR($B347)&amp;"-"&amp;IFERROR(VLOOKUP(MONTH(B347),KEY!$AE$5:$AF$16,2,FALSE),""))</f>
        <v>2023-Q3</v>
      </c>
      <c r="D347" s="3" t="s">
        <v>123</v>
      </c>
      <c r="E347" s="219">
        <v>48</v>
      </c>
      <c r="F347" s="166">
        <v>194</v>
      </c>
      <c r="G347" s="166">
        <v>156</v>
      </c>
      <c r="H347" s="21">
        <v>372</v>
      </c>
      <c r="I347" s="21">
        <v>46</v>
      </c>
      <c r="J347" s="21">
        <v>192</v>
      </c>
      <c r="K347" s="21">
        <v>47</v>
      </c>
      <c r="L347" s="21">
        <v>367</v>
      </c>
      <c r="M347" s="21">
        <v>151</v>
      </c>
      <c r="N347" s="21">
        <v>195</v>
      </c>
      <c r="O347" s="19">
        <v>391</v>
      </c>
      <c r="P347" s="22">
        <v>30</v>
      </c>
      <c r="Q347" s="22">
        <v>19</v>
      </c>
      <c r="R347" s="20" t="s">
        <v>58</v>
      </c>
      <c r="S347" s="234">
        <f>COUNTIFS(INP_DATA!$R$5:$R$3027,S$4,INP_DATA!$D$5:$D$3027,$D347,INP_DATA!$B$5:$B$3027,$B347)</f>
        <v>1</v>
      </c>
      <c r="T347" s="235">
        <f>COUNTIFS(INP_DATA!$R$5:$R$3027,T$4,INP_DATA!$D$5:$D$3027,$D347,INP_DATA!$B$5:$B$3027,$B347)</f>
        <v>0</v>
      </c>
    </row>
    <row r="348" spans="1:20" x14ac:dyDescent="0.35">
      <c r="A348" s="3" t="s">
        <v>108</v>
      </c>
      <c r="B348" s="165">
        <v>45108</v>
      </c>
      <c r="C348" s="57" t="str">
        <f>IF($B348="","",YEAR($B348)&amp;"-"&amp;IFERROR(VLOOKUP(MONTH(B348),KEY!$AE$5:$AF$16,2,FALSE),""))</f>
        <v>2023-Q3</v>
      </c>
      <c r="D348" s="3" t="s">
        <v>124</v>
      </c>
      <c r="E348" s="219">
        <v>88</v>
      </c>
      <c r="F348" s="166">
        <v>242</v>
      </c>
      <c r="G348" s="166">
        <v>209</v>
      </c>
      <c r="H348" s="21">
        <v>401</v>
      </c>
      <c r="I348" s="21">
        <v>57</v>
      </c>
      <c r="J348" s="21">
        <v>172</v>
      </c>
      <c r="K348" s="21">
        <v>23</v>
      </c>
      <c r="L348" s="21">
        <v>373</v>
      </c>
      <c r="M348" s="21">
        <v>149</v>
      </c>
      <c r="N348" s="21">
        <v>240</v>
      </c>
      <c r="O348" s="19">
        <v>391</v>
      </c>
      <c r="P348" s="22">
        <v>63</v>
      </c>
      <c r="Q348" s="22">
        <v>44</v>
      </c>
      <c r="R348" s="20" t="s">
        <v>58</v>
      </c>
      <c r="S348" s="234">
        <f>COUNTIFS(INP_DATA!$R$5:$R$3027,S$4,INP_DATA!$D$5:$D$3027,$D348,INP_DATA!$B$5:$B$3027,$B348)</f>
        <v>1</v>
      </c>
      <c r="T348" s="235">
        <f>COUNTIFS(INP_DATA!$R$5:$R$3027,T$4,INP_DATA!$D$5:$D$3027,$D348,INP_DATA!$B$5:$B$3027,$B348)</f>
        <v>0</v>
      </c>
    </row>
    <row r="349" spans="1:20" x14ac:dyDescent="0.35">
      <c r="A349" s="3" t="s">
        <v>106</v>
      </c>
      <c r="B349" s="165">
        <v>45108</v>
      </c>
      <c r="C349" s="57" t="str">
        <f>IF($B349="","",YEAR($B349)&amp;"-"&amp;IFERROR(VLOOKUP(MONTH(B349),KEY!$AE$5:$AF$16,2,FALSE),""))</f>
        <v>2023-Q3</v>
      </c>
      <c r="D349" s="3" t="s">
        <v>195</v>
      </c>
      <c r="E349" s="219">
        <v>13</v>
      </c>
      <c r="F349" s="166">
        <v>51</v>
      </c>
      <c r="G349" s="166">
        <v>18</v>
      </c>
      <c r="H349" s="21">
        <v>179</v>
      </c>
      <c r="I349" s="21">
        <v>21</v>
      </c>
      <c r="J349" s="21">
        <v>36</v>
      </c>
      <c r="K349" s="21">
        <v>9</v>
      </c>
      <c r="L349" s="21">
        <v>102</v>
      </c>
      <c r="M349" s="21">
        <v>38</v>
      </c>
      <c r="N349" s="21">
        <v>52</v>
      </c>
      <c r="O349" s="19">
        <v>115</v>
      </c>
      <c r="P349" s="22">
        <v>8</v>
      </c>
      <c r="Q349" s="22">
        <v>6</v>
      </c>
      <c r="R349" s="20" t="s">
        <v>58</v>
      </c>
      <c r="S349" s="234">
        <f>COUNTIFS(INP_DATA!$R$5:$R$3027,S$4,INP_DATA!$D$5:$D$3027,$D349,INP_DATA!$B$5:$B$3027,$B349)</f>
        <v>1</v>
      </c>
      <c r="T349" s="235">
        <f>COUNTIFS(INP_DATA!$R$5:$R$3027,T$4,INP_DATA!$D$5:$D$3027,$D349,INP_DATA!$B$5:$B$3027,$B349)</f>
        <v>0</v>
      </c>
    </row>
    <row r="350" spans="1:20" x14ac:dyDescent="0.35">
      <c r="A350" s="3" t="s">
        <v>106</v>
      </c>
      <c r="B350" s="165">
        <v>45108</v>
      </c>
      <c r="C350" s="57" t="str">
        <f>IF($B350="","",YEAR($B350)&amp;"-"&amp;IFERROR(VLOOKUP(MONTH(B350),KEY!$AE$5:$AF$16,2,FALSE),""))</f>
        <v>2023-Q3</v>
      </c>
      <c r="D350" s="3" t="s">
        <v>125</v>
      </c>
      <c r="E350" s="219">
        <v>35</v>
      </c>
      <c r="F350" s="166">
        <v>301</v>
      </c>
      <c r="G350" s="166">
        <v>186</v>
      </c>
      <c r="H350" s="21">
        <v>676</v>
      </c>
      <c r="I350" s="21">
        <v>86</v>
      </c>
      <c r="J350" s="21">
        <v>257</v>
      </c>
      <c r="K350" s="21">
        <v>62</v>
      </c>
      <c r="L350" s="21">
        <v>542</v>
      </c>
      <c r="M350" s="21">
        <v>104</v>
      </c>
      <c r="N350" s="21">
        <v>312</v>
      </c>
      <c r="O350" s="19">
        <v>414</v>
      </c>
      <c r="P350" s="22">
        <v>32</v>
      </c>
      <c r="Q350" s="22">
        <v>21</v>
      </c>
      <c r="R350" s="20" t="s">
        <v>58</v>
      </c>
      <c r="S350" s="234">
        <f>COUNTIFS(INP_DATA!$R$5:$R$3027,S$4,INP_DATA!$D$5:$D$3027,$D350,INP_DATA!$B$5:$B$3027,$B350)</f>
        <v>1</v>
      </c>
      <c r="T350" s="235">
        <f>COUNTIFS(INP_DATA!$R$5:$R$3027,T$4,INP_DATA!$D$5:$D$3027,$D350,INP_DATA!$B$5:$B$3027,$B350)</f>
        <v>0</v>
      </c>
    </row>
    <row r="351" spans="1:20" x14ac:dyDescent="0.35">
      <c r="A351" s="3" t="s">
        <v>107</v>
      </c>
      <c r="B351" s="165">
        <v>45108</v>
      </c>
      <c r="C351" s="57" t="str">
        <f>IF($B351="","",YEAR($B351)&amp;"-"&amp;IFERROR(VLOOKUP(MONTH(B351),KEY!$AE$5:$AF$16,2,FALSE),""))</f>
        <v>2023-Q3</v>
      </c>
      <c r="D351" s="3" t="s">
        <v>126</v>
      </c>
      <c r="E351" s="219">
        <v>89</v>
      </c>
      <c r="F351" s="166">
        <v>477</v>
      </c>
      <c r="G351" s="166">
        <v>584</v>
      </c>
      <c r="H351" s="21">
        <v>875</v>
      </c>
      <c r="I351" s="21">
        <v>131</v>
      </c>
      <c r="J351" s="21">
        <v>471</v>
      </c>
      <c r="K351" s="21">
        <v>123</v>
      </c>
      <c r="L351" s="21">
        <v>746</v>
      </c>
      <c r="M351" s="21">
        <v>296</v>
      </c>
      <c r="N351" s="21">
        <v>484</v>
      </c>
      <c r="O351" s="19">
        <v>759</v>
      </c>
      <c r="P351" s="22">
        <v>135</v>
      </c>
      <c r="Q351" s="22">
        <v>81</v>
      </c>
      <c r="R351" s="20" t="s">
        <v>58</v>
      </c>
      <c r="S351" s="234">
        <f>COUNTIFS(INP_DATA!$R$5:$R$3027,S$4,INP_DATA!$D$5:$D$3027,$D351,INP_DATA!$B$5:$B$3027,$B351)</f>
        <v>1</v>
      </c>
      <c r="T351" s="235">
        <f>COUNTIFS(INP_DATA!$R$5:$R$3027,T$4,INP_DATA!$D$5:$D$3027,$D351,INP_DATA!$B$5:$B$3027,$B351)</f>
        <v>0</v>
      </c>
    </row>
    <row r="352" spans="1:20" x14ac:dyDescent="0.35">
      <c r="A352" s="3" t="s">
        <v>107</v>
      </c>
      <c r="B352" s="165">
        <v>45108</v>
      </c>
      <c r="C352" s="57" t="str">
        <f>IF($B352="","",YEAR($B352)&amp;"-"&amp;IFERROR(VLOOKUP(MONTH(B352),KEY!$AE$5:$AF$16,2,FALSE),""))</f>
        <v>2023-Q3</v>
      </c>
      <c r="D352" s="3" t="s">
        <v>127</v>
      </c>
      <c r="E352" s="219">
        <v>10</v>
      </c>
      <c r="F352" s="166">
        <v>59</v>
      </c>
      <c r="G352" s="166">
        <v>99</v>
      </c>
      <c r="H352" s="21">
        <v>123</v>
      </c>
      <c r="I352" s="21">
        <v>16</v>
      </c>
      <c r="J352" s="21">
        <v>50</v>
      </c>
      <c r="K352" s="21">
        <v>11</v>
      </c>
      <c r="L352" s="21">
        <v>92</v>
      </c>
      <c r="M352" s="21">
        <v>42</v>
      </c>
      <c r="N352" s="21">
        <v>61</v>
      </c>
      <c r="O352" s="19">
        <v>115</v>
      </c>
      <c r="P352" s="22">
        <v>13</v>
      </c>
      <c r="Q352" s="22">
        <v>5</v>
      </c>
      <c r="R352" s="20" t="s">
        <v>58</v>
      </c>
      <c r="S352" s="234">
        <f>COUNTIFS(INP_DATA!$R$5:$R$3027,S$4,INP_DATA!$D$5:$D$3027,$D352,INP_DATA!$B$5:$B$3027,$B352)</f>
        <v>1</v>
      </c>
      <c r="T352" s="235">
        <f>COUNTIFS(INP_DATA!$R$5:$R$3027,T$4,INP_DATA!$D$5:$D$3027,$D352,INP_DATA!$B$5:$B$3027,$B352)</f>
        <v>0</v>
      </c>
    </row>
    <row r="353" spans="1:20" x14ac:dyDescent="0.35">
      <c r="A353" s="3" t="s">
        <v>109</v>
      </c>
      <c r="B353" s="165">
        <v>45108</v>
      </c>
      <c r="C353" s="57" t="str">
        <f>IF($B353="","",YEAR($B353)&amp;"-"&amp;IFERROR(VLOOKUP(MONTH(B353),KEY!$AE$5:$AF$16,2,FALSE),""))</f>
        <v>2023-Q3</v>
      </c>
      <c r="D353" s="3" t="s">
        <v>128</v>
      </c>
      <c r="E353" s="219">
        <v>4</v>
      </c>
      <c r="F353" s="166">
        <v>274</v>
      </c>
      <c r="G353" s="166">
        <v>234</v>
      </c>
      <c r="H353" s="21">
        <v>853</v>
      </c>
      <c r="I353" s="21">
        <v>83</v>
      </c>
      <c r="J353" s="21">
        <v>472</v>
      </c>
      <c r="K353" s="21">
        <v>88</v>
      </c>
      <c r="L353" s="21">
        <v>516</v>
      </c>
      <c r="M353" s="21">
        <v>166</v>
      </c>
      <c r="N353" s="21">
        <v>274</v>
      </c>
      <c r="O353" s="19">
        <v>322</v>
      </c>
      <c r="P353" s="22" t="s">
        <v>194</v>
      </c>
      <c r="Q353" s="22" t="s">
        <v>194</v>
      </c>
      <c r="R353" s="20" t="s">
        <v>58</v>
      </c>
      <c r="S353" s="234">
        <f>COUNTIFS(INP_DATA!$R$5:$R$3027,S$4,INP_DATA!$D$5:$D$3027,$D353,INP_DATA!$B$5:$B$3027,$B353)</f>
        <v>1</v>
      </c>
      <c r="T353" s="235">
        <f>COUNTIFS(INP_DATA!$R$5:$R$3027,T$4,INP_DATA!$D$5:$D$3027,$D353,INP_DATA!$B$5:$B$3027,$B353)</f>
        <v>0</v>
      </c>
    </row>
    <row r="354" spans="1:20" x14ac:dyDescent="0.35">
      <c r="A354" s="3" t="s">
        <v>106</v>
      </c>
      <c r="B354" s="165">
        <v>45108</v>
      </c>
      <c r="C354" s="57" t="str">
        <f>IF($B354="","",YEAR($B354)&amp;"-"&amp;IFERROR(VLOOKUP(MONTH(B354),KEY!$AE$5:$AF$16,2,FALSE),""))</f>
        <v>2023-Q3</v>
      </c>
      <c r="D354" s="3" t="s">
        <v>129</v>
      </c>
      <c r="E354" s="219">
        <v>30</v>
      </c>
      <c r="F354" s="166">
        <v>178</v>
      </c>
      <c r="G354" s="166">
        <v>120</v>
      </c>
      <c r="H354" s="21">
        <v>287</v>
      </c>
      <c r="I354" s="21">
        <v>43</v>
      </c>
      <c r="J354" s="21">
        <v>169</v>
      </c>
      <c r="K354" s="21">
        <v>29</v>
      </c>
      <c r="L354" s="21">
        <v>302</v>
      </c>
      <c r="M354" s="21">
        <v>82</v>
      </c>
      <c r="N354" s="21">
        <v>183</v>
      </c>
      <c r="O354" s="19">
        <v>322</v>
      </c>
      <c r="P354" s="22">
        <v>34</v>
      </c>
      <c r="Q354" s="22">
        <v>22</v>
      </c>
      <c r="R354" s="20" t="s">
        <v>58</v>
      </c>
      <c r="S354" s="234">
        <f>COUNTIFS(INP_DATA!$R$5:$R$3027,S$4,INP_DATA!$D$5:$D$3027,$D354,INP_DATA!$B$5:$B$3027,$B354)</f>
        <v>1</v>
      </c>
      <c r="T354" s="235">
        <f>COUNTIFS(INP_DATA!$R$5:$R$3027,T$4,INP_DATA!$D$5:$D$3027,$D354,INP_DATA!$B$5:$B$3027,$B354)</f>
        <v>0</v>
      </c>
    </row>
    <row r="355" spans="1:20" x14ac:dyDescent="0.35">
      <c r="A355" s="3" t="s">
        <v>108</v>
      </c>
      <c r="B355" s="165">
        <v>45108</v>
      </c>
      <c r="C355" s="57" t="str">
        <f>IF($B355="","",YEAR($B355)&amp;"-"&amp;IFERROR(VLOOKUP(MONTH(B355),KEY!$AE$5:$AF$16,2,FALSE),""))</f>
        <v>2023-Q3</v>
      </c>
      <c r="D355" s="3" t="s">
        <v>130</v>
      </c>
      <c r="E355" s="219">
        <v>30</v>
      </c>
      <c r="F355" s="166">
        <v>216</v>
      </c>
      <c r="G355" s="166">
        <v>88</v>
      </c>
      <c r="H355" s="21">
        <v>366</v>
      </c>
      <c r="I355" s="21">
        <v>53</v>
      </c>
      <c r="J355" s="21">
        <v>219</v>
      </c>
      <c r="K355" s="21">
        <v>47</v>
      </c>
      <c r="L355" s="21">
        <v>213</v>
      </c>
      <c r="M355" s="21">
        <v>92</v>
      </c>
      <c r="N355" s="21">
        <v>217</v>
      </c>
      <c r="O355" s="19">
        <v>184</v>
      </c>
      <c r="P355" s="22">
        <v>30</v>
      </c>
      <c r="Q355" s="22">
        <v>20</v>
      </c>
      <c r="R355" s="20" t="s">
        <v>51</v>
      </c>
      <c r="S355" s="234">
        <f>COUNTIFS(INP_DATA!$R$5:$R$3027,S$4,INP_DATA!$D$5:$D$3027,$D355,INP_DATA!$B$5:$B$3027,$B355)</f>
        <v>0</v>
      </c>
      <c r="T355" s="235">
        <f>COUNTIFS(INP_DATA!$R$5:$R$3027,T$4,INP_DATA!$D$5:$D$3027,$D355,INP_DATA!$B$5:$B$3027,$B355)</f>
        <v>1</v>
      </c>
    </row>
    <row r="356" spans="1:20" x14ac:dyDescent="0.35">
      <c r="A356" s="3" t="s">
        <v>109</v>
      </c>
      <c r="B356" s="165">
        <v>45108</v>
      </c>
      <c r="C356" s="57" t="str">
        <f>IF($B356="","",YEAR($B356)&amp;"-"&amp;IFERROR(VLOOKUP(MONTH(B356),KEY!$AE$5:$AF$16,2,FALSE),""))</f>
        <v>2023-Q3</v>
      </c>
      <c r="D356" s="3" t="s">
        <v>131</v>
      </c>
      <c r="E356" s="219">
        <v>39</v>
      </c>
      <c r="F356" s="166">
        <v>192</v>
      </c>
      <c r="G356" s="166">
        <v>162</v>
      </c>
      <c r="H356" s="21">
        <v>184</v>
      </c>
      <c r="I356" s="21">
        <v>27</v>
      </c>
      <c r="J356" s="21">
        <v>177</v>
      </c>
      <c r="K356" s="21">
        <v>33</v>
      </c>
      <c r="L356" s="21">
        <v>205</v>
      </c>
      <c r="M356" s="21">
        <v>42</v>
      </c>
      <c r="N356" s="21">
        <v>200</v>
      </c>
      <c r="O356" s="19">
        <v>299</v>
      </c>
      <c r="P356" s="22">
        <v>3</v>
      </c>
      <c r="Q356" s="22">
        <v>2</v>
      </c>
      <c r="R356" s="20" t="s">
        <v>58</v>
      </c>
      <c r="S356" s="234">
        <f>COUNTIFS(INP_DATA!$R$5:$R$3027,S$4,INP_DATA!$D$5:$D$3027,$D356,INP_DATA!$B$5:$B$3027,$B356)</f>
        <v>1</v>
      </c>
      <c r="T356" s="235">
        <f>COUNTIFS(INP_DATA!$R$5:$R$3027,T$4,INP_DATA!$D$5:$D$3027,$D356,INP_DATA!$B$5:$B$3027,$B356)</f>
        <v>0</v>
      </c>
    </row>
    <row r="357" spans="1:20" x14ac:dyDescent="0.35">
      <c r="A357" s="3" t="s">
        <v>108</v>
      </c>
      <c r="B357" s="165">
        <v>45108</v>
      </c>
      <c r="C357" s="57" t="str">
        <f>IF($B357="","",YEAR($B357)&amp;"-"&amp;IFERROR(VLOOKUP(MONTH(B357),KEY!$AE$5:$AF$16,2,FALSE),""))</f>
        <v>2023-Q3</v>
      </c>
      <c r="D357" s="3" t="s">
        <v>134</v>
      </c>
      <c r="E357" s="219">
        <v>14</v>
      </c>
      <c r="F357" s="166">
        <v>47</v>
      </c>
      <c r="G357" s="166">
        <v>34</v>
      </c>
      <c r="H357" s="21">
        <v>88</v>
      </c>
      <c r="I357" s="21">
        <v>12</v>
      </c>
      <c r="J357" s="21">
        <v>20</v>
      </c>
      <c r="K357" s="21">
        <v>4</v>
      </c>
      <c r="L357" s="21">
        <v>52</v>
      </c>
      <c r="M357" s="21">
        <v>29</v>
      </c>
      <c r="N357" s="21">
        <v>47</v>
      </c>
      <c r="O357" s="19">
        <v>92</v>
      </c>
      <c r="P357" s="22">
        <v>14</v>
      </c>
      <c r="Q357" s="22">
        <v>9</v>
      </c>
      <c r="R357" s="20" t="s">
        <v>51</v>
      </c>
      <c r="S357" s="234">
        <f>COUNTIFS(INP_DATA!$R$5:$R$3027,S$4,INP_DATA!$D$5:$D$3027,$D357,INP_DATA!$B$5:$B$3027,$B357)</f>
        <v>0</v>
      </c>
      <c r="T357" s="235">
        <f>COUNTIFS(INP_DATA!$R$5:$R$3027,T$4,INP_DATA!$D$5:$D$3027,$D357,INP_DATA!$B$5:$B$3027,$B357)</f>
        <v>1</v>
      </c>
    </row>
    <row r="358" spans="1:20" x14ac:dyDescent="0.35">
      <c r="A358" s="3" t="s">
        <v>108</v>
      </c>
      <c r="B358" s="165">
        <v>45108</v>
      </c>
      <c r="C358" s="57" t="str">
        <f>IF($B358="","",YEAR($B358)&amp;"-"&amp;IFERROR(VLOOKUP(MONTH(B358),KEY!$AE$5:$AF$16,2,FALSE),""))</f>
        <v>2023-Q3</v>
      </c>
      <c r="D358" s="3" t="s">
        <v>135</v>
      </c>
      <c r="E358" s="219">
        <v>56</v>
      </c>
      <c r="F358" s="166">
        <v>209</v>
      </c>
      <c r="G358" s="166">
        <v>225</v>
      </c>
      <c r="H358" s="21">
        <v>438</v>
      </c>
      <c r="I358" s="21">
        <v>65</v>
      </c>
      <c r="J358" s="21">
        <v>156</v>
      </c>
      <c r="K358" s="21">
        <v>39</v>
      </c>
      <c r="L358" s="21">
        <v>655</v>
      </c>
      <c r="M358" s="21">
        <v>112</v>
      </c>
      <c r="N358" s="21">
        <v>208</v>
      </c>
      <c r="O358" s="19">
        <v>322</v>
      </c>
      <c r="P358" s="22">
        <v>29</v>
      </c>
      <c r="Q358" s="22">
        <v>20</v>
      </c>
      <c r="R358" s="20" t="s">
        <v>51</v>
      </c>
      <c r="S358" s="234">
        <f>COUNTIFS(INP_DATA!$R$5:$R$3027,S$4,INP_DATA!$D$5:$D$3027,$D358,INP_DATA!$B$5:$B$3027,$B358)</f>
        <v>0</v>
      </c>
      <c r="T358" s="235">
        <f>COUNTIFS(INP_DATA!$R$5:$R$3027,T$4,INP_DATA!$D$5:$D$3027,$D358,INP_DATA!$B$5:$B$3027,$B358)</f>
        <v>1</v>
      </c>
    </row>
    <row r="359" spans="1:20" x14ac:dyDescent="0.35">
      <c r="A359" s="3" t="s">
        <v>16</v>
      </c>
      <c r="B359" s="165">
        <v>45108</v>
      </c>
      <c r="C359" s="57" t="str">
        <f>IF($B359="","",YEAR($B359)&amp;"-"&amp;IFERROR(VLOOKUP(MONTH(B359),KEY!$AE$5:$AF$16,2,FALSE),""))</f>
        <v>2023-Q3</v>
      </c>
      <c r="D359" s="3" t="s">
        <v>196</v>
      </c>
      <c r="E359" s="219">
        <v>8</v>
      </c>
      <c r="F359" s="166">
        <v>28</v>
      </c>
      <c r="G359" s="166">
        <v>29</v>
      </c>
      <c r="H359" s="21">
        <v>78</v>
      </c>
      <c r="I359" s="21">
        <v>8</v>
      </c>
      <c r="J359" s="21">
        <v>59</v>
      </c>
      <c r="K359" s="21">
        <v>9</v>
      </c>
      <c r="L359" s="21">
        <v>55</v>
      </c>
      <c r="M359" s="21">
        <v>23</v>
      </c>
      <c r="N359" s="21">
        <v>28</v>
      </c>
      <c r="O359" s="19">
        <v>92</v>
      </c>
      <c r="P359" s="22">
        <v>2</v>
      </c>
      <c r="Q359" s="22">
        <v>0</v>
      </c>
      <c r="R359" s="20" t="s">
        <v>58</v>
      </c>
      <c r="S359" s="234">
        <f>COUNTIFS(INP_DATA!$R$5:$R$3027,S$4,INP_DATA!$D$5:$D$3027,$D359,INP_DATA!$B$5:$B$3027,$B359)</f>
        <v>1</v>
      </c>
      <c r="T359" s="235">
        <f>COUNTIFS(INP_DATA!$R$5:$R$3027,T$4,INP_DATA!$D$5:$D$3027,$D359,INP_DATA!$B$5:$B$3027,$B359)</f>
        <v>0</v>
      </c>
    </row>
    <row r="360" spans="1:20" x14ac:dyDescent="0.35">
      <c r="A360" s="3" t="s">
        <v>16</v>
      </c>
      <c r="B360" s="165">
        <v>45108</v>
      </c>
      <c r="C360" s="57" t="str">
        <f>IF($B360="","",YEAR($B360)&amp;"-"&amp;IFERROR(VLOOKUP(MONTH(B360),KEY!$AE$5:$AF$16,2,FALSE),""))</f>
        <v>2023-Q3</v>
      </c>
      <c r="D360" s="3" t="s">
        <v>197</v>
      </c>
      <c r="E360" s="219">
        <v>20</v>
      </c>
      <c r="F360" s="166">
        <v>82</v>
      </c>
      <c r="G360" s="166">
        <v>62</v>
      </c>
      <c r="H360" s="21">
        <v>125</v>
      </c>
      <c r="I360" s="21">
        <v>26</v>
      </c>
      <c r="J360" s="21">
        <v>95</v>
      </c>
      <c r="K360" s="21">
        <v>19</v>
      </c>
      <c r="L360" s="21">
        <v>107</v>
      </c>
      <c r="M360" s="21">
        <v>53</v>
      </c>
      <c r="N360" s="21">
        <v>86</v>
      </c>
      <c r="O360" s="19">
        <v>207</v>
      </c>
      <c r="P360" s="22">
        <v>14</v>
      </c>
      <c r="Q360" s="22">
        <v>11</v>
      </c>
      <c r="R360" s="20" t="s">
        <v>58</v>
      </c>
      <c r="S360" s="234">
        <f>COUNTIFS(INP_DATA!$R$5:$R$3027,S$4,INP_DATA!$D$5:$D$3027,$D360,INP_DATA!$B$5:$B$3027,$B360)</f>
        <v>1</v>
      </c>
      <c r="T360" s="235">
        <f>COUNTIFS(INP_DATA!$R$5:$R$3027,T$4,INP_DATA!$D$5:$D$3027,$D360,INP_DATA!$B$5:$B$3027,$B360)</f>
        <v>0</v>
      </c>
    </row>
    <row r="361" spans="1:20" x14ac:dyDescent="0.35">
      <c r="A361" s="3" t="s">
        <v>109</v>
      </c>
      <c r="B361" s="165">
        <v>45108</v>
      </c>
      <c r="C361" s="57" t="str">
        <f>IF($B361="","",YEAR($B361)&amp;"-"&amp;IFERROR(VLOOKUP(MONTH(B361),KEY!$AE$5:$AF$16,2,FALSE),""))</f>
        <v>2023-Q3</v>
      </c>
      <c r="D361" s="3" t="s">
        <v>136</v>
      </c>
      <c r="E361" s="219">
        <v>68</v>
      </c>
      <c r="F361" s="166">
        <v>250</v>
      </c>
      <c r="G361" s="166">
        <v>248</v>
      </c>
      <c r="H361" s="21">
        <v>584</v>
      </c>
      <c r="I361" s="21">
        <v>47</v>
      </c>
      <c r="J361" s="21">
        <v>394</v>
      </c>
      <c r="K361" s="21">
        <v>28</v>
      </c>
      <c r="L361" s="21">
        <v>201</v>
      </c>
      <c r="M361" s="21">
        <v>94</v>
      </c>
      <c r="N361" s="21">
        <v>256</v>
      </c>
      <c r="O361" s="19">
        <v>345</v>
      </c>
      <c r="P361" s="22">
        <v>32</v>
      </c>
      <c r="Q361" s="22">
        <v>30</v>
      </c>
      <c r="R361" s="20" t="s">
        <v>51</v>
      </c>
      <c r="S361" s="234">
        <f>COUNTIFS(INP_DATA!$R$5:$R$3027,S$4,INP_DATA!$D$5:$D$3027,$D361,INP_DATA!$B$5:$B$3027,$B361)</f>
        <v>0</v>
      </c>
      <c r="T361" s="235">
        <f>COUNTIFS(INP_DATA!$R$5:$R$3027,T$4,INP_DATA!$D$5:$D$3027,$D361,INP_DATA!$B$5:$B$3027,$B361)</f>
        <v>1</v>
      </c>
    </row>
    <row r="362" spans="1:20" x14ac:dyDescent="0.35">
      <c r="A362" s="3" t="s">
        <v>16</v>
      </c>
      <c r="B362" s="165">
        <v>45108</v>
      </c>
      <c r="C362" s="57" t="str">
        <f>IF($B362="","",YEAR($B362)&amp;"-"&amp;IFERROR(VLOOKUP(MONTH(B362),KEY!$AE$5:$AF$16,2,FALSE),""))</f>
        <v>2023-Q3</v>
      </c>
      <c r="D362" s="3" t="s">
        <v>137</v>
      </c>
      <c r="E362" s="219">
        <v>16</v>
      </c>
      <c r="F362" s="166">
        <v>81</v>
      </c>
      <c r="G362" s="166">
        <v>68</v>
      </c>
      <c r="H362" s="21">
        <v>182</v>
      </c>
      <c r="I362" s="21">
        <v>23</v>
      </c>
      <c r="J362" s="21">
        <v>180</v>
      </c>
      <c r="K362" s="21">
        <v>39</v>
      </c>
      <c r="L362" s="21">
        <v>137</v>
      </c>
      <c r="M362" s="21">
        <v>62</v>
      </c>
      <c r="N362" s="21">
        <v>90</v>
      </c>
      <c r="O362" s="19">
        <v>184</v>
      </c>
      <c r="P362" s="22">
        <v>10</v>
      </c>
      <c r="Q362" s="22">
        <v>5</v>
      </c>
      <c r="R362" s="20" t="s">
        <v>58</v>
      </c>
      <c r="S362" s="234">
        <f>COUNTIFS(INP_DATA!$R$5:$R$3027,S$4,INP_DATA!$D$5:$D$3027,$D362,INP_DATA!$B$5:$B$3027,$B362)</f>
        <v>1</v>
      </c>
      <c r="T362" s="235">
        <f>COUNTIFS(INP_DATA!$R$5:$R$3027,T$4,INP_DATA!$D$5:$D$3027,$D362,INP_DATA!$B$5:$B$3027,$B362)</f>
        <v>0</v>
      </c>
    </row>
    <row r="363" spans="1:20" x14ac:dyDescent="0.35">
      <c r="A363" s="3" t="s">
        <v>109</v>
      </c>
      <c r="B363" s="165">
        <v>45108</v>
      </c>
      <c r="C363" s="57" t="str">
        <f>IF($B363="","",YEAR($B363)&amp;"-"&amp;IFERROR(VLOOKUP(MONTH(B363),KEY!$AE$5:$AF$16,2,FALSE),""))</f>
        <v>2023-Q3</v>
      </c>
      <c r="D363" s="3" t="s">
        <v>138</v>
      </c>
      <c r="E363" s="219">
        <v>20</v>
      </c>
      <c r="F363" s="166">
        <v>131</v>
      </c>
      <c r="G363" s="166">
        <v>102</v>
      </c>
      <c r="H363" s="21">
        <v>250</v>
      </c>
      <c r="I363" s="21">
        <v>42</v>
      </c>
      <c r="J363" s="21">
        <v>121</v>
      </c>
      <c r="K363" s="21">
        <v>27</v>
      </c>
      <c r="L363" s="21">
        <v>158</v>
      </c>
      <c r="M363" s="21">
        <v>67</v>
      </c>
      <c r="N363" s="21">
        <v>134</v>
      </c>
      <c r="O363" s="19">
        <v>161</v>
      </c>
      <c r="P363" s="22">
        <v>15</v>
      </c>
      <c r="Q363" s="22">
        <v>13</v>
      </c>
      <c r="R363" s="20" t="s">
        <v>51</v>
      </c>
      <c r="S363" s="234">
        <f>COUNTIFS(INP_DATA!$R$5:$R$3027,S$4,INP_DATA!$D$5:$D$3027,$D363,INP_DATA!$B$5:$B$3027,$B363)</f>
        <v>0</v>
      </c>
      <c r="T363" s="235">
        <f>COUNTIFS(INP_DATA!$R$5:$R$3027,T$4,INP_DATA!$D$5:$D$3027,$D363,INP_DATA!$B$5:$B$3027,$B363)</f>
        <v>1</v>
      </c>
    </row>
    <row r="364" spans="1:20" x14ac:dyDescent="0.35">
      <c r="A364" s="3" t="s">
        <v>108</v>
      </c>
      <c r="B364" s="165">
        <v>45108</v>
      </c>
      <c r="C364" s="57" t="str">
        <f>IF($B364="","",YEAR($B364)&amp;"-"&amp;IFERROR(VLOOKUP(MONTH(B364),KEY!$AE$5:$AF$16,2,FALSE),""))</f>
        <v>2023-Q3</v>
      </c>
      <c r="D364" s="3" t="s">
        <v>139</v>
      </c>
      <c r="E364" s="219">
        <v>32</v>
      </c>
      <c r="F364" s="166">
        <v>161</v>
      </c>
      <c r="G364" s="166">
        <v>150</v>
      </c>
      <c r="H364" s="21">
        <v>237</v>
      </c>
      <c r="I364" s="21">
        <v>30</v>
      </c>
      <c r="J364" s="21">
        <v>176</v>
      </c>
      <c r="K364" s="21">
        <v>20</v>
      </c>
      <c r="L364" s="21">
        <v>306</v>
      </c>
      <c r="M364" s="21">
        <v>88</v>
      </c>
      <c r="N364" s="21">
        <v>161</v>
      </c>
      <c r="O364" s="19">
        <v>276</v>
      </c>
      <c r="P364" s="22">
        <v>67</v>
      </c>
      <c r="Q364" s="22">
        <v>30</v>
      </c>
      <c r="R364" s="20" t="s">
        <v>58</v>
      </c>
      <c r="S364" s="234">
        <f>COUNTIFS(INP_DATA!$R$5:$R$3027,S$4,INP_DATA!$D$5:$D$3027,$D364,INP_DATA!$B$5:$B$3027,$B364)</f>
        <v>1</v>
      </c>
      <c r="T364" s="235">
        <f>COUNTIFS(INP_DATA!$R$5:$R$3027,T$4,INP_DATA!$D$5:$D$3027,$D364,INP_DATA!$B$5:$B$3027,$B364)</f>
        <v>0</v>
      </c>
    </row>
    <row r="365" spans="1:20" x14ac:dyDescent="0.35">
      <c r="A365" s="3" t="s">
        <v>107</v>
      </c>
      <c r="B365" s="165">
        <v>45108</v>
      </c>
      <c r="C365" s="57" t="str">
        <f>IF($B365="","",YEAR($B365)&amp;"-"&amp;IFERROR(VLOOKUP(MONTH(B365),KEY!$AE$5:$AF$16,2,FALSE),""))</f>
        <v>2023-Q3</v>
      </c>
      <c r="D365" s="3" t="s">
        <v>140</v>
      </c>
      <c r="E365" s="219">
        <v>5</v>
      </c>
      <c r="F365" s="166">
        <v>31</v>
      </c>
      <c r="G365" s="166">
        <v>28</v>
      </c>
      <c r="H365" s="21">
        <v>90</v>
      </c>
      <c r="I365" s="21">
        <v>11</v>
      </c>
      <c r="J365" s="21">
        <v>37</v>
      </c>
      <c r="K365" s="21">
        <v>7</v>
      </c>
      <c r="L365" s="21">
        <v>81</v>
      </c>
      <c r="M365" s="21">
        <v>21</v>
      </c>
      <c r="N365" s="21">
        <v>35</v>
      </c>
      <c r="O365" s="19">
        <v>92</v>
      </c>
      <c r="P365" s="22">
        <v>6</v>
      </c>
      <c r="Q365" s="22">
        <v>4</v>
      </c>
      <c r="R365" s="20" t="s">
        <v>194</v>
      </c>
      <c r="S365" s="234">
        <f>COUNTIFS(INP_DATA!$R$5:$R$3027,S$4,INP_DATA!$D$5:$D$3027,$D365,INP_DATA!$B$5:$B$3027,$B365)</f>
        <v>0</v>
      </c>
      <c r="T365" s="235">
        <f>COUNTIFS(INP_DATA!$R$5:$R$3027,T$4,INP_DATA!$D$5:$D$3027,$D365,INP_DATA!$B$5:$B$3027,$B365)</f>
        <v>0</v>
      </c>
    </row>
    <row r="366" spans="1:20" x14ac:dyDescent="0.35">
      <c r="A366" s="3" t="s">
        <v>108</v>
      </c>
      <c r="B366" s="165">
        <v>45108</v>
      </c>
      <c r="C366" s="57" t="str">
        <f>IF($B366="","",YEAR($B366)&amp;"-"&amp;IFERROR(VLOOKUP(MONTH(B366),KEY!$AE$5:$AF$16,2,FALSE),""))</f>
        <v>2023-Q3</v>
      </c>
      <c r="D366" s="3" t="s">
        <v>142</v>
      </c>
      <c r="E366" s="219">
        <v>17</v>
      </c>
      <c r="F366" s="166">
        <v>57</v>
      </c>
      <c r="G366" s="166">
        <v>57</v>
      </c>
      <c r="H366" s="21">
        <v>149</v>
      </c>
      <c r="I366" s="21">
        <v>15</v>
      </c>
      <c r="J366" s="21">
        <v>48</v>
      </c>
      <c r="K366" s="21">
        <v>4</v>
      </c>
      <c r="L366" s="21">
        <v>106</v>
      </c>
      <c r="M366" s="21">
        <v>30</v>
      </c>
      <c r="N366" s="21">
        <v>57</v>
      </c>
      <c r="O366" s="19">
        <v>115</v>
      </c>
      <c r="P366" s="22">
        <v>29</v>
      </c>
      <c r="Q366" s="22">
        <v>19</v>
      </c>
      <c r="R366" s="20" t="s">
        <v>51</v>
      </c>
      <c r="S366" s="234">
        <f>COUNTIFS(INP_DATA!$R$5:$R$3027,S$4,INP_DATA!$D$5:$D$3027,$D366,INP_DATA!$B$5:$B$3027,$B366)</f>
        <v>0</v>
      </c>
      <c r="T366" s="235">
        <f>COUNTIFS(INP_DATA!$R$5:$R$3027,T$4,INP_DATA!$D$5:$D$3027,$D366,INP_DATA!$B$5:$B$3027,$B366)</f>
        <v>1</v>
      </c>
    </row>
    <row r="367" spans="1:20" x14ac:dyDescent="0.35">
      <c r="A367" s="3" t="s">
        <v>16</v>
      </c>
      <c r="B367" s="165">
        <v>45108</v>
      </c>
      <c r="C367" s="57" t="str">
        <f>IF($B367="","",YEAR($B367)&amp;"-"&amp;IFERROR(VLOOKUP(MONTH(B367),KEY!$AE$5:$AF$16,2,FALSE),""))</f>
        <v>2023-Q3</v>
      </c>
      <c r="D367" s="3" t="s">
        <v>143</v>
      </c>
      <c r="E367" s="219">
        <v>15</v>
      </c>
      <c r="F367" s="166">
        <v>93</v>
      </c>
      <c r="G367" s="166">
        <v>83</v>
      </c>
      <c r="H367" s="21">
        <v>128</v>
      </c>
      <c r="I367" s="21">
        <v>27</v>
      </c>
      <c r="J367" s="21">
        <v>112</v>
      </c>
      <c r="K367" s="21">
        <v>24</v>
      </c>
      <c r="L367" s="21">
        <v>159</v>
      </c>
      <c r="M367" s="21">
        <v>66</v>
      </c>
      <c r="N367" s="21">
        <v>94</v>
      </c>
      <c r="O367" s="19">
        <v>207</v>
      </c>
      <c r="P367" s="22">
        <v>10</v>
      </c>
      <c r="Q367" s="22">
        <v>4</v>
      </c>
      <c r="R367" s="20" t="s">
        <v>58</v>
      </c>
      <c r="S367" s="234">
        <f>COUNTIFS(INP_DATA!$R$5:$R$3027,S$4,INP_DATA!$D$5:$D$3027,$D367,INP_DATA!$B$5:$B$3027,$B367)</f>
        <v>1</v>
      </c>
      <c r="T367" s="235">
        <f>COUNTIFS(INP_DATA!$R$5:$R$3027,T$4,INP_DATA!$D$5:$D$3027,$D367,INP_DATA!$B$5:$B$3027,$B367)</f>
        <v>0</v>
      </c>
    </row>
    <row r="368" spans="1:20" x14ac:dyDescent="0.35">
      <c r="A368" s="3" t="s">
        <v>16</v>
      </c>
      <c r="B368" s="165">
        <v>45108</v>
      </c>
      <c r="C368" s="57" t="str">
        <f>IF($B368="","",YEAR($B368)&amp;"-"&amp;IFERROR(VLOOKUP(MONTH(B368),KEY!$AE$5:$AF$16,2,FALSE),""))</f>
        <v>2023-Q3</v>
      </c>
      <c r="D368" s="3" t="s">
        <v>144</v>
      </c>
      <c r="E368" s="219">
        <v>42</v>
      </c>
      <c r="F368" s="166">
        <v>163</v>
      </c>
      <c r="G368" s="166">
        <v>223</v>
      </c>
      <c r="H368" s="21">
        <v>203</v>
      </c>
      <c r="I368" s="21">
        <v>30</v>
      </c>
      <c r="J368" s="21">
        <v>108</v>
      </c>
      <c r="K368" s="21">
        <v>16</v>
      </c>
      <c r="L368" s="21">
        <v>259</v>
      </c>
      <c r="M368" s="21">
        <v>102</v>
      </c>
      <c r="N368" s="21">
        <v>167</v>
      </c>
      <c r="O368" s="19">
        <v>368</v>
      </c>
      <c r="P368" s="22">
        <v>23</v>
      </c>
      <c r="Q368" s="22">
        <v>18</v>
      </c>
      <c r="R368" s="20" t="s">
        <v>58</v>
      </c>
      <c r="S368" s="234">
        <f>COUNTIFS(INP_DATA!$R$5:$R$3027,S$4,INP_DATA!$D$5:$D$3027,$D368,INP_DATA!$B$5:$B$3027,$B368)</f>
        <v>1</v>
      </c>
      <c r="T368" s="235">
        <f>COUNTIFS(INP_DATA!$R$5:$R$3027,T$4,INP_DATA!$D$5:$D$3027,$D368,INP_DATA!$B$5:$B$3027,$B368)</f>
        <v>0</v>
      </c>
    </row>
    <row r="369" spans="1:20" x14ac:dyDescent="0.35">
      <c r="A369" s="3" t="s">
        <v>108</v>
      </c>
      <c r="B369" s="165">
        <v>45108</v>
      </c>
      <c r="C369" s="57" t="str">
        <f>IF($B369="","",YEAR($B369)&amp;"-"&amp;IFERROR(VLOOKUP(MONTH(B369),KEY!$AE$5:$AF$16,2,FALSE),""))</f>
        <v>2023-Q3</v>
      </c>
      <c r="D369" s="3" t="s">
        <v>145</v>
      </c>
      <c r="E369" s="219">
        <v>65</v>
      </c>
      <c r="F369" s="166">
        <v>179</v>
      </c>
      <c r="G369" s="166">
        <v>209</v>
      </c>
      <c r="H369" s="21">
        <v>285</v>
      </c>
      <c r="I369" s="21">
        <v>40</v>
      </c>
      <c r="J369" s="21">
        <v>130</v>
      </c>
      <c r="K369" s="21">
        <v>20</v>
      </c>
      <c r="L369" s="21">
        <v>407</v>
      </c>
      <c r="M369" s="21">
        <v>101</v>
      </c>
      <c r="N369" s="21">
        <v>172</v>
      </c>
      <c r="O369" s="19">
        <v>322</v>
      </c>
      <c r="P369" s="22">
        <v>41</v>
      </c>
      <c r="Q369" s="22">
        <v>25</v>
      </c>
      <c r="R369" s="20" t="s">
        <v>51</v>
      </c>
      <c r="S369" s="234">
        <f>COUNTIFS(INP_DATA!$R$5:$R$3027,S$4,INP_DATA!$D$5:$D$3027,$D369,INP_DATA!$B$5:$B$3027,$B369)</f>
        <v>0</v>
      </c>
      <c r="T369" s="235">
        <f>COUNTIFS(INP_DATA!$R$5:$R$3027,T$4,INP_DATA!$D$5:$D$3027,$D369,INP_DATA!$B$5:$B$3027,$B369)</f>
        <v>1</v>
      </c>
    </row>
    <row r="370" spans="1:20" x14ac:dyDescent="0.35">
      <c r="A370" s="3" t="s">
        <v>16</v>
      </c>
      <c r="B370" s="165">
        <v>45108</v>
      </c>
      <c r="C370" s="57" t="str">
        <f>IF($B370="","",YEAR($B370)&amp;"-"&amp;IFERROR(VLOOKUP(MONTH(B370),KEY!$AE$5:$AF$16,2,FALSE),""))</f>
        <v>2023-Q3</v>
      </c>
      <c r="D370" s="3" t="s">
        <v>146</v>
      </c>
      <c r="E370" s="219">
        <v>7</v>
      </c>
      <c r="F370" s="166">
        <v>51</v>
      </c>
      <c r="G370" s="166">
        <v>63</v>
      </c>
      <c r="H370" s="21">
        <v>158</v>
      </c>
      <c r="I370" s="21">
        <v>23</v>
      </c>
      <c r="J370" s="21">
        <v>39</v>
      </c>
      <c r="K370" s="21">
        <v>6</v>
      </c>
      <c r="L370" s="21">
        <v>67</v>
      </c>
      <c r="M370" s="21">
        <v>27</v>
      </c>
      <c r="N370" s="21">
        <v>50</v>
      </c>
      <c r="O370" s="19">
        <v>92</v>
      </c>
      <c r="P370" s="22">
        <v>6</v>
      </c>
      <c r="Q370" s="22">
        <v>3</v>
      </c>
      <c r="R370" s="20" t="s">
        <v>58</v>
      </c>
      <c r="S370" s="234">
        <f>COUNTIFS(INP_DATA!$R$5:$R$3027,S$4,INP_DATA!$D$5:$D$3027,$D370,INP_DATA!$B$5:$B$3027,$B370)</f>
        <v>1</v>
      </c>
      <c r="T370" s="235">
        <f>COUNTIFS(INP_DATA!$R$5:$R$3027,T$4,INP_DATA!$D$5:$D$3027,$D370,INP_DATA!$B$5:$B$3027,$B370)</f>
        <v>0</v>
      </c>
    </row>
    <row r="371" spans="1:20" x14ac:dyDescent="0.35">
      <c r="A371" s="3" t="s">
        <v>109</v>
      </c>
      <c r="B371" s="165">
        <v>45108</v>
      </c>
      <c r="C371" s="57" t="str">
        <f>IF($B371="","",YEAR($B371)&amp;"-"&amp;IFERROR(VLOOKUP(MONTH(B371),KEY!$AE$5:$AF$16,2,FALSE),""))</f>
        <v>2023-Q3</v>
      </c>
      <c r="D371" s="3" t="s">
        <v>147</v>
      </c>
      <c r="E371" s="219">
        <v>13</v>
      </c>
      <c r="F371" s="166">
        <v>68</v>
      </c>
      <c r="G371" s="166">
        <v>74</v>
      </c>
      <c r="H371" s="21">
        <v>125</v>
      </c>
      <c r="I371" s="21">
        <v>16</v>
      </c>
      <c r="J371" s="21">
        <v>55</v>
      </c>
      <c r="K371" s="21">
        <v>11</v>
      </c>
      <c r="L371" s="21">
        <v>99</v>
      </c>
      <c r="M371" s="21">
        <v>51</v>
      </c>
      <c r="N371" s="21">
        <v>68</v>
      </c>
      <c r="O371" s="19">
        <v>115</v>
      </c>
      <c r="P371" s="22">
        <v>5</v>
      </c>
      <c r="Q371" s="22">
        <v>4</v>
      </c>
      <c r="R371" s="20" t="s">
        <v>58</v>
      </c>
      <c r="S371" s="234">
        <f>COUNTIFS(INP_DATA!$R$5:$R$3027,S$4,INP_DATA!$D$5:$D$3027,$D371,INP_DATA!$B$5:$B$3027,$B371)</f>
        <v>1</v>
      </c>
      <c r="T371" s="235">
        <f>COUNTIFS(INP_DATA!$R$5:$R$3027,T$4,INP_DATA!$D$5:$D$3027,$D371,INP_DATA!$B$5:$B$3027,$B371)</f>
        <v>0</v>
      </c>
    </row>
    <row r="372" spans="1:20" x14ac:dyDescent="0.35">
      <c r="A372" s="3" t="s">
        <v>106</v>
      </c>
      <c r="B372" s="165">
        <v>45108</v>
      </c>
      <c r="C372" s="57" t="str">
        <f>IF($B372="","",YEAR($B372)&amp;"-"&amp;IFERROR(VLOOKUP(MONTH(B372),KEY!$AE$5:$AF$16,2,FALSE),""))</f>
        <v>2023-Q3</v>
      </c>
      <c r="D372" s="3" t="s">
        <v>148</v>
      </c>
      <c r="E372" s="219">
        <v>13</v>
      </c>
      <c r="F372" s="166">
        <v>45</v>
      </c>
      <c r="G372" s="166">
        <v>71</v>
      </c>
      <c r="H372" s="21">
        <v>123</v>
      </c>
      <c r="I372" s="21">
        <v>17</v>
      </c>
      <c r="J372" s="21">
        <v>70</v>
      </c>
      <c r="K372" s="21">
        <v>6</v>
      </c>
      <c r="L372" s="21">
        <v>102</v>
      </c>
      <c r="M372" s="21">
        <v>39</v>
      </c>
      <c r="N372" s="21">
        <v>45</v>
      </c>
      <c r="O372" s="19">
        <v>92</v>
      </c>
      <c r="P372" s="22">
        <v>6</v>
      </c>
      <c r="Q372" s="22">
        <v>4</v>
      </c>
      <c r="R372" s="20" t="s">
        <v>58</v>
      </c>
      <c r="S372" s="234">
        <f>COUNTIFS(INP_DATA!$R$5:$R$3027,S$4,INP_DATA!$D$5:$D$3027,$D372,INP_DATA!$B$5:$B$3027,$B372)</f>
        <v>1</v>
      </c>
      <c r="T372" s="235">
        <f>COUNTIFS(INP_DATA!$R$5:$R$3027,T$4,INP_DATA!$D$5:$D$3027,$D372,INP_DATA!$B$5:$B$3027,$B372)</f>
        <v>0</v>
      </c>
    </row>
    <row r="373" spans="1:20" x14ac:dyDescent="0.35">
      <c r="A373" s="3" t="s">
        <v>107</v>
      </c>
      <c r="B373" s="165">
        <v>45108</v>
      </c>
      <c r="C373" s="57" t="str">
        <f>IF($B373="","",YEAR($B373)&amp;"-"&amp;IFERROR(VLOOKUP(MONTH(B373),KEY!$AE$5:$AF$16,2,FALSE),""))</f>
        <v>2023-Q3</v>
      </c>
      <c r="D373" s="3" t="s">
        <v>149</v>
      </c>
      <c r="E373" s="219">
        <v>6</v>
      </c>
      <c r="F373" s="166">
        <v>89</v>
      </c>
      <c r="G373" s="166">
        <v>98</v>
      </c>
      <c r="H373" s="21">
        <v>108</v>
      </c>
      <c r="I373" s="21">
        <v>15</v>
      </c>
      <c r="J373" s="21">
        <v>25</v>
      </c>
      <c r="K373" s="21">
        <v>6</v>
      </c>
      <c r="L373" s="21">
        <v>44</v>
      </c>
      <c r="M373" s="21">
        <v>19</v>
      </c>
      <c r="N373" s="21">
        <v>32</v>
      </c>
      <c r="O373" s="19">
        <v>46</v>
      </c>
      <c r="P373" s="22">
        <v>5</v>
      </c>
      <c r="Q373" s="22">
        <v>0</v>
      </c>
      <c r="R373" s="20" t="s">
        <v>58</v>
      </c>
      <c r="S373" s="234">
        <f>COUNTIFS(INP_DATA!$R$5:$R$3027,S$4,INP_DATA!$D$5:$D$3027,$D373,INP_DATA!$B$5:$B$3027,$B373)</f>
        <v>1</v>
      </c>
      <c r="T373" s="235">
        <f>COUNTIFS(INP_DATA!$R$5:$R$3027,T$4,INP_DATA!$D$5:$D$3027,$D373,INP_DATA!$B$5:$B$3027,$B373)</f>
        <v>0</v>
      </c>
    </row>
    <row r="374" spans="1:20" x14ac:dyDescent="0.35">
      <c r="A374" s="3" t="s">
        <v>108</v>
      </c>
      <c r="B374" s="165">
        <v>45108</v>
      </c>
      <c r="C374" s="57" t="str">
        <f>IF($B374="","",YEAR($B374)&amp;"-"&amp;IFERROR(VLOOKUP(MONTH(B374),KEY!$AE$5:$AF$16,2,FALSE),""))</f>
        <v>2023-Q3</v>
      </c>
      <c r="D374" s="3" t="s">
        <v>150</v>
      </c>
      <c r="E374" s="219">
        <v>13</v>
      </c>
      <c r="F374" s="166">
        <v>46</v>
      </c>
      <c r="G374" s="166">
        <v>66</v>
      </c>
      <c r="H374" s="21">
        <v>76</v>
      </c>
      <c r="I374" s="21">
        <v>11</v>
      </c>
      <c r="J374" s="21">
        <v>15</v>
      </c>
      <c r="K374" s="21">
        <v>5</v>
      </c>
      <c r="L374" s="21">
        <v>69</v>
      </c>
      <c r="M374" s="21">
        <v>32</v>
      </c>
      <c r="N374" s="21">
        <v>49</v>
      </c>
      <c r="O374" s="19">
        <v>115</v>
      </c>
      <c r="P374" s="22">
        <v>10</v>
      </c>
      <c r="Q374" s="22">
        <v>6</v>
      </c>
      <c r="R374" s="20" t="s">
        <v>58</v>
      </c>
      <c r="S374" s="234">
        <f>COUNTIFS(INP_DATA!$R$5:$R$3027,S$4,INP_DATA!$D$5:$D$3027,$D374,INP_DATA!$B$5:$B$3027,$B374)</f>
        <v>1</v>
      </c>
      <c r="T374" s="235">
        <f>COUNTIFS(INP_DATA!$R$5:$R$3027,T$4,INP_DATA!$D$5:$D$3027,$D374,INP_DATA!$B$5:$B$3027,$B374)</f>
        <v>0</v>
      </c>
    </row>
    <row r="375" spans="1:20" x14ac:dyDescent="0.35">
      <c r="A375" s="3" t="s">
        <v>16</v>
      </c>
      <c r="B375" s="165">
        <v>45108</v>
      </c>
      <c r="C375" s="57" t="str">
        <f>IF($B375="","",YEAR($B375)&amp;"-"&amp;IFERROR(VLOOKUP(MONTH(B375),KEY!$AE$5:$AF$16,2,FALSE),""))</f>
        <v>2023-Q3</v>
      </c>
      <c r="D375" s="3" t="s">
        <v>151</v>
      </c>
      <c r="E375" s="219">
        <v>6</v>
      </c>
      <c r="F375" s="166">
        <v>36</v>
      </c>
      <c r="G375" s="166">
        <v>43</v>
      </c>
      <c r="H375" s="21">
        <v>116</v>
      </c>
      <c r="I375" s="21">
        <v>14</v>
      </c>
      <c r="J375" s="21">
        <v>39</v>
      </c>
      <c r="K375" s="21">
        <v>5</v>
      </c>
      <c r="L375" s="21">
        <v>60</v>
      </c>
      <c r="M375" s="21">
        <v>22</v>
      </c>
      <c r="N375" s="21">
        <v>36</v>
      </c>
      <c r="O375" s="19">
        <v>92</v>
      </c>
      <c r="P375" s="22">
        <v>2</v>
      </c>
      <c r="Q375" s="22">
        <v>1</v>
      </c>
      <c r="R375" s="20" t="s">
        <v>58</v>
      </c>
      <c r="S375" s="234">
        <f>COUNTIFS(INP_DATA!$R$5:$R$3027,S$4,INP_DATA!$D$5:$D$3027,$D375,INP_DATA!$B$5:$B$3027,$B375)</f>
        <v>1</v>
      </c>
      <c r="T375" s="235">
        <f>COUNTIFS(INP_DATA!$R$5:$R$3027,T$4,INP_DATA!$D$5:$D$3027,$D375,INP_DATA!$B$5:$B$3027,$B375)</f>
        <v>0</v>
      </c>
    </row>
    <row r="376" spans="1:20" x14ac:dyDescent="0.35">
      <c r="A376" s="3" t="s">
        <v>106</v>
      </c>
      <c r="B376" s="165">
        <v>45108</v>
      </c>
      <c r="C376" s="57" t="str">
        <f>IF($B376="","",YEAR($B376)&amp;"-"&amp;IFERROR(VLOOKUP(MONTH(B376),KEY!$AE$5:$AF$16,2,FALSE),""))</f>
        <v>2023-Q3</v>
      </c>
      <c r="D376" s="3" t="s">
        <v>152</v>
      </c>
      <c r="E376" s="219">
        <v>57</v>
      </c>
      <c r="F376" s="166">
        <v>208</v>
      </c>
      <c r="G376" s="166">
        <v>199</v>
      </c>
      <c r="H376" s="21">
        <v>501</v>
      </c>
      <c r="I376" s="21">
        <v>88</v>
      </c>
      <c r="J376" s="21">
        <v>123</v>
      </c>
      <c r="K376" s="21">
        <v>31</v>
      </c>
      <c r="L376" s="21">
        <v>342</v>
      </c>
      <c r="M376" s="21">
        <v>144</v>
      </c>
      <c r="N376" s="21">
        <v>208</v>
      </c>
      <c r="O376" s="19">
        <v>299</v>
      </c>
      <c r="P376" s="22">
        <v>44</v>
      </c>
      <c r="Q376" s="22">
        <v>28</v>
      </c>
      <c r="R376" s="20" t="s">
        <v>58</v>
      </c>
      <c r="S376" s="234">
        <f>COUNTIFS(INP_DATA!$R$5:$R$3027,S$4,INP_DATA!$D$5:$D$3027,$D376,INP_DATA!$B$5:$B$3027,$B376)</f>
        <v>1</v>
      </c>
      <c r="T376" s="235">
        <f>COUNTIFS(INP_DATA!$R$5:$R$3027,T$4,INP_DATA!$D$5:$D$3027,$D376,INP_DATA!$B$5:$B$3027,$B376)</f>
        <v>0</v>
      </c>
    </row>
    <row r="377" spans="1:20" x14ac:dyDescent="0.35">
      <c r="A377" s="3" t="s">
        <v>16</v>
      </c>
      <c r="B377" s="165">
        <v>45108</v>
      </c>
      <c r="C377" s="57" t="str">
        <f>IF($B377="","",YEAR($B377)&amp;"-"&amp;IFERROR(VLOOKUP(MONTH(B377),KEY!$AE$5:$AF$16,2,FALSE),""))</f>
        <v>2023-Q3</v>
      </c>
      <c r="D377" s="3" t="s">
        <v>153</v>
      </c>
      <c r="E377" s="219">
        <v>31</v>
      </c>
      <c r="F377" s="166">
        <v>93</v>
      </c>
      <c r="G377" s="166">
        <v>94</v>
      </c>
      <c r="H377" s="21">
        <v>287</v>
      </c>
      <c r="I377" s="21">
        <v>21</v>
      </c>
      <c r="J377" s="21">
        <v>84</v>
      </c>
      <c r="K377" s="21">
        <v>8</v>
      </c>
      <c r="L377" s="21">
        <v>329</v>
      </c>
      <c r="M377" s="21">
        <v>55</v>
      </c>
      <c r="N377" s="21">
        <v>93</v>
      </c>
      <c r="O377" s="19">
        <v>276</v>
      </c>
      <c r="P377" s="22">
        <v>3</v>
      </c>
      <c r="Q377" s="22">
        <v>0</v>
      </c>
      <c r="R377" s="20" t="s">
        <v>194</v>
      </c>
      <c r="S377" s="234">
        <f>COUNTIFS(INP_DATA!$R$5:$R$3027,S$4,INP_DATA!$D$5:$D$3027,$D377,INP_DATA!$B$5:$B$3027,$B377)</f>
        <v>0</v>
      </c>
      <c r="T377" s="235">
        <f>COUNTIFS(INP_DATA!$R$5:$R$3027,T$4,INP_DATA!$D$5:$D$3027,$D377,INP_DATA!$B$5:$B$3027,$B377)</f>
        <v>0</v>
      </c>
    </row>
    <row r="378" spans="1:20" x14ac:dyDescent="0.35">
      <c r="A378" s="3" t="s">
        <v>106</v>
      </c>
      <c r="B378" s="165">
        <v>45108</v>
      </c>
      <c r="C378" s="57" t="str">
        <f>IF($B378="","",YEAR($B378)&amp;"-"&amp;IFERROR(VLOOKUP(MONTH(B378),KEY!$AE$5:$AF$16,2,FALSE),""))</f>
        <v>2023-Q3</v>
      </c>
      <c r="D378" s="3" t="s">
        <v>154</v>
      </c>
      <c r="E378" s="219">
        <v>21</v>
      </c>
      <c r="F378" s="166">
        <v>89</v>
      </c>
      <c r="G378" s="166">
        <v>98</v>
      </c>
      <c r="H378" s="21">
        <v>249</v>
      </c>
      <c r="I378" s="21">
        <v>24</v>
      </c>
      <c r="J378" s="21">
        <v>177</v>
      </c>
      <c r="K378" s="21">
        <v>25</v>
      </c>
      <c r="L378" s="21">
        <v>213</v>
      </c>
      <c r="M378" s="21">
        <v>64</v>
      </c>
      <c r="N378" s="21">
        <v>89</v>
      </c>
      <c r="O378" s="19">
        <v>115</v>
      </c>
      <c r="P378" s="22">
        <v>11</v>
      </c>
      <c r="Q378" s="22">
        <v>8</v>
      </c>
      <c r="R378" s="20" t="s">
        <v>194</v>
      </c>
      <c r="S378" s="234">
        <f>COUNTIFS(INP_DATA!$R$5:$R$3027,S$4,INP_DATA!$D$5:$D$3027,$D378,INP_DATA!$B$5:$B$3027,$B378)</f>
        <v>0</v>
      </c>
      <c r="T378" s="235">
        <f>COUNTIFS(INP_DATA!$R$5:$R$3027,T$4,INP_DATA!$D$5:$D$3027,$D378,INP_DATA!$B$5:$B$3027,$B378)</f>
        <v>0</v>
      </c>
    </row>
    <row r="379" spans="1:20" x14ac:dyDescent="0.35">
      <c r="A379" s="3" t="s">
        <v>109</v>
      </c>
      <c r="B379" s="165">
        <v>45108</v>
      </c>
      <c r="C379" s="57" t="str">
        <f>IF($B379="","",YEAR($B379)&amp;"-"&amp;IFERROR(VLOOKUP(MONTH(B379),KEY!$AE$5:$AF$16,2,FALSE),""))</f>
        <v>2023-Q3</v>
      </c>
      <c r="D379" s="3" t="s">
        <v>155</v>
      </c>
      <c r="E379" s="219">
        <v>66</v>
      </c>
      <c r="F379" s="166">
        <v>332</v>
      </c>
      <c r="G379" s="166">
        <v>251</v>
      </c>
      <c r="H379" s="21">
        <v>1078</v>
      </c>
      <c r="I379" s="21">
        <v>107</v>
      </c>
      <c r="J379" s="21">
        <v>363</v>
      </c>
      <c r="K379" s="21">
        <v>50</v>
      </c>
      <c r="L379" s="21">
        <v>505</v>
      </c>
      <c r="M379" s="21">
        <v>190</v>
      </c>
      <c r="N379" s="21">
        <v>335</v>
      </c>
      <c r="O379" s="19">
        <v>529</v>
      </c>
      <c r="P379" s="22">
        <v>53</v>
      </c>
      <c r="Q379" s="22">
        <v>31</v>
      </c>
      <c r="R379" s="20" t="s">
        <v>51</v>
      </c>
      <c r="S379" s="234">
        <f>COUNTIFS(INP_DATA!$R$5:$R$3027,S$4,INP_DATA!$D$5:$D$3027,$D379,INP_DATA!$B$5:$B$3027,$B379)</f>
        <v>0</v>
      </c>
      <c r="T379" s="235">
        <f>COUNTIFS(INP_DATA!$R$5:$R$3027,T$4,INP_DATA!$D$5:$D$3027,$D379,INP_DATA!$B$5:$B$3027,$B379)</f>
        <v>1</v>
      </c>
    </row>
    <row r="380" spans="1:20" x14ac:dyDescent="0.35">
      <c r="A380" s="3" t="s">
        <v>109</v>
      </c>
      <c r="B380" s="165">
        <v>45108</v>
      </c>
      <c r="C380" s="57" t="str">
        <f>IF($B380="","",YEAR($B380)&amp;"-"&amp;IFERROR(VLOOKUP(MONTH(B380),KEY!$AE$5:$AF$16,2,FALSE),""))</f>
        <v>2023-Q3</v>
      </c>
      <c r="D380" s="3" t="s">
        <v>156</v>
      </c>
      <c r="E380" s="219">
        <v>67</v>
      </c>
      <c r="F380" s="166">
        <v>277</v>
      </c>
      <c r="G380" s="166">
        <v>306</v>
      </c>
      <c r="H380" s="21">
        <v>656</v>
      </c>
      <c r="I380" s="21">
        <v>75</v>
      </c>
      <c r="J380" s="21">
        <v>321</v>
      </c>
      <c r="K380" s="21">
        <v>57</v>
      </c>
      <c r="L380" s="21">
        <v>570</v>
      </c>
      <c r="M380" s="21">
        <v>142</v>
      </c>
      <c r="N380" s="21">
        <v>278</v>
      </c>
      <c r="O380" s="19">
        <v>437</v>
      </c>
      <c r="P380" s="22">
        <v>4</v>
      </c>
      <c r="Q380" s="22">
        <v>1</v>
      </c>
      <c r="R380" s="20" t="s">
        <v>51</v>
      </c>
      <c r="S380" s="234">
        <f>COUNTIFS(INP_DATA!$R$5:$R$3027,S$4,INP_DATA!$D$5:$D$3027,$D380,INP_DATA!$B$5:$B$3027,$B380)</f>
        <v>0</v>
      </c>
      <c r="T380" s="235">
        <f>COUNTIFS(INP_DATA!$R$5:$R$3027,T$4,INP_DATA!$D$5:$D$3027,$D380,INP_DATA!$B$5:$B$3027,$B380)</f>
        <v>1</v>
      </c>
    </row>
    <row r="381" spans="1:20" x14ac:dyDescent="0.35">
      <c r="A381" s="3" t="s">
        <v>109</v>
      </c>
      <c r="B381" s="165">
        <v>45108</v>
      </c>
      <c r="C381" s="57" t="str">
        <f>IF($B381="","",YEAR($B381)&amp;"-"&amp;IFERROR(VLOOKUP(MONTH(B381),KEY!$AE$5:$AF$16,2,FALSE),""))</f>
        <v>2023-Q3</v>
      </c>
      <c r="D381" s="3" t="s">
        <v>157</v>
      </c>
      <c r="E381" s="219">
        <v>2</v>
      </c>
      <c r="F381" s="166">
        <v>272</v>
      </c>
      <c r="G381" s="166">
        <v>256</v>
      </c>
      <c r="H381" s="21">
        <v>1155</v>
      </c>
      <c r="I381" s="21">
        <v>64</v>
      </c>
      <c r="J381" s="21">
        <v>680</v>
      </c>
      <c r="K381" s="21">
        <v>54</v>
      </c>
      <c r="L381" s="21">
        <v>489</v>
      </c>
      <c r="M381" s="21">
        <v>116</v>
      </c>
      <c r="N381" s="21">
        <v>319</v>
      </c>
      <c r="O381" s="19">
        <v>299</v>
      </c>
      <c r="P381" s="22">
        <v>8</v>
      </c>
      <c r="Q381" s="22">
        <v>4</v>
      </c>
      <c r="R381" s="20" t="s">
        <v>51</v>
      </c>
      <c r="S381" s="234">
        <f>COUNTIFS(INP_DATA!$R$5:$R$3027,S$4,INP_DATA!$D$5:$D$3027,$D381,INP_DATA!$B$5:$B$3027,$B381)</f>
        <v>0</v>
      </c>
      <c r="T381" s="235">
        <f>COUNTIFS(INP_DATA!$R$5:$R$3027,T$4,INP_DATA!$D$5:$D$3027,$D381,INP_DATA!$B$5:$B$3027,$B381)</f>
        <v>1</v>
      </c>
    </row>
    <row r="382" spans="1:20" x14ac:dyDescent="0.35">
      <c r="A382" s="3" t="s">
        <v>16</v>
      </c>
      <c r="B382" s="165">
        <v>45108</v>
      </c>
      <c r="C382" s="57" t="str">
        <f>IF($B382="","",YEAR($B382)&amp;"-"&amp;IFERROR(VLOOKUP(MONTH(B382),KEY!$AE$5:$AF$16,2,FALSE),""))</f>
        <v>2023-Q3</v>
      </c>
      <c r="D382" s="3" t="s">
        <v>158</v>
      </c>
      <c r="E382" s="219">
        <v>3</v>
      </c>
      <c r="F382" s="166">
        <v>26</v>
      </c>
      <c r="G382" s="166">
        <v>33</v>
      </c>
      <c r="H382" s="21">
        <v>91</v>
      </c>
      <c r="I382" s="21">
        <v>5</v>
      </c>
      <c r="J382" s="21">
        <v>25</v>
      </c>
      <c r="K382" s="21">
        <v>1</v>
      </c>
      <c r="L382" s="21">
        <v>51</v>
      </c>
      <c r="M382" s="21">
        <v>7</v>
      </c>
      <c r="N382" s="21">
        <v>28</v>
      </c>
      <c r="O382" s="19">
        <v>115</v>
      </c>
      <c r="P382" s="22">
        <v>1</v>
      </c>
      <c r="Q382" s="22">
        <v>0</v>
      </c>
      <c r="R382" s="20" t="s">
        <v>194</v>
      </c>
      <c r="S382" s="234">
        <f>COUNTIFS(INP_DATA!$R$5:$R$3027,S$4,INP_DATA!$D$5:$D$3027,$D382,INP_DATA!$B$5:$B$3027,$B382)</f>
        <v>0</v>
      </c>
      <c r="T382" s="235">
        <f>COUNTIFS(INP_DATA!$R$5:$R$3027,T$4,INP_DATA!$D$5:$D$3027,$D382,INP_DATA!$B$5:$B$3027,$B382)</f>
        <v>0</v>
      </c>
    </row>
    <row r="383" spans="1:20" x14ac:dyDescent="0.35">
      <c r="A383" s="3" t="s">
        <v>107</v>
      </c>
      <c r="B383" s="165">
        <v>45108</v>
      </c>
      <c r="C383" s="57" t="str">
        <f>IF($B383="","",YEAR($B383)&amp;"-"&amp;IFERROR(VLOOKUP(MONTH(B383),KEY!$AE$5:$AF$16,2,FALSE),""))</f>
        <v>2023-Q3</v>
      </c>
      <c r="D383" s="3" t="s">
        <v>159</v>
      </c>
      <c r="E383" s="219">
        <v>18</v>
      </c>
      <c r="F383" s="166">
        <v>102</v>
      </c>
      <c r="G383" s="166">
        <v>93</v>
      </c>
      <c r="H383" s="21">
        <v>224</v>
      </c>
      <c r="I383" s="21">
        <v>30</v>
      </c>
      <c r="J383" s="21">
        <v>95</v>
      </c>
      <c r="K383" s="21">
        <v>21</v>
      </c>
      <c r="L383" s="21">
        <v>215</v>
      </c>
      <c r="M383" s="21">
        <v>84</v>
      </c>
      <c r="N383" s="21">
        <v>104</v>
      </c>
      <c r="O383" s="19">
        <v>230</v>
      </c>
      <c r="P383" s="22">
        <v>29</v>
      </c>
      <c r="Q383" s="22">
        <v>19</v>
      </c>
      <c r="R383" s="20" t="s">
        <v>194</v>
      </c>
      <c r="S383" s="234">
        <f>COUNTIFS(INP_DATA!$R$5:$R$3027,S$4,INP_DATA!$D$5:$D$3027,$D383,INP_DATA!$B$5:$B$3027,$B383)</f>
        <v>0</v>
      </c>
      <c r="T383" s="235">
        <f>COUNTIFS(INP_DATA!$R$5:$R$3027,T$4,INP_DATA!$D$5:$D$3027,$D383,INP_DATA!$B$5:$B$3027,$B383)</f>
        <v>0</v>
      </c>
    </row>
    <row r="384" spans="1:20" x14ac:dyDescent="0.35">
      <c r="A384" s="3" t="s">
        <v>16</v>
      </c>
      <c r="B384" s="165">
        <v>45108</v>
      </c>
      <c r="C384" s="57" t="str">
        <f>IF($B384="","",YEAR($B384)&amp;"-"&amp;IFERROR(VLOOKUP(MONTH(B384),KEY!$AE$5:$AF$16,2,FALSE),""))</f>
        <v>2023-Q3</v>
      </c>
      <c r="D384" s="3" t="s">
        <v>160</v>
      </c>
      <c r="E384" s="219">
        <v>117</v>
      </c>
      <c r="F384" s="166">
        <v>400</v>
      </c>
      <c r="G384" s="166">
        <v>259</v>
      </c>
      <c r="H384" s="21">
        <v>838</v>
      </c>
      <c r="I384" s="21">
        <v>140</v>
      </c>
      <c r="J384" s="21">
        <v>312</v>
      </c>
      <c r="K384" s="21">
        <v>46</v>
      </c>
      <c r="L384" s="21">
        <v>601</v>
      </c>
      <c r="M384" s="21">
        <v>228</v>
      </c>
      <c r="N384" s="21">
        <v>403</v>
      </c>
      <c r="O384" s="19">
        <v>575</v>
      </c>
      <c r="P384" s="22">
        <v>43</v>
      </c>
      <c r="Q384" s="22">
        <v>28</v>
      </c>
      <c r="R384" s="20" t="s">
        <v>51</v>
      </c>
      <c r="S384" s="234">
        <f>COUNTIFS(INP_DATA!$R$5:$R$3027,S$4,INP_DATA!$D$5:$D$3027,$D384,INP_DATA!$B$5:$B$3027,$B384)</f>
        <v>0</v>
      </c>
      <c r="T384" s="235">
        <f>COUNTIFS(INP_DATA!$R$5:$R$3027,T$4,INP_DATA!$D$5:$D$3027,$D384,INP_DATA!$B$5:$B$3027,$B384)</f>
        <v>1</v>
      </c>
    </row>
    <row r="385" spans="1:20" x14ac:dyDescent="0.35">
      <c r="A385" s="3" t="s">
        <v>106</v>
      </c>
      <c r="B385" s="165">
        <v>45108</v>
      </c>
      <c r="C385" s="57" t="str">
        <f>IF($B385="","",YEAR($B385)&amp;"-"&amp;IFERROR(VLOOKUP(MONTH(B385),KEY!$AE$5:$AF$16,2,FALSE),""))</f>
        <v>2023-Q3</v>
      </c>
      <c r="D385" s="3" t="s">
        <v>161</v>
      </c>
      <c r="E385" s="219">
        <v>37</v>
      </c>
      <c r="F385" s="166">
        <v>336</v>
      </c>
      <c r="G385" s="166">
        <v>243</v>
      </c>
      <c r="H385" s="21">
        <v>635</v>
      </c>
      <c r="I385" s="21">
        <v>103</v>
      </c>
      <c r="J385" s="21">
        <v>247</v>
      </c>
      <c r="K385" s="21">
        <v>58</v>
      </c>
      <c r="L385" s="21">
        <v>504</v>
      </c>
      <c r="M385" s="21">
        <v>155</v>
      </c>
      <c r="N385" s="21">
        <v>349</v>
      </c>
      <c r="O385" s="19">
        <v>437</v>
      </c>
      <c r="P385" s="22">
        <v>16</v>
      </c>
      <c r="Q385" s="22">
        <v>11</v>
      </c>
      <c r="R385" s="20" t="s">
        <v>51</v>
      </c>
      <c r="S385" s="234">
        <f>COUNTIFS(INP_DATA!$R$5:$R$3027,S$4,INP_DATA!$D$5:$D$3027,$D385,INP_DATA!$B$5:$B$3027,$B385)</f>
        <v>0</v>
      </c>
      <c r="T385" s="235">
        <f>COUNTIFS(INP_DATA!$R$5:$R$3027,T$4,INP_DATA!$D$5:$D$3027,$D385,INP_DATA!$B$5:$B$3027,$B385)</f>
        <v>1</v>
      </c>
    </row>
    <row r="386" spans="1:20" x14ac:dyDescent="0.35">
      <c r="A386" s="3" t="s">
        <v>109</v>
      </c>
      <c r="B386" s="165">
        <v>45108</v>
      </c>
      <c r="C386" s="57" t="str">
        <f>IF($B386="","",YEAR($B386)&amp;"-"&amp;IFERROR(VLOOKUP(MONTH(B386),KEY!$AE$5:$AF$16,2,FALSE),""))</f>
        <v>2023-Q3</v>
      </c>
      <c r="D386" s="3" t="s">
        <v>162</v>
      </c>
      <c r="E386" s="219">
        <v>100</v>
      </c>
      <c r="F386" s="166">
        <v>515</v>
      </c>
      <c r="G386" s="166">
        <v>437</v>
      </c>
      <c r="H386" s="21">
        <v>841</v>
      </c>
      <c r="I386" s="21">
        <v>119</v>
      </c>
      <c r="J386" s="21">
        <v>452</v>
      </c>
      <c r="K386" s="21">
        <v>92</v>
      </c>
      <c r="L386" s="21">
        <v>663</v>
      </c>
      <c r="M386" s="21">
        <v>172</v>
      </c>
      <c r="N386" s="21">
        <v>536</v>
      </c>
      <c r="O386" s="19">
        <v>690</v>
      </c>
      <c r="P386" s="22">
        <v>19</v>
      </c>
      <c r="Q386" s="22">
        <v>16</v>
      </c>
      <c r="R386" s="20" t="s">
        <v>58</v>
      </c>
      <c r="S386" s="234">
        <f>COUNTIFS(INP_DATA!$R$5:$R$3027,S$4,INP_DATA!$D$5:$D$3027,$D386,INP_DATA!$B$5:$B$3027,$B386)</f>
        <v>1</v>
      </c>
      <c r="T386" s="235">
        <f>COUNTIFS(INP_DATA!$R$5:$R$3027,T$4,INP_DATA!$D$5:$D$3027,$D386,INP_DATA!$B$5:$B$3027,$B386)</f>
        <v>0</v>
      </c>
    </row>
    <row r="387" spans="1:20" x14ac:dyDescent="0.35">
      <c r="A387" s="3" t="s">
        <v>16</v>
      </c>
      <c r="B387" s="165">
        <v>45108</v>
      </c>
      <c r="C387" s="57" t="str">
        <f>IF($B387="","",YEAR($B387)&amp;"-"&amp;IFERROR(VLOOKUP(MONTH(B387),KEY!$AE$5:$AF$16,2,FALSE),""))</f>
        <v>2023-Q3</v>
      </c>
      <c r="D387" s="3" t="s">
        <v>163</v>
      </c>
      <c r="E387" s="219">
        <v>53</v>
      </c>
      <c r="F387" s="166">
        <v>245</v>
      </c>
      <c r="G387" s="166">
        <v>207</v>
      </c>
      <c r="H387" s="21">
        <v>365</v>
      </c>
      <c r="I387" s="21">
        <v>74</v>
      </c>
      <c r="J387" s="21">
        <v>212</v>
      </c>
      <c r="K387" s="21">
        <v>66</v>
      </c>
      <c r="L387" s="21">
        <v>391</v>
      </c>
      <c r="M387" s="21">
        <v>141</v>
      </c>
      <c r="N387" s="21">
        <v>249</v>
      </c>
      <c r="O387" s="19">
        <v>391</v>
      </c>
      <c r="P387" s="22">
        <v>11</v>
      </c>
      <c r="Q387" s="22">
        <v>6</v>
      </c>
      <c r="R387" s="20" t="s">
        <v>51</v>
      </c>
      <c r="S387" s="234">
        <f>COUNTIFS(INP_DATA!$R$5:$R$3027,S$4,INP_DATA!$D$5:$D$3027,$D387,INP_DATA!$B$5:$B$3027,$B387)</f>
        <v>0</v>
      </c>
      <c r="T387" s="235">
        <f>COUNTIFS(INP_DATA!$R$5:$R$3027,T$4,INP_DATA!$D$5:$D$3027,$D387,INP_DATA!$B$5:$B$3027,$B387)</f>
        <v>1</v>
      </c>
    </row>
    <row r="388" spans="1:20" x14ac:dyDescent="0.35">
      <c r="A388" s="3" t="s">
        <v>16</v>
      </c>
      <c r="B388" s="165">
        <v>45108</v>
      </c>
      <c r="C388" s="57" t="str">
        <f>IF($B388="","",YEAR($B388)&amp;"-"&amp;IFERROR(VLOOKUP(MONTH(B388),KEY!$AE$5:$AF$16,2,FALSE),""))</f>
        <v>2023-Q3</v>
      </c>
      <c r="D388" s="3" t="s">
        <v>164</v>
      </c>
      <c r="E388" s="219">
        <v>12</v>
      </c>
      <c r="F388" s="166">
        <v>73</v>
      </c>
      <c r="G388" s="166">
        <v>92</v>
      </c>
      <c r="H388" s="21">
        <v>288</v>
      </c>
      <c r="I388" s="21">
        <v>27</v>
      </c>
      <c r="J388" s="21">
        <v>79</v>
      </c>
      <c r="K388" s="21">
        <v>9</v>
      </c>
      <c r="L388" s="21">
        <v>109</v>
      </c>
      <c r="M388" s="21">
        <v>42</v>
      </c>
      <c r="N388" s="21">
        <v>75</v>
      </c>
      <c r="O388" s="19">
        <v>207</v>
      </c>
      <c r="P388" s="22">
        <v>8</v>
      </c>
      <c r="Q388" s="22">
        <v>2</v>
      </c>
      <c r="R388" s="20" t="s">
        <v>58</v>
      </c>
      <c r="S388" s="234">
        <f>COUNTIFS(INP_DATA!$R$5:$R$3027,S$4,INP_DATA!$D$5:$D$3027,$D388,INP_DATA!$B$5:$B$3027,$B388)</f>
        <v>1</v>
      </c>
      <c r="T388" s="235">
        <f>COUNTIFS(INP_DATA!$R$5:$R$3027,T$4,INP_DATA!$D$5:$D$3027,$D388,INP_DATA!$B$5:$B$3027,$B388)</f>
        <v>0</v>
      </c>
    </row>
    <row r="389" spans="1:20" x14ac:dyDescent="0.35">
      <c r="A389" s="3" t="s">
        <v>107</v>
      </c>
      <c r="B389" s="165">
        <v>45108</v>
      </c>
      <c r="C389" s="57" t="str">
        <f>IF($B389="","",YEAR($B389)&amp;"-"&amp;IFERROR(VLOOKUP(MONTH(B389),KEY!$AE$5:$AF$16,2,FALSE),""))</f>
        <v>2023-Q3</v>
      </c>
      <c r="D389" s="3" t="s">
        <v>165</v>
      </c>
      <c r="E389" s="219">
        <v>20</v>
      </c>
      <c r="F389" s="166">
        <v>91</v>
      </c>
      <c r="G389" s="166">
        <v>115</v>
      </c>
      <c r="H389" s="21">
        <v>253</v>
      </c>
      <c r="I389" s="21">
        <v>26</v>
      </c>
      <c r="J389" s="21">
        <v>74</v>
      </c>
      <c r="K389" s="21">
        <v>23</v>
      </c>
      <c r="L389" s="21">
        <v>143</v>
      </c>
      <c r="M389" s="21">
        <v>42</v>
      </c>
      <c r="N389" s="21">
        <v>92</v>
      </c>
      <c r="O389" s="19">
        <v>161</v>
      </c>
      <c r="P389" s="22">
        <v>21</v>
      </c>
      <c r="Q389" s="22">
        <v>14</v>
      </c>
      <c r="R389" s="20" t="s">
        <v>51</v>
      </c>
      <c r="S389" s="234">
        <f>COUNTIFS(INP_DATA!$R$5:$R$3027,S$4,INP_DATA!$D$5:$D$3027,$D389,INP_DATA!$B$5:$B$3027,$B389)</f>
        <v>0</v>
      </c>
      <c r="T389" s="235">
        <f>COUNTIFS(INP_DATA!$R$5:$R$3027,T$4,INP_DATA!$D$5:$D$3027,$D389,INP_DATA!$B$5:$B$3027,$B389)</f>
        <v>1</v>
      </c>
    </row>
    <row r="390" spans="1:20" x14ac:dyDescent="0.35">
      <c r="A390" s="3" t="s">
        <v>16</v>
      </c>
      <c r="B390" s="165">
        <v>45139</v>
      </c>
      <c r="C390" s="57" t="str">
        <f>IF($B390="","",YEAR($B390)&amp;"-"&amp;IFERROR(VLOOKUP(MONTH(B390),KEY!$AE$5:$AF$16,2,FALSE),""))</f>
        <v>2023-Q3</v>
      </c>
      <c r="D390" s="3" t="s">
        <v>111</v>
      </c>
      <c r="E390" s="219">
        <v>12</v>
      </c>
      <c r="F390" s="166">
        <v>85</v>
      </c>
      <c r="G390" s="166">
        <v>58</v>
      </c>
      <c r="H390" s="21">
        <v>189</v>
      </c>
      <c r="I390" s="21">
        <v>37</v>
      </c>
      <c r="J390" s="21">
        <v>90</v>
      </c>
      <c r="K390" s="21">
        <v>8</v>
      </c>
      <c r="L390" s="21">
        <v>155</v>
      </c>
      <c r="M390" s="21">
        <v>63</v>
      </c>
      <c r="N390" s="21">
        <v>86</v>
      </c>
      <c r="O390" s="19">
        <v>161</v>
      </c>
      <c r="P390" s="22">
        <v>13</v>
      </c>
      <c r="Q390" s="22">
        <v>6</v>
      </c>
      <c r="R390" s="20" t="s">
        <v>58</v>
      </c>
      <c r="S390" s="234">
        <f>COUNTIFS(INP_DATA!$R$5:$R$3027,S$4,INP_DATA!$D$5:$D$3027,$D390,INP_DATA!$B$5:$B$3027,$B390)</f>
        <v>1</v>
      </c>
      <c r="T390" s="235">
        <f>COUNTIFS(INP_DATA!$R$5:$R$3027,T$4,INP_DATA!$D$5:$D$3027,$D390,INP_DATA!$B$5:$B$3027,$B390)</f>
        <v>0</v>
      </c>
    </row>
    <row r="391" spans="1:20" x14ac:dyDescent="0.35">
      <c r="A391" s="3" t="s">
        <v>108</v>
      </c>
      <c r="B391" s="165">
        <v>45139</v>
      </c>
      <c r="C391" s="57" t="str">
        <f>IF($B391="","",YEAR($B391)&amp;"-"&amp;IFERROR(VLOOKUP(MONTH(B391),KEY!$AE$5:$AF$16,2,FALSE),""))</f>
        <v>2023-Q3</v>
      </c>
      <c r="D391" s="3" t="s">
        <v>112</v>
      </c>
      <c r="E391" s="219">
        <v>9</v>
      </c>
      <c r="F391" s="166">
        <v>36</v>
      </c>
      <c r="G391" s="166">
        <v>42</v>
      </c>
      <c r="H391" s="21">
        <v>64</v>
      </c>
      <c r="I391" s="21">
        <v>15</v>
      </c>
      <c r="J391" s="21">
        <v>24</v>
      </c>
      <c r="K391" s="21">
        <v>5</v>
      </c>
      <c r="L391" s="21">
        <v>81</v>
      </c>
      <c r="M391" s="21">
        <v>28</v>
      </c>
      <c r="N391" s="21">
        <v>38</v>
      </c>
      <c r="O391" s="19">
        <v>92</v>
      </c>
      <c r="P391" s="22">
        <v>9</v>
      </c>
      <c r="Q391" s="22">
        <v>6</v>
      </c>
      <c r="R391" s="20" t="s">
        <v>51</v>
      </c>
      <c r="S391" s="234">
        <f>COUNTIFS(INP_DATA!$R$5:$R$3027,S$4,INP_DATA!$D$5:$D$3027,$D391,INP_DATA!$B$5:$B$3027,$B391)</f>
        <v>0</v>
      </c>
      <c r="T391" s="235">
        <f>COUNTIFS(INP_DATA!$R$5:$R$3027,T$4,INP_DATA!$D$5:$D$3027,$D391,INP_DATA!$B$5:$B$3027,$B391)</f>
        <v>1</v>
      </c>
    </row>
    <row r="392" spans="1:20" x14ac:dyDescent="0.35">
      <c r="A392" s="3" t="s">
        <v>16</v>
      </c>
      <c r="B392" s="165">
        <v>45139</v>
      </c>
      <c r="C392" s="57" t="str">
        <f>IF($B392="","",YEAR($B392)&amp;"-"&amp;IFERROR(VLOOKUP(MONTH(B392),KEY!$AE$5:$AF$16,2,FALSE),""))</f>
        <v>2023-Q3</v>
      </c>
      <c r="D392" s="3" t="s">
        <v>113</v>
      </c>
      <c r="E392" s="219">
        <v>11</v>
      </c>
      <c r="F392" s="166">
        <v>82</v>
      </c>
      <c r="G392" s="166">
        <v>84</v>
      </c>
      <c r="H392" s="21">
        <v>233</v>
      </c>
      <c r="I392" s="21">
        <v>34</v>
      </c>
      <c r="J392" s="21">
        <v>75</v>
      </c>
      <c r="K392" s="21">
        <v>19</v>
      </c>
      <c r="L392" s="21">
        <v>131</v>
      </c>
      <c r="M392" s="21">
        <v>56</v>
      </c>
      <c r="N392" s="21">
        <v>83</v>
      </c>
      <c r="O392" s="19">
        <v>161</v>
      </c>
      <c r="P392" s="22">
        <v>6</v>
      </c>
      <c r="Q392" s="22">
        <v>3</v>
      </c>
      <c r="R392" s="20" t="s">
        <v>58</v>
      </c>
      <c r="S392" s="234">
        <f>COUNTIFS(INP_DATA!$R$5:$R$3027,S$4,INP_DATA!$D$5:$D$3027,$D392,INP_DATA!$B$5:$B$3027,$B392)</f>
        <v>1</v>
      </c>
      <c r="T392" s="235">
        <f>COUNTIFS(INP_DATA!$R$5:$R$3027,T$4,INP_DATA!$D$5:$D$3027,$D392,INP_DATA!$B$5:$B$3027,$B392)</f>
        <v>0</v>
      </c>
    </row>
    <row r="393" spans="1:20" x14ac:dyDescent="0.35">
      <c r="A393" s="3" t="s">
        <v>108</v>
      </c>
      <c r="B393" s="165">
        <v>45139</v>
      </c>
      <c r="C393" s="57" t="str">
        <f>IF($B393="","",YEAR($B393)&amp;"-"&amp;IFERROR(VLOOKUP(MONTH(B393),KEY!$AE$5:$AF$16,2,FALSE),""))</f>
        <v>2023-Q3</v>
      </c>
      <c r="D393" s="3" t="s">
        <v>114</v>
      </c>
      <c r="E393" s="219">
        <v>17</v>
      </c>
      <c r="F393" s="166">
        <v>52</v>
      </c>
      <c r="G393" s="166">
        <v>58</v>
      </c>
      <c r="H393" s="21">
        <v>137</v>
      </c>
      <c r="I393" s="21">
        <v>19</v>
      </c>
      <c r="J393" s="21">
        <v>44</v>
      </c>
      <c r="K393" s="21">
        <v>11</v>
      </c>
      <c r="L393" s="21">
        <v>114</v>
      </c>
      <c r="M393" s="21">
        <v>38</v>
      </c>
      <c r="N393" s="21">
        <v>54</v>
      </c>
      <c r="O393" s="19">
        <v>161</v>
      </c>
      <c r="P393" s="22">
        <v>8</v>
      </c>
      <c r="Q393" s="22">
        <v>6</v>
      </c>
      <c r="R393" s="20" t="s">
        <v>51</v>
      </c>
      <c r="S393" s="234">
        <f>COUNTIFS(INP_DATA!$R$5:$R$3027,S$4,INP_DATA!$D$5:$D$3027,$D393,INP_DATA!$B$5:$B$3027,$B393)</f>
        <v>0</v>
      </c>
      <c r="T393" s="235">
        <f>COUNTIFS(INP_DATA!$R$5:$R$3027,T$4,INP_DATA!$D$5:$D$3027,$D393,INP_DATA!$B$5:$B$3027,$B393)</f>
        <v>1</v>
      </c>
    </row>
    <row r="394" spans="1:20" x14ac:dyDescent="0.35">
      <c r="A394" s="3" t="s">
        <v>107</v>
      </c>
      <c r="B394" s="165">
        <v>45139</v>
      </c>
      <c r="C394" s="57" t="str">
        <f>IF($B394="","",YEAR($B394)&amp;"-"&amp;IFERROR(VLOOKUP(MONTH(B394),KEY!$AE$5:$AF$16,2,FALSE),""))</f>
        <v>2023-Q3</v>
      </c>
      <c r="D394" s="3" t="s">
        <v>115</v>
      </c>
      <c r="E394" s="219">
        <v>2</v>
      </c>
      <c r="F394" s="166">
        <v>53</v>
      </c>
      <c r="G394" s="166">
        <v>76</v>
      </c>
      <c r="H394" s="21">
        <v>158</v>
      </c>
      <c r="I394" s="21">
        <v>19</v>
      </c>
      <c r="J394" s="21">
        <v>71</v>
      </c>
      <c r="K394" s="21">
        <v>24</v>
      </c>
      <c r="L394" s="21">
        <v>50</v>
      </c>
      <c r="M394" s="21">
        <v>22</v>
      </c>
      <c r="N394" s="21">
        <v>53</v>
      </c>
      <c r="O394" s="19">
        <v>69</v>
      </c>
      <c r="P394" s="22" t="s">
        <v>194</v>
      </c>
      <c r="Q394" s="22" t="s">
        <v>194</v>
      </c>
      <c r="R394" s="20" t="s">
        <v>194</v>
      </c>
      <c r="S394" s="234">
        <f>COUNTIFS(INP_DATA!$R$5:$R$3027,S$4,INP_DATA!$D$5:$D$3027,$D394,INP_DATA!$B$5:$B$3027,$B394)</f>
        <v>0</v>
      </c>
      <c r="T394" s="235">
        <f>COUNTIFS(INP_DATA!$R$5:$R$3027,T$4,INP_DATA!$D$5:$D$3027,$D394,INP_DATA!$B$5:$B$3027,$B394)</f>
        <v>0</v>
      </c>
    </row>
    <row r="395" spans="1:20" x14ac:dyDescent="0.35">
      <c r="A395" s="3" t="s">
        <v>16</v>
      </c>
      <c r="B395" s="165">
        <v>45139</v>
      </c>
      <c r="C395" s="57" t="str">
        <f>IF($B395="","",YEAR($B395)&amp;"-"&amp;IFERROR(VLOOKUP(MONTH(B395),KEY!$AE$5:$AF$16,2,FALSE),""))</f>
        <v>2023-Q3</v>
      </c>
      <c r="D395" s="3" t="s">
        <v>116</v>
      </c>
      <c r="E395" s="219">
        <v>38</v>
      </c>
      <c r="F395" s="166">
        <v>156</v>
      </c>
      <c r="G395" s="166">
        <v>169</v>
      </c>
      <c r="H395" s="21">
        <v>230</v>
      </c>
      <c r="I395" s="21">
        <v>28</v>
      </c>
      <c r="J395" s="21">
        <v>145</v>
      </c>
      <c r="K395" s="21">
        <v>24</v>
      </c>
      <c r="L395" s="21">
        <v>245</v>
      </c>
      <c r="M395" s="21">
        <v>93</v>
      </c>
      <c r="N395" s="21">
        <v>158</v>
      </c>
      <c r="O395" s="19">
        <v>322</v>
      </c>
      <c r="P395" s="22">
        <v>30</v>
      </c>
      <c r="Q395" s="22">
        <v>6</v>
      </c>
      <c r="R395" s="20" t="s">
        <v>51</v>
      </c>
      <c r="S395" s="234">
        <f>COUNTIFS(INP_DATA!$R$5:$R$3027,S$4,INP_DATA!$D$5:$D$3027,$D395,INP_DATA!$B$5:$B$3027,$B395)</f>
        <v>0</v>
      </c>
      <c r="T395" s="235">
        <f>COUNTIFS(INP_DATA!$R$5:$R$3027,T$4,INP_DATA!$D$5:$D$3027,$D395,INP_DATA!$B$5:$B$3027,$B395)</f>
        <v>1</v>
      </c>
    </row>
    <row r="396" spans="1:20" x14ac:dyDescent="0.35">
      <c r="A396" s="3" t="s">
        <v>107</v>
      </c>
      <c r="B396" s="165">
        <v>45139</v>
      </c>
      <c r="C396" s="57" t="str">
        <f>IF($B396="","",YEAR($B396)&amp;"-"&amp;IFERROR(VLOOKUP(MONTH(B396),KEY!$AE$5:$AF$16,2,FALSE),""))</f>
        <v>2023-Q3</v>
      </c>
      <c r="D396" s="3" t="s">
        <v>117</v>
      </c>
      <c r="E396" s="219">
        <v>15</v>
      </c>
      <c r="F396" s="166">
        <v>133</v>
      </c>
      <c r="G396" s="166">
        <v>149</v>
      </c>
      <c r="H396" s="21">
        <v>204</v>
      </c>
      <c r="I396" s="21">
        <v>32</v>
      </c>
      <c r="J396" s="21">
        <v>119</v>
      </c>
      <c r="K396" s="21">
        <v>46</v>
      </c>
      <c r="L396" s="21">
        <v>212</v>
      </c>
      <c r="M396" s="21">
        <v>81</v>
      </c>
      <c r="N396" s="21">
        <v>136</v>
      </c>
      <c r="O396" s="19">
        <v>253</v>
      </c>
      <c r="P396" s="22">
        <v>63</v>
      </c>
      <c r="Q396" s="22">
        <v>25</v>
      </c>
      <c r="R396" s="20" t="s">
        <v>58</v>
      </c>
      <c r="S396" s="234">
        <f>COUNTIFS(INP_DATA!$R$5:$R$3027,S$4,INP_DATA!$D$5:$D$3027,$D396,INP_DATA!$B$5:$B$3027,$B396)</f>
        <v>1</v>
      </c>
      <c r="T396" s="235">
        <f>COUNTIFS(INP_DATA!$R$5:$R$3027,T$4,INP_DATA!$D$5:$D$3027,$D396,INP_DATA!$B$5:$B$3027,$B396)</f>
        <v>0</v>
      </c>
    </row>
    <row r="397" spans="1:20" x14ac:dyDescent="0.35">
      <c r="A397" s="3" t="s">
        <v>106</v>
      </c>
      <c r="B397" s="165">
        <v>45139</v>
      </c>
      <c r="C397" s="57" t="str">
        <f>IF($B397="","",YEAR($B397)&amp;"-"&amp;IFERROR(VLOOKUP(MONTH(B397),KEY!$AE$5:$AF$16,2,FALSE),""))</f>
        <v>2023-Q3</v>
      </c>
      <c r="D397" s="3" t="s">
        <v>118</v>
      </c>
      <c r="E397" s="219">
        <v>18</v>
      </c>
      <c r="F397" s="166">
        <v>228</v>
      </c>
      <c r="G397" s="166">
        <v>197</v>
      </c>
      <c r="H397" s="21">
        <v>659</v>
      </c>
      <c r="I397" s="21">
        <v>42</v>
      </c>
      <c r="J397" s="21">
        <v>309</v>
      </c>
      <c r="K397" s="21">
        <v>48</v>
      </c>
      <c r="L397" s="21">
        <v>327</v>
      </c>
      <c r="M397" s="21">
        <v>90</v>
      </c>
      <c r="N397" s="21">
        <v>229</v>
      </c>
      <c r="O397" s="19">
        <v>299</v>
      </c>
      <c r="P397" s="22">
        <v>61</v>
      </c>
      <c r="Q397" s="22">
        <v>43</v>
      </c>
      <c r="R397" s="20" t="s">
        <v>51</v>
      </c>
      <c r="S397" s="234">
        <f>COUNTIFS(INP_DATA!$R$5:$R$3027,S$4,INP_DATA!$D$5:$D$3027,$D397,INP_DATA!$B$5:$B$3027,$B397)</f>
        <v>0</v>
      </c>
      <c r="T397" s="235">
        <f>COUNTIFS(INP_DATA!$R$5:$R$3027,T$4,INP_DATA!$D$5:$D$3027,$D397,INP_DATA!$B$5:$B$3027,$B397)</f>
        <v>1</v>
      </c>
    </row>
    <row r="398" spans="1:20" x14ac:dyDescent="0.35">
      <c r="A398" s="3" t="s">
        <v>16</v>
      </c>
      <c r="B398" s="165">
        <v>45139</v>
      </c>
      <c r="C398" s="57" t="str">
        <f>IF($B398="","",YEAR($B398)&amp;"-"&amp;IFERROR(VLOOKUP(MONTH(B398),KEY!$AE$5:$AF$16,2,FALSE),""))</f>
        <v>2023-Q3</v>
      </c>
      <c r="D398" s="3" t="s">
        <v>119</v>
      </c>
      <c r="E398" s="219">
        <v>8</v>
      </c>
      <c r="F398" s="166">
        <v>20</v>
      </c>
      <c r="G398" s="166">
        <v>14</v>
      </c>
      <c r="H398" s="21">
        <v>26</v>
      </c>
      <c r="I398" s="21">
        <v>4</v>
      </c>
      <c r="J398" s="21">
        <v>44</v>
      </c>
      <c r="K398" s="21">
        <v>8</v>
      </c>
      <c r="L398" s="21">
        <v>160</v>
      </c>
      <c r="M398" s="21">
        <v>15</v>
      </c>
      <c r="N398" s="21">
        <v>20</v>
      </c>
      <c r="O398" s="19">
        <v>92</v>
      </c>
      <c r="P398" s="22">
        <v>1</v>
      </c>
      <c r="Q398" s="22">
        <v>0</v>
      </c>
      <c r="R398" s="20" t="s">
        <v>194</v>
      </c>
      <c r="S398" s="234">
        <f>COUNTIFS(INP_DATA!$R$5:$R$3027,S$4,INP_DATA!$D$5:$D$3027,$D398,INP_DATA!$B$5:$B$3027,$B398)</f>
        <v>0</v>
      </c>
      <c r="T398" s="235">
        <f>COUNTIFS(INP_DATA!$R$5:$R$3027,T$4,INP_DATA!$D$5:$D$3027,$D398,INP_DATA!$B$5:$B$3027,$B398)</f>
        <v>0</v>
      </c>
    </row>
    <row r="399" spans="1:20" x14ac:dyDescent="0.35">
      <c r="A399" s="3" t="s">
        <v>16</v>
      </c>
      <c r="B399" s="165">
        <v>45139</v>
      </c>
      <c r="C399" s="57" t="str">
        <f>IF($B399="","",YEAR($B399)&amp;"-"&amp;IFERROR(VLOOKUP(MONTH(B399),KEY!$AE$5:$AF$16,2,FALSE),""))</f>
        <v>2023-Q3</v>
      </c>
      <c r="D399" s="3" t="s">
        <v>120</v>
      </c>
      <c r="E399" s="219">
        <v>54</v>
      </c>
      <c r="F399" s="166">
        <v>322</v>
      </c>
      <c r="G399" s="166">
        <v>341</v>
      </c>
      <c r="H399" s="21">
        <v>786</v>
      </c>
      <c r="I399" s="21">
        <v>88</v>
      </c>
      <c r="J399" s="21">
        <v>342</v>
      </c>
      <c r="K399" s="21">
        <v>45</v>
      </c>
      <c r="L399" s="21">
        <v>499</v>
      </c>
      <c r="M399" s="21">
        <v>193</v>
      </c>
      <c r="N399" s="21">
        <v>329</v>
      </c>
      <c r="O399" s="19">
        <v>598</v>
      </c>
      <c r="P399" s="22">
        <v>64</v>
      </c>
      <c r="Q399" s="22">
        <v>43</v>
      </c>
      <c r="R399" s="20" t="s">
        <v>58</v>
      </c>
      <c r="S399" s="234">
        <f>COUNTIFS(INP_DATA!$R$5:$R$3027,S$4,INP_DATA!$D$5:$D$3027,$D399,INP_DATA!$B$5:$B$3027,$B399)</f>
        <v>1</v>
      </c>
      <c r="T399" s="235">
        <f>COUNTIFS(INP_DATA!$R$5:$R$3027,T$4,INP_DATA!$D$5:$D$3027,$D399,INP_DATA!$B$5:$B$3027,$B399)</f>
        <v>0</v>
      </c>
    </row>
    <row r="400" spans="1:20" x14ac:dyDescent="0.35">
      <c r="A400" s="3" t="s">
        <v>109</v>
      </c>
      <c r="B400" s="165">
        <v>45139</v>
      </c>
      <c r="C400" s="57" t="str">
        <f>IF($B400="","",YEAR($B400)&amp;"-"&amp;IFERROR(VLOOKUP(MONTH(B400),KEY!$AE$5:$AF$16,2,FALSE),""))</f>
        <v>2023-Q3</v>
      </c>
      <c r="D400" s="3" t="s">
        <v>121</v>
      </c>
      <c r="E400" s="219">
        <v>73</v>
      </c>
      <c r="F400" s="166">
        <v>249</v>
      </c>
      <c r="G400" s="166">
        <v>255</v>
      </c>
      <c r="H400" s="21">
        <v>755</v>
      </c>
      <c r="I400" s="21">
        <v>81</v>
      </c>
      <c r="J400" s="21">
        <v>324</v>
      </c>
      <c r="K400" s="21">
        <v>36</v>
      </c>
      <c r="L400" s="21">
        <v>576</v>
      </c>
      <c r="M400" s="21">
        <v>194</v>
      </c>
      <c r="N400" s="21">
        <v>251</v>
      </c>
      <c r="O400" s="19">
        <v>483</v>
      </c>
      <c r="P400" s="22">
        <v>18</v>
      </c>
      <c r="Q400" s="22">
        <v>14</v>
      </c>
      <c r="R400" s="20" t="s">
        <v>58</v>
      </c>
      <c r="S400" s="234">
        <f>COUNTIFS(INP_DATA!$R$5:$R$3027,S$4,INP_DATA!$D$5:$D$3027,$D400,INP_DATA!$B$5:$B$3027,$B400)</f>
        <v>1</v>
      </c>
      <c r="T400" s="235">
        <f>COUNTIFS(INP_DATA!$R$5:$R$3027,T$4,INP_DATA!$D$5:$D$3027,$D400,INP_DATA!$B$5:$B$3027,$B400)</f>
        <v>0</v>
      </c>
    </row>
    <row r="401" spans="1:20" x14ac:dyDescent="0.35">
      <c r="A401" s="3" t="s">
        <v>108</v>
      </c>
      <c r="B401" s="165">
        <v>45139</v>
      </c>
      <c r="C401" s="57" t="str">
        <f>IF($B401="","",YEAR($B401)&amp;"-"&amp;IFERROR(VLOOKUP(MONTH(B401),KEY!$AE$5:$AF$16,2,FALSE),""))</f>
        <v>2023-Q3</v>
      </c>
      <c r="D401" s="3" t="s">
        <v>122</v>
      </c>
      <c r="E401" s="219">
        <v>12</v>
      </c>
      <c r="F401" s="166">
        <v>98</v>
      </c>
      <c r="G401" s="166">
        <v>149</v>
      </c>
      <c r="H401" s="21">
        <v>322</v>
      </c>
      <c r="I401" s="21">
        <v>40</v>
      </c>
      <c r="J401" s="21">
        <v>128</v>
      </c>
      <c r="K401" s="21">
        <v>24</v>
      </c>
      <c r="L401" s="21">
        <v>197</v>
      </c>
      <c r="M401" s="21">
        <v>64</v>
      </c>
      <c r="N401" s="21">
        <v>99</v>
      </c>
      <c r="O401" s="19">
        <v>184</v>
      </c>
      <c r="P401" s="22" t="s">
        <v>194</v>
      </c>
      <c r="Q401" s="22" t="s">
        <v>194</v>
      </c>
      <c r="R401" s="20" t="s">
        <v>58</v>
      </c>
      <c r="S401" s="234">
        <f>COUNTIFS(INP_DATA!$R$5:$R$3027,S$4,INP_DATA!$D$5:$D$3027,$D401,INP_DATA!$B$5:$B$3027,$B401)</f>
        <v>1</v>
      </c>
      <c r="T401" s="235">
        <f>COUNTIFS(INP_DATA!$R$5:$R$3027,T$4,INP_DATA!$D$5:$D$3027,$D401,INP_DATA!$B$5:$B$3027,$B401)</f>
        <v>0</v>
      </c>
    </row>
    <row r="402" spans="1:20" x14ac:dyDescent="0.35">
      <c r="A402" s="3" t="s">
        <v>107</v>
      </c>
      <c r="B402" s="165">
        <v>45139</v>
      </c>
      <c r="C402" s="57" t="str">
        <f>IF($B402="","",YEAR($B402)&amp;"-"&amp;IFERROR(VLOOKUP(MONTH(B402),KEY!$AE$5:$AF$16,2,FALSE),""))</f>
        <v>2023-Q3</v>
      </c>
      <c r="D402" s="3" t="s">
        <v>123</v>
      </c>
      <c r="E402" s="219">
        <v>52</v>
      </c>
      <c r="F402" s="166">
        <v>197</v>
      </c>
      <c r="G402" s="166">
        <v>223</v>
      </c>
      <c r="H402" s="21">
        <v>374</v>
      </c>
      <c r="I402" s="21">
        <v>55</v>
      </c>
      <c r="J402" s="21">
        <v>176</v>
      </c>
      <c r="K402" s="21">
        <v>33</v>
      </c>
      <c r="L402" s="21">
        <v>393</v>
      </c>
      <c r="M402" s="21">
        <v>159</v>
      </c>
      <c r="N402" s="21">
        <v>199</v>
      </c>
      <c r="O402" s="19">
        <v>414</v>
      </c>
      <c r="P402" s="22">
        <v>34</v>
      </c>
      <c r="Q402" s="22">
        <v>22</v>
      </c>
      <c r="R402" s="20" t="s">
        <v>58</v>
      </c>
      <c r="S402" s="234">
        <f>COUNTIFS(INP_DATA!$R$5:$R$3027,S$4,INP_DATA!$D$5:$D$3027,$D402,INP_DATA!$B$5:$B$3027,$B402)</f>
        <v>1</v>
      </c>
      <c r="T402" s="235">
        <f>COUNTIFS(INP_DATA!$R$5:$R$3027,T$4,INP_DATA!$D$5:$D$3027,$D402,INP_DATA!$B$5:$B$3027,$B402)</f>
        <v>0</v>
      </c>
    </row>
    <row r="403" spans="1:20" x14ac:dyDescent="0.35">
      <c r="A403" s="3" t="s">
        <v>108</v>
      </c>
      <c r="B403" s="165">
        <v>45139</v>
      </c>
      <c r="C403" s="57" t="str">
        <f>IF($B403="","",YEAR($B403)&amp;"-"&amp;IFERROR(VLOOKUP(MONTH(B403),KEY!$AE$5:$AF$16,2,FALSE),""))</f>
        <v>2023-Q3</v>
      </c>
      <c r="D403" s="3" t="s">
        <v>124</v>
      </c>
      <c r="E403" s="219">
        <v>88</v>
      </c>
      <c r="F403" s="166">
        <v>249</v>
      </c>
      <c r="G403" s="166">
        <v>268</v>
      </c>
      <c r="H403" s="21">
        <v>468</v>
      </c>
      <c r="I403" s="21">
        <v>58</v>
      </c>
      <c r="J403" s="21">
        <v>200</v>
      </c>
      <c r="K403" s="21">
        <v>36</v>
      </c>
      <c r="L403" s="21">
        <v>389</v>
      </c>
      <c r="M403" s="21">
        <v>147</v>
      </c>
      <c r="N403" s="21">
        <v>250</v>
      </c>
      <c r="O403" s="19">
        <v>391</v>
      </c>
      <c r="P403" s="22">
        <v>50</v>
      </c>
      <c r="Q403" s="22">
        <v>37</v>
      </c>
      <c r="R403" s="20" t="s">
        <v>58</v>
      </c>
      <c r="S403" s="234">
        <f>COUNTIFS(INP_DATA!$R$5:$R$3027,S$4,INP_DATA!$D$5:$D$3027,$D403,INP_DATA!$B$5:$B$3027,$B403)</f>
        <v>1</v>
      </c>
      <c r="T403" s="235">
        <f>COUNTIFS(INP_DATA!$R$5:$R$3027,T$4,INP_DATA!$D$5:$D$3027,$D403,INP_DATA!$B$5:$B$3027,$B403)</f>
        <v>0</v>
      </c>
    </row>
    <row r="404" spans="1:20" x14ac:dyDescent="0.35">
      <c r="A404" s="3" t="s">
        <v>106</v>
      </c>
      <c r="B404" s="165">
        <v>45139</v>
      </c>
      <c r="C404" s="57" t="str">
        <f>IF($B404="","",YEAR($B404)&amp;"-"&amp;IFERROR(VLOOKUP(MONTH(B404),KEY!$AE$5:$AF$16,2,FALSE),""))</f>
        <v>2023-Q3</v>
      </c>
      <c r="D404" s="3" t="s">
        <v>195</v>
      </c>
      <c r="E404" s="219">
        <v>13</v>
      </c>
      <c r="F404" s="166">
        <v>44</v>
      </c>
      <c r="G404" s="166">
        <v>29</v>
      </c>
      <c r="H404" s="21">
        <v>131</v>
      </c>
      <c r="I404" s="21">
        <v>16</v>
      </c>
      <c r="J404" s="21">
        <v>33</v>
      </c>
      <c r="K404" s="21">
        <v>7</v>
      </c>
      <c r="L404" s="21">
        <v>70</v>
      </c>
      <c r="M404" s="21">
        <v>34</v>
      </c>
      <c r="N404" s="21">
        <v>44</v>
      </c>
      <c r="O404" s="19">
        <v>115</v>
      </c>
      <c r="P404" s="22">
        <v>10</v>
      </c>
      <c r="Q404" s="22">
        <v>8</v>
      </c>
      <c r="R404" s="20" t="s">
        <v>58</v>
      </c>
      <c r="S404" s="234">
        <f>COUNTIFS(INP_DATA!$R$5:$R$3027,S$4,INP_DATA!$D$5:$D$3027,$D404,INP_DATA!$B$5:$B$3027,$B404)</f>
        <v>1</v>
      </c>
      <c r="T404" s="235">
        <f>COUNTIFS(INP_DATA!$R$5:$R$3027,T$4,INP_DATA!$D$5:$D$3027,$D404,INP_DATA!$B$5:$B$3027,$B404)</f>
        <v>0</v>
      </c>
    </row>
    <row r="405" spans="1:20" x14ac:dyDescent="0.35">
      <c r="A405" s="3" t="s">
        <v>106</v>
      </c>
      <c r="B405" s="165">
        <v>45139</v>
      </c>
      <c r="C405" s="57" t="str">
        <f>IF($B405="","",YEAR($B405)&amp;"-"&amp;IFERROR(VLOOKUP(MONTH(B405),KEY!$AE$5:$AF$16,2,FALSE),""))</f>
        <v>2023-Q3</v>
      </c>
      <c r="D405" s="3" t="s">
        <v>125</v>
      </c>
      <c r="E405" s="219">
        <v>38</v>
      </c>
      <c r="F405" s="166">
        <v>251</v>
      </c>
      <c r="G405" s="166">
        <v>246</v>
      </c>
      <c r="H405" s="21">
        <v>581</v>
      </c>
      <c r="I405" s="21">
        <v>78</v>
      </c>
      <c r="J405" s="21">
        <v>236</v>
      </c>
      <c r="K405" s="21">
        <v>47</v>
      </c>
      <c r="L405" s="21">
        <v>592</v>
      </c>
      <c r="M405" s="21">
        <v>102</v>
      </c>
      <c r="N405" s="21">
        <v>264</v>
      </c>
      <c r="O405" s="19">
        <v>437</v>
      </c>
      <c r="P405" s="22">
        <v>35</v>
      </c>
      <c r="Q405" s="22">
        <v>29</v>
      </c>
      <c r="R405" s="20" t="s">
        <v>58</v>
      </c>
      <c r="S405" s="234">
        <f>COUNTIFS(INP_DATA!$R$5:$R$3027,S$4,INP_DATA!$D$5:$D$3027,$D405,INP_DATA!$B$5:$B$3027,$B405)</f>
        <v>1</v>
      </c>
      <c r="T405" s="235">
        <f>COUNTIFS(INP_DATA!$R$5:$R$3027,T$4,INP_DATA!$D$5:$D$3027,$D405,INP_DATA!$B$5:$B$3027,$B405)</f>
        <v>0</v>
      </c>
    </row>
    <row r="406" spans="1:20" x14ac:dyDescent="0.35">
      <c r="A406" s="3" t="s">
        <v>107</v>
      </c>
      <c r="B406" s="165">
        <v>45139</v>
      </c>
      <c r="C406" s="57" t="str">
        <f>IF($B406="","",YEAR($B406)&amp;"-"&amp;IFERROR(VLOOKUP(MONTH(B406),KEY!$AE$5:$AF$16,2,FALSE),""))</f>
        <v>2023-Q3</v>
      </c>
      <c r="D406" s="3" t="s">
        <v>126</v>
      </c>
      <c r="E406" s="219">
        <v>94</v>
      </c>
      <c r="F406" s="166">
        <v>466</v>
      </c>
      <c r="G406" s="166">
        <v>495</v>
      </c>
      <c r="H406" s="21">
        <v>721</v>
      </c>
      <c r="I406" s="21">
        <v>114</v>
      </c>
      <c r="J406" s="21">
        <v>479</v>
      </c>
      <c r="K406" s="21">
        <v>135</v>
      </c>
      <c r="L406" s="21">
        <v>680</v>
      </c>
      <c r="M406" s="21">
        <v>260</v>
      </c>
      <c r="N406" s="21">
        <v>470</v>
      </c>
      <c r="O406" s="19">
        <v>713</v>
      </c>
      <c r="P406" s="22">
        <v>141</v>
      </c>
      <c r="Q406" s="22">
        <v>89</v>
      </c>
      <c r="R406" s="20" t="s">
        <v>58</v>
      </c>
      <c r="S406" s="234">
        <f>COUNTIFS(INP_DATA!$R$5:$R$3027,S$4,INP_DATA!$D$5:$D$3027,$D406,INP_DATA!$B$5:$B$3027,$B406)</f>
        <v>1</v>
      </c>
      <c r="T406" s="235">
        <f>COUNTIFS(INP_DATA!$R$5:$R$3027,T$4,INP_DATA!$D$5:$D$3027,$D406,INP_DATA!$B$5:$B$3027,$B406)</f>
        <v>0</v>
      </c>
    </row>
    <row r="407" spans="1:20" x14ac:dyDescent="0.35">
      <c r="A407" s="3" t="s">
        <v>107</v>
      </c>
      <c r="B407" s="165">
        <v>45139</v>
      </c>
      <c r="C407" s="57" t="str">
        <f>IF($B407="","",YEAR($B407)&amp;"-"&amp;IFERROR(VLOOKUP(MONTH(B407),KEY!$AE$5:$AF$16,2,FALSE),""))</f>
        <v>2023-Q3</v>
      </c>
      <c r="D407" s="3" t="s">
        <v>127</v>
      </c>
      <c r="E407" s="219">
        <v>7</v>
      </c>
      <c r="F407" s="166">
        <v>41</v>
      </c>
      <c r="G407" s="166">
        <v>61</v>
      </c>
      <c r="H407" s="21">
        <v>123</v>
      </c>
      <c r="I407" s="21">
        <v>9</v>
      </c>
      <c r="J407" s="21">
        <v>42</v>
      </c>
      <c r="K407" s="21">
        <v>7</v>
      </c>
      <c r="L407" s="21">
        <v>90</v>
      </c>
      <c r="M407" s="21">
        <v>30</v>
      </c>
      <c r="N407" s="21">
        <v>41</v>
      </c>
      <c r="O407" s="19">
        <v>115</v>
      </c>
      <c r="P407" s="22">
        <v>16</v>
      </c>
      <c r="Q407" s="22">
        <v>8</v>
      </c>
      <c r="R407" s="20" t="s">
        <v>58</v>
      </c>
      <c r="S407" s="234">
        <f>COUNTIFS(INP_DATA!$R$5:$R$3027,S$4,INP_DATA!$D$5:$D$3027,$D407,INP_DATA!$B$5:$B$3027,$B407)</f>
        <v>1</v>
      </c>
      <c r="T407" s="235">
        <f>COUNTIFS(INP_DATA!$R$5:$R$3027,T$4,INP_DATA!$D$5:$D$3027,$D407,INP_DATA!$B$5:$B$3027,$B407)</f>
        <v>0</v>
      </c>
    </row>
    <row r="408" spans="1:20" x14ac:dyDescent="0.35">
      <c r="A408" s="3" t="s">
        <v>109</v>
      </c>
      <c r="B408" s="165">
        <v>45139</v>
      </c>
      <c r="C408" s="57" t="str">
        <f>IF($B408="","",YEAR($B408)&amp;"-"&amp;IFERROR(VLOOKUP(MONTH(B408),KEY!$AE$5:$AF$16,2,FALSE),""))</f>
        <v>2023-Q3</v>
      </c>
      <c r="D408" s="3" t="s">
        <v>128</v>
      </c>
      <c r="E408" s="219">
        <v>1</v>
      </c>
      <c r="F408" s="166">
        <v>256</v>
      </c>
      <c r="G408" s="166">
        <v>218</v>
      </c>
      <c r="H408" s="21">
        <v>700</v>
      </c>
      <c r="I408" s="21">
        <v>81</v>
      </c>
      <c r="J408" s="21">
        <v>424</v>
      </c>
      <c r="K408" s="21">
        <v>87</v>
      </c>
      <c r="L408" s="21">
        <v>510</v>
      </c>
      <c r="M408" s="21">
        <v>163</v>
      </c>
      <c r="N408" s="21">
        <v>254</v>
      </c>
      <c r="O408" s="19">
        <v>345</v>
      </c>
      <c r="P408" s="22" t="s">
        <v>194</v>
      </c>
      <c r="Q408" s="22" t="s">
        <v>194</v>
      </c>
      <c r="R408" s="20" t="s">
        <v>51</v>
      </c>
      <c r="S408" s="234">
        <f>COUNTIFS(INP_DATA!$R$5:$R$3027,S$4,INP_DATA!$D$5:$D$3027,$D408,INP_DATA!$B$5:$B$3027,$B408)</f>
        <v>0</v>
      </c>
      <c r="T408" s="235">
        <f>COUNTIFS(INP_DATA!$R$5:$R$3027,T$4,INP_DATA!$D$5:$D$3027,$D408,INP_DATA!$B$5:$B$3027,$B408)</f>
        <v>1</v>
      </c>
    </row>
    <row r="409" spans="1:20" x14ac:dyDescent="0.35">
      <c r="A409" s="3" t="s">
        <v>106</v>
      </c>
      <c r="B409" s="165">
        <v>45139</v>
      </c>
      <c r="C409" s="57" t="str">
        <f>IF($B409="","",YEAR($B409)&amp;"-"&amp;IFERROR(VLOOKUP(MONTH(B409),KEY!$AE$5:$AF$16,2,FALSE),""))</f>
        <v>2023-Q3</v>
      </c>
      <c r="D409" s="3" t="s">
        <v>129</v>
      </c>
      <c r="E409" s="219">
        <v>31</v>
      </c>
      <c r="F409" s="166">
        <v>169</v>
      </c>
      <c r="G409" s="166">
        <v>131</v>
      </c>
      <c r="H409" s="21">
        <v>220</v>
      </c>
      <c r="I409" s="21">
        <v>32</v>
      </c>
      <c r="J409" s="21">
        <v>189</v>
      </c>
      <c r="K409" s="21">
        <v>26</v>
      </c>
      <c r="L409" s="21">
        <v>293</v>
      </c>
      <c r="M409" s="21">
        <v>57</v>
      </c>
      <c r="N409" s="21">
        <v>172</v>
      </c>
      <c r="O409" s="19">
        <v>322</v>
      </c>
      <c r="P409" s="22">
        <v>44</v>
      </c>
      <c r="Q409" s="22">
        <v>29</v>
      </c>
      <c r="R409" s="20" t="s">
        <v>58</v>
      </c>
      <c r="S409" s="234">
        <f>COUNTIFS(INP_DATA!$R$5:$R$3027,S$4,INP_DATA!$D$5:$D$3027,$D409,INP_DATA!$B$5:$B$3027,$B409)</f>
        <v>1</v>
      </c>
      <c r="T409" s="235">
        <f>COUNTIFS(INP_DATA!$R$5:$R$3027,T$4,INP_DATA!$D$5:$D$3027,$D409,INP_DATA!$B$5:$B$3027,$B409)</f>
        <v>0</v>
      </c>
    </row>
    <row r="410" spans="1:20" x14ac:dyDescent="0.35">
      <c r="A410" s="3" t="s">
        <v>108</v>
      </c>
      <c r="B410" s="165">
        <v>45139</v>
      </c>
      <c r="C410" s="57" t="str">
        <f>IF($B410="","",YEAR($B410)&amp;"-"&amp;IFERROR(VLOOKUP(MONTH(B410),KEY!$AE$5:$AF$16,2,FALSE),""))</f>
        <v>2023-Q3</v>
      </c>
      <c r="D410" s="3" t="s">
        <v>130</v>
      </c>
      <c r="E410" s="219">
        <v>26</v>
      </c>
      <c r="F410" s="166">
        <v>178</v>
      </c>
      <c r="G410" s="166">
        <v>100</v>
      </c>
      <c r="H410" s="21">
        <v>377</v>
      </c>
      <c r="I410" s="21">
        <v>52</v>
      </c>
      <c r="J410" s="21">
        <v>234</v>
      </c>
      <c r="K410" s="21">
        <v>61</v>
      </c>
      <c r="L410" s="21">
        <v>221</v>
      </c>
      <c r="M410" s="21">
        <v>89</v>
      </c>
      <c r="N410" s="21">
        <v>180</v>
      </c>
      <c r="O410" s="19">
        <v>207</v>
      </c>
      <c r="P410" s="22">
        <v>32</v>
      </c>
      <c r="Q410" s="22">
        <v>20</v>
      </c>
      <c r="R410" s="20" t="s">
        <v>51</v>
      </c>
      <c r="S410" s="234">
        <f>COUNTIFS(INP_DATA!$R$5:$R$3027,S$4,INP_DATA!$D$5:$D$3027,$D410,INP_DATA!$B$5:$B$3027,$B410)</f>
        <v>0</v>
      </c>
      <c r="T410" s="235">
        <f>COUNTIFS(INP_DATA!$R$5:$R$3027,T$4,INP_DATA!$D$5:$D$3027,$D410,INP_DATA!$B$5:$B$3027,$B410)</f>
        <v>1</v>
      </c>
    </row>
    <row r="411" spans="1:20" x14ac:dyDescent="0.35">
      <c r="A411" s="3" t="s">
        <v>109</v>
      </c>
      <c r="B411" s="165">
        <v>45139</v>
      </c>
      <c r="C411" s="57" t="str">
        <f>IF($B411="","",YEAR($B411)&amp;"-"&amp;IFERROR(VLOOKUP(MONTH(B411),KEY!$AE$5:$AF$16,2,FALSE),""))</f>
        <v>2023-Q3</v>
      </c>
      <c r="D411" s="3" t="s">
        <v>131</v>
      </c>
      <c r="E411" s="219">
        <v>35</v>
      </c>
      <c r="F411" s="166">
        <v>167</v>
      </c>
      <c r="G411" s="166">
        <v>161</v>
      </c>
      <c r="H411" s="21">
        <v>145</v>
      </c>
      <c r="I411" s="21">
        <v>27</v>
      </c>
      <c r="J411" s="21">
        <v>144</v>
      </c>
      <c r="K411" s="21">
        <v>28</v>
      </c>
      <c r="L411" s="21">
        <v>299</v>
      </c>
      <c r="M411" s="21">
        <v>73</v>
      </c>
      <c r="N411" s="21">
        <v>176</v>
      </c>
      <c r="O411" s="19">
        <v>299</v>
      </c>
      <c r="P411" s="22">
        <v>5</v>
      </c>
      <c r="Q411" s="22">
        <v>4</v>
      </c>
      <c r="R411" s="20" t="s">
        <v>58</v>
      </c>
      <c r="S411" s="234">
        <f>COUNTIFS(INP_DATA!$R$5:$R$3027,S$4,INP_DATA!$D$5:$D$3027,$D411,INP_DATA!$B$5:$B$3027,$B411)</f>
        <v>1</v>
      </c>
      <c r="T411" s="235">
        <f>COUNTIFS(INP_DATA!$R$5:$R$3027,T$4,INP_DATA!$D$5:$D$3027,$D411,INP_DATA!$B$5:$B$3027,$B411)</f>
        <v>0</v>
      </c>
    </row>
    <row r="412" spans="1:20" x14ac:dyDescent="0.35">
      <c r="A412" s="3" t="s">
        <v>108</v>
      </c>
      <c r="B412" s="165">
        <v>45139</v>
      </c>
      <c r="C412" s="57" t="str">
        <f>IF($B412="","",YEAR($B412)&amp;"-"&amp;IFERROR(VLOOKUP(MONTH(B412),KEY!$AE$5:$AF$16,2,FALSE),""))</f>
        <v>2023-Q3</v>
      </c>
      <c r="D412" s="3" t="s">
        <v>134</v>
      </c>
      <c r="E412" s="219">
        <v>13</v>
      </c>
      <c r="F412" s="166">
        <v>41</v>
      </c>
      <c r="G412" s="166">
        <v>41</v>
      </c>
      <c r="H412" s="21">
        <v>66</v>
      </c>
      <c r="I412" s="21">
        <v>13</v>
      </c>
      <c r="J412" s="21">
        <v>28</v>
      </c>
      <c r="K412" s="21">
        <v>5</v>
      </c>
      <c r="L412" s="21">
        <v>61</v>
      </c>
      <c r="M412" s="21">
        <v>26</v>
      </c>
      <c r="N412" s="21">
        <v>41</v>
      </c>
      <c r="O412" s="19">
        <v>92</v>
      </c>
      <c r="P412" s="22">
        <v>20</v>
      </c>
      <c r="Q412" s="22">
        <v>14</v>
      </c>
      <c r="R412" s="20" t="s">
        <v>51</v>
      </c>
      <c r="S412" s="234">
        <f>COUNTIFS(INP_DATA!$R$5:$R$3027,S$4,INP_DATA!$D$5:$D$3027,$D412,INP_DATA!$B$5:$B$3027,$B412)</f>
        <v>0</v>
      </c>
      <c r="T412" s="235">
        <f>COUNTIFS(INP_DATA!$R$5:$R$3027,T$4,INP_DATA!$D$5:$D$3027,$D412,INP_DATA!$B$5:$B$3027,$B412)</f>
        <v>1</v>
      </c>
    </row>
    <row r="413" spans="1:20" x14ac:dyDescent="0.35">
      <c r="A413" s="3" t="s">
        <v>108</v>
      </c>
      <c r="B413" s="165">
        <v>45139</v>
      </c>
      <c r="C413" s="57" t="str">
        <f>IF($B413="","",YEAR($B413)&amp;"-"&amp;IFERROR(VLOOKUP(MONTH(B413),KEY!$AE$5:$AF$16,2,FALSE),""))</f>
        <v>2023-Q3</v>
      </c>
      <c r="D413" s="3" t="s">
        <v>135</v>
      </c>
      <c r="E413" s="219">
        <v>56</v>
      </c>
      <c r="F413" s="166">
        <v>229</v>
      </c>
      <c r="G413" s="166">
        <v>255</v>
      </c>
      <c r="H413" s="21">
        <v>453</v>
      </c>
      <c r="I413" s="21">
        <v>62</v>
      </c>
      <c r="J413" s="21">
        <v>228</v>
      </c>
      <c r="K413" s="21">
        <v>54</v>
      </c>
      <c r="L413" s="21">
        <v>660</v>
      </c>
      <c r="M413" s="21">
        <v>120</v>
      </c>
      <c r="N413" s="21">
        <v>237</v>
      </c>
      <c r="O413" s="19">
        <v>368</v>
      </c>
      <c r="P413" s="22">
        <v>26</v>
      </c>
      <c r="Q413" s="22">
        <v>17</v>
      </c>
      <c r="R413" s="20" t="s">
        <v>51</v>
      </c>
      <c r="S413" s="234">
        <f>COUNTIFS(INP_DATA!$R$5:$R$3027,S$4,INP_DATA!$D$5:$D$3027,$D413,INP_DATA!$B$5:$B$3027,$B413)</f>
        <v>0</v>
      </c>
      <c r="T413" s="235">
        <f>COUNTIFS(INP_DATA!$R$5:$R$3027,T$4,INP_DATA!$D$5:$D$3027,$D413,INP_DATA!$B$5:$B$3027,$B413)</f>
        <v>1</v>
      </c>
    </row>
    <row r="414" spans="1:20" x14ac:dyDescent="0.35">
      <c r="A414" s="3" t="s">
        <v>16</v>
      </c>
      <c r="B414" s="165">
        <v>45139</v>
      </c>
      <c r="C414" s="57" t="str">
        <f>IF($B414="","",YEAR($B414)&amp;"-"&amp;IFERROR(VLOOKUP(MONTH(B414),KEY!$AE$5:$AF$16,2,FALSE),""))</f>
        <v>2023-Q3</v>
      </c>
      <c r="D414" s="3" t="s">
        <v>196</v>
      </c>
      <c r="E414" s="219">
        <v>13</v>
      </c>
      <c r="F414" s="166">
        <v>41</v>
      </c>
      <c r="G414" s="166">
        <v>25</v>
      </c>
      <c r="H414" s="21">
        <v>96</v>
      </c>
      <c r="I414" s="21">
        <v>11</v>
      </c>
      <c r="J414" s="21">
        <v>61</v>
      </c>
      <c r="K414" s="21">
        <v>8</v>
      </c>
      <c r="L414" s="21">
        <v>77</v>
      </c>
      <c r="M414" s="21">
        <v>39</v>
      </c>
      <c r="N414" s="21">
        <v>41</v>
      </c>
      <c r="O414" s="19">
        <v>92</v>
      </c>
      <c r="P414" s="22">
        <v>6</v>
      </c>
      <c r="Q414" s="22">
        <v>6</v>
      </c>
      <c r="R414" s="20" t="s">
        <v>58</v>
      </c>
      <c r="S414" s="234">
        <f>COUNTIFS(INP_DATA!$R$5:$R$3027,S$4,INP_DATA!$D$5:$D$3027,$D414,INP_DATA!$B$5:$B$3027,$B414)</f>
        <v>1</v>
      </c>
      <c r="T414" s="235">
        <f>COUNTIFS(INP_DATA!$R$5:$R$3027,T$4,INP_DATA!$D$5:$D$3027,$D414,INP_DATA!$B$5:$B$3027,$B414)</f>
        <v>0</v>
      </c>
    </row>
    <row r="415" spans="1:20" x14ac:dyDescent="0.35">
      <c r="A415" s="3" t="s">
        <v>16</v>
      </c>
      <c r="B415" s="165">
        <v>45139</v>
      </c>
      <c r="C415" s="57" t="str">
        <f>IF($B415="","",YEAR($B415)&amp;"-"&amp;IFERROR(VLOOKUP(MONTH(B415),KEY!$AE$5:$AF$16,2,FALSE),""))</f>
        <v>2023-Q3</v>
      </c>
      <c r="D415" s="3" t="s">
        <v>197</v>
      </c>
      <c r="E415" s="219">
        <v>22</v>
      </c>
      <c r="F415" s="166">
        <v>77</v>
      </c>
      <c r="G415" s="166">
        <v>61</v>
      </c>
      <c r="H415" s="21">
        <v>104</v>
      </c>
      <c r="I415" s="21">
        <v>16</v>
      </c>
      <c r="J415" s="21">
        <v>81</v>
      </c>
      <c r="K415" s="21">
        <v>16</v>
      </c>
      <c r="L415" s="21">
        <v>123</v>
      </c>
      <c r="M415" s="21">
        <v>62</v>
      </c>
      <c r="N415" s="21">
        <v>81</v>
      </c>
      <c r="O415" s="19">
        <v>207</v>
      </c>
      <c r="P415" s="22">
        <v>12</v>
      </c>
      <c r="Q415" s="22">
        <v>10</v>
      </c>
      <c r="R415" s="20" t="s">
        <v>58</v>
      </c>
      <c r="S415" s="234">
        <f>COUNTIFS(INP_DATA!$R$5:$R$3027,S$4,INP_DATA!$D$5:$D$3027,$D415,INP_DATA!$B$5:$B$3027,$B415)</f>
        <v>1</v>
      </c>
      <c r="T415" s="235">
        <f>COUNTIFS(INP_DATA!$R$5:$R$3027,T$4,INP_DATA!$D$5:$D$3027,$D415,INP_DATA!$B$5:$B$3027,$B415)</f>
        <v>0</v>
      </c>
    </row>
    <row r="416" spans="1:20" x14ac:dyDescent="0.35">
      <c r="A416" s="3" t="s">
        <v>109</v>
      </c>
      <c r="B416" s="165">
        <v>45139</v>
      </c>
      <c r="C416" s="57" t="str">
        <f>IF($B416="","",YEAR($B416)&amp;"-"&amp;IFERROR(VLOOKUP(MONTH(B416),KEY!$AE$5:$AF$16,2,FALSE),""))</f>
        <v>2023-Q3</v>
      </c>
      <c r="D416" s="3" t="s">
        <v>136</v>
      </c>
      <c r="E416" s="219">
        <v>66</v>
      </c>
      <c r="F416" s="166">
        <v>245</v>
      </c>
      <c r="G416" s="166">
        <v>218</v>
      </c>
      <c r="H416" s="21">
        <v>534</v>
      </c>
      <c r="I416" s="21">
        <v>51</v>
      </c>
      <c r="J416" s="21">
        <v>472</v>
      </c>
      <c r="K416" s="21">
        <v>47</v>
      </c>
      <c r="L416" s="21">
        <v>276</v>
      </c>
      <c r="M416" s="21">
        <v>114</v>
      </c>
      <c r="N416" s="21">
        <v>266</v>
      </c>
      <c r="O416" s="19">
        <v>345</v>
      </c>
      <c r="P416" s="22">
        <v>50</v>
      </c>
      <c r="Q416" s="22">
        <v>37</v>
      </c>
      <c r="R416" s="20" t="s">
        <v>51</v>
      </c>
      <c r="S416" s="234">
        <f>COUNTIFS(INP_DATA!$R$5:$R$3027,S$4,INP_DATA!$D$5:$D$3027,$D416,INP_DATA!$B$5:$B$3027,$B416)</f>
        <v>0</v>
      </c>
      <c r="T416" s="235">
        <f>COUNTIFS(INP_DATA!$R$5:$R$3027,T$4,INP_DATA!$D$5:$D$3027,$D416,INP_DATA!$B$5:$B$3027,$B416)</f>
        <v>1</v>
      </c>
    </row>
    <row r="417" spans="1:20" x14ac:dyDescent="0.35">
      <c r="A417" s="3" t="s">
        <v>16</v>
      </c>
      <c r="B417" s="165">
        <v>45139</v>
      </c>
      <c r="C417" s="57" t="str">
        <f>IF($B417="","",YEAR($B417)&amp;"-"&amp;IFERROR(VLOOKUP(MONTH(B417),KEY!$AE$5:$AF$16,2,FALSE),""))</f>
        <v>2023-Q3</v>
      </c>
      <c r="D417" s="3" t="s">
        <v>137</v>
      </c>
      <c r="E417" s="219">
        <v>13</v>
      </c>
      <c r="F417" s="166">
        <v>94</v>
      </c>
      <c r="G417" s="166">
        <v>76</v>
      </c>
      <c r="H417" s="21">
        <v>228</v>
      </c>
      <c r="I417" s="21">
        <v>27</v>
      </c>
      <c r="J417" s="21">
        <v>161</v>
      </c>
      <c r="K417" s="21">
        <v>34</v>
      </c>
      <c r="L417" s="21">
        <v>160</v>
      </c>
      <c r="M417" s="21">
        <v>71</v>
      </c>
      <c r="N417" s="21">
        <v>97</v>
      </c>
      <c r="O417" s="19">
        <v>207</v>
      </c>
      <c r="P417" s="22">
        <v>10</v>
      </c>
      <c r="Q417" s="22">
        <v>0</v>
      </c>
      <c r="R417" s="20" t="s">
        <v>58</v>
      </c>
      <c r="S417" s="234">
        <f>COUNTIFS(INP_DATA!$R$5:$R$3027,S$4,INP_DATA!$D$5:$D$3027,$D417,INP_DATA!$B$5:$B$3027,$B417)</f>
        <v>1</v>
      </c>
      <c r="T417" s="235">
        <f>COUNTIFS(INP_DATA!$R$5:$R$3027,T$4,INP_DATA!$D$5:$D$3027,$D417,INP_DATA!$B$5:$B$3027,$B417)</f>
        <v>0</v>
      </c>
    </row>
    <row r="418" spans="1:20" x14ac:dyDescent="0.35">
      <c r="A418" s="3" t="s">
        <v>109</v>
      </c>
      <c r="B418" s="165">
        <v>45139</v>
      </c>
      <c r="C418" s="57" t="str">
        <f>IF($B418="","",YEAR($B418)&amp;"-"&amp;IFERROR(VLOOKUP(MONTH(B418),KEY!$AE$5:$AF$16,2,FALSE),""))</f>
        <v>2023-Q3</v>
      </c>
      <c r="D418" s="3" t="s">
        <v>138</v>
      </c>
      <c r="E418" s="219">
        <v>20</v>
      </c>
      <c r="F418" s="166">
        <v>119</v>
      </c>
      <c r="G418" s="166">
        <v>99</v>
      </c>
      <c r="H418" s="21">
        <v>257</v>
      </c>
      <c r="I418" s="21">
        <v>37</v>
      </c>
      <c r="J418" s="21">
        <v>162</v>
      </c>
      <c r="K418" s="21">
        <v>33</v>
      </c>
      <c r="L418" s="21">
        <v>240</v>
      </c>
      <c r="M418" s="21">
        <v>86</v>
      </c>
      <c r="N418" s="21">
        <v>121</v>
      </c>
      <c r="O418" s="19">
        <v>161</v>
      </c>
      <c r="P418" s="22">
        <v>19</v>
      </c>
      <c r="Q418" s="22">
        <v>13</v>
      </c>
      <c r="R418" s="20" t="s">
        <v>58</v>
      </c>
      <c r="S418" s="234">
        <f>COUNTIFS(INP_DATA!$R$5:$R$3027,S$4,INP_DATA!$D$5:$D$3027,$D418,INP_DATA!$B$5:$B$3027,$B418)</f>
        <v>1</v>
      </c>
      <c r="T418" s="235">
        <f>COUNTIFS(INP_DATA!$R$5:$R$3027,T$4,INP_DATA!$D$5:$D$3027,$D418,INP_DATA!$B$5:$B$3027,$B418)</f>
        <v>0</v>
      </c>
    </row>
    <row r="419" spans="1:20" x14ac:dyDescent="0.35">
      <c r="A419" s="3" t="s">
        <v>108</v>
      </c>
      <c r="B419" s="165">
        <v>45139</v>
      </c>
      <c r="C419" s="57" t="str">
        <f>IF($B419="","",YEAR($B419)&amp;"-"&amp;IFERROR(VLOOKUP(MONTH(B419),KEY!$AE$5:$AF$16,2,FALSE),""))</f>
        <v>2023-Q3</v>
      </c>
      <c r="D419" s="3" t="s">
        <v>139</v>
      </c>
      <c r="E419" s="219">
        <v>27</v>
      </c>
      <c r="F419" s="166">
        <v>152</v>
      </c>
      <c r="G419" s="166">
        <v>177</v>
      </c>
      <c r="H419" s="21">
        <v>277</v>
      </c>
      <c r="I419" s="21">
        <v>44</v>
      </c>
      <c r="J419" s="21">
        <v>146</v>
      </c>
      <c r="K419" s="21">
        <v>36</v>
      </c>
      <c r="L419" s="21">
        <v>378</v>
      </c>
      <c r="M419" s="21">
        <v>98</v>
      </c>
      <c r="N419" s="21">
        <v>152</v>
      </c>
      <c r="O419" s="19">
        <v>253</v>
      </c>
      <c r="P419" s="22">
        <v>52</v>
      </c>
      <c r="Q419" s="22">
        <v>36</v>
      </c>
      <c r="R419" s="20" t="s">
        <v>58</v>
      </c>
      <c r="S419" s="234">
        <f>COUNTIFS(INP_DATA!$R$5:$R$3027,S$4,INP_DATA!$D$5:$D$3027,$D419,INP_DATA!$B$5:$B$3027,$B419)</f>
        <v>1</v>
      </c>
      <c r="T419" s="235">
        <f>COUNTIFS(INP_DATA!$R$5:$R$3027,T$4,INP_DATA!$D$5:$D$3027,$D419,INP_DATA!$B$5:$B$3027,$B419)</f>
        <v>0</v>
      </c>
    </row>
    <row r="420" spans="1:20" x14ac:dyDescent="0.35">
      <c r="A420" s="3" t="s">
        <v>107</v>
      </c>
      <c r="B420" s="165">
        <v>45139</v>
      </c>
      <c r="C420" s="57" t="str">
        <f>IF($B420="","",YEAR($B420)&amp;"-"&amp;IFERROR(VLOOKUP(MONTH(B420),KEY!$AE$5:$AF$16,2,FALSE),""))</f>
        <v>2023-Q3</v>
      </c>
      <c r="D420" s="3" t="s">
        <v>140</v>
      </c>
      <c r="E420" s="219">
        <v>7</v>
      </c>
      <c r="F420" s="166">
        <v>29</v>
      </c>
      <c r="G420" s="166">
        <v>35</v>
      </c>
      <c r="H420" s="21">
        <v>81</v>
      </c>
      <c r="I420" s="21">
        <v>5</v>
      </c>
      <c r="J420" s="21">
        <v>26</v>
      </c>
      <c r="K420" s="21">
        <v>12</v>
      </c>
      <c r="L420" s="21">
        <v>72</v>
      </c>
      <c r="M420" s="21">
        <v>25</v>
      </c>
      <c r="N420" s="21">
        <v>30</v>
      </c>
      <c r="O420" s="19">
        <v>92</v>
      </c>
      <c r="P420" s="22">
        <v>12</v>
      </c>
      <c r="Q420" s="22">
        <v>5</v>
      </c>
      <c r="R420" s="20" t="s">
        <v>194</v>
      </c>
      <c r="S420" s="234">
        <f>COUNTIFS(INP_DATA!$R$5:$R$3027,S$4,INP_DATA!$D$5:$D$3027,$D420,INP_DATA!$B$5:$B$3027,$B420)</f>
        <v>0</v>
      </c>
      <c r="T420" s="235">
        <f>COUNTIFS(INP_DATA!$R$5:$R$3027,T$4,INP_DATA!$D$5:$D$3027,$D420,INP_DATA!$B$5:$B$3027,$B420)</f>
        <v>0</v>
      </c>
    </row>
    <row r="421" spans="1:20" x14ac:dyDescent="0.35">
      <c r="A421" s="3" t="s">
        <v>108</v>
      </c>
      <c r="B421" s="165">
        <v>45139</v>
      </c>
      <c r="C421" s="57" t="str">
        <f>IF($B421="","",YEAR($B421)&amp;"-"&amp;IFERROR(VLOOKUP(MONTH(B421),KEY!$AE$5:$AF$16,2,FALSE),""))</f>
        <v>2023-Q3</v>
      </c>
      <c r="D421" s="3" t="s">
        <v>142</v>
      </c>
      <c r="E421" s="219">
        <v>11</v>
      </c>
      <c r="F421" s="166">
        <v>61</v>
      </c>
      <c r="G421" s="166">
        <v>78</v>
      </c>
      <c r="H421" s="21">
        <v>154</v>
      </c>
      <c r="I421" s="21">
        <v>22</v>
      </c>
      <c r="J421" s="21">
        <v>48</v>
      </c>
      <c r="K421" s="21">
        <v>10</v>
      </c>
      <c r="L421" s="21">
        <v>102</v>
      </c>
      <c r="M421" s="21">
        <v>37</v>
      </c>
      <c r="N421" s="21">
        <v>61</v>
      </c>
      <c r="O421" s="19">
        <v>138</v>
      </c>
      <c r="P421" s="22">
        <v>36</v>
      </c>
      <c r="Q421" s="22">
        <v>26</v>
      </c>
      <c r="R421" s="20" t="s">
        <v>51</v>
      </c>
      <c r="S421" s="234">
        <f>COUNTIFS(INP_DATA!$R$5:$R$3027,S$4,INP_DATA!$D$5:$D$3027,$D421,INP_DATA!$B$5:$B$3027,$B421)</f>
        <v>0</v>
      </c>
      <c r="T421" s="235">
        <f>COUNTIFS(INP_DATA!$R$5:$R$3027,T$4,INP_DATA!$D$5:$D$3027,$D421,INP_DATA!$B$5:$B$3027,$B421)</f>
        <v>1</v>
      </c>
    </row>
    <row r="422" spans="1:20" x14ac:dyDescent="0.35">
      <c r="A422" s="3" t="s">
        <v>16</v>
      </c>
      <c r="B422" s="165">
        <v>45139</v>
      </c>
      <c r="C422" s="57" t="str">
        <f>IF($B422="","",YEAR($B422)&amp;"-"&amp;IFERROR(VLOOKUP(MONTH(B422),KEY!$AE$5:$AF$16,2,FALSE),""))</f>
        <v>2023-Q3</v>
      </c>
      <c r="D422" s="3" t="s">
        <v>143</v>
      </c>
      <c r="E422" s="219">
        <v>17</v>
      </c>
      <c r="F422" s="166">
        <v>84</v>
      </c>
      <c r="G422" s="166">
        <v>90</v>
      </c>
      <c r="H422" s="21">
        <v>96</v>
      </c>
      <c r="I422" s="21">
        <v>23</v>
      </c>
      <c r="J422" s="21">
        <v>79</v>
      </c>
      <c r="K422" s="21">
        <v>19</v>
      </c>
      <c r="L422" s="21">
        <v>178</v>
      </c>
      <c r="M422" s="21">
        <v>62</v>
      </c>
      <c r="N422" s="21">
        <v>84</v>
      </c>
      <c r="O422" s="19">
        <v>161</v>
      </c>
      <c r="P422" s="22">
        <v>10</v>
      </c>
      <c r="Q422" s="22">
        <v>3</v>
      </c>
      <c r="R422" s="20" t="s">
        <v>58</v>
      </c>
      <c r="S422" s="234">
        <f>COUNTIFS(INP_DATA!$R$5:$R$3027,S$4,INP_DATA!$D$5:$D$3027,$D422,INP_DATA!$B$5:$B$3027,$B422)</f>
        <v>1</v>
      </c>
      <c r="T422" s="235">
        <f>COUNTIFS(INP_DATA!$R$5:$R$3027,T$4,INP_DATA!$D$5:$D$3027,$D422,INP_DATA!$B$5:$B$3027,$B422)</f>
        <v>0</v>
      </c>
    </row>
    <row r="423" spans="1:20" x14ac:dyDescent="0.35">
      <c r="A423" s="3" t="s">
        <v>16</v>
      </c>
      <c r="B423" s="165">
        <v>45139</v>
      </c>
      <c r="C423" s="57" t="str">
        <f>IF($B423="","",YEAR($B423)&amp;"-"&amp;IFERROR(VLOOKUP(MONTH(B423),KEY!$AE$5:$AF$16,2,FALSE),""))</f>
        <v>2023-Q3</v>
      </c>
      <c r="D423" s="3" t="s">
        <v>144</v>
      </c>
      <c r="E423" s="219">
        <v>36</v>
      </c>
      <c r="F423" s="166">
        <v>139</v>
      </c>
      <c r="G423" s="166">
        <v>232</v>
      </c>
      <c r="H423" s="21">
        <v>184</v>
      </c>
      <c r="I423" s="21">
        <v>29</v>
      </c>
      <c r="J423" s="21">
        <v>121</v>
      </c>
      <c r="K423" s="21">
        <v>16</v>
      </c>
      <c r="L423" s="21">
        <v>288</v>
      </c>
      <c r="M423" s="21">
        <v>74</v>
      </c>
      <c r="N423" s="21">
        <v>142</v>
      </c>
      <c r="O423" s="19">
        <v>368</v>
      </c>
      <c r="P423" s="22">
        <v>26</v>
      </c>
      <c r="Q423" s="22">
        <v>20</v>
      </c>
      <c r="R423" s="20" t="s">
        <v>58</v>
      </c>
      <c r="S423" s="234">
        <f>COUNTIFS(INP_DATA!$R$5:$R$3027,S$4,INP_DATA!$D$5:$D$3027,$D423,INP_DATA!$B$5:$B$3027,$B423)</f>
        <v>1</v>
      </c>
      <c r="T423" s="235">
        <f>COUNTIFS(INP_DATA!$R$5:$R$3027,T$4,INP_DATA!$D$5:$D$3027,$D423,INP_DATA!$B$5:$B$3027,$B423)</f>
        <v>0</v>
      </c>
    </row>
    <row r="424" spans="1:20" x14ac:dyDescent="0.35">
      <c r="A424" s="3" t="s">
        <v>108</v>
      </c>
      <c r="B424" s="165">
        <v>45139</v>
      </c>
      <c r="C424" s="57" t="str">
        <f>IF($B424="","",YEAR($B424)&amp;"-"&amp;IFERROR(VLOOKUP(MONTH(B424),KEY!$AE$5:$AF$16,2,FALSE),""))</f>
        <v>2023-Q3</v>
      </c>
      <c r="D424" s="3" t="s">
        <v>145</v>
      </c>
      <c r="E424" s="219">
        <v>63</v>
      </c>
      <c r="F424" s="166">
        <v>154</v>
      </c>
      <c r="G424" s="166">
        <v>228</v>
      </c>
      <c r="H424" s="21">
        <v>230</v>
      </c>
      <c r="I424" s="21">
        <v>32</v>
      </c>
      <c r="J424" s="21">
        <v>188</v>
      </c>
      <c r="K424" s="21">
        <v>33</v>
      </c>
      <c r="L424" s="21">
        <v>374</v>
      </c>
      <c r="M424" s="21">
        <v>84</v>
      </c>
      <c r="N424" s="21">
        <v>154</v>
      </c>
      <c r="O424" s="19">
        <v>368</v>
      </c>
      <c r="P424" s="22">
        <v>43</v>
      </c>
      <c r="Q424" s="22">
        <v>23</v>
      </c>
      <c r="R424" s="20" t="s">
        <v>51</v>
      </c>
      <c r="S424" s="234">
        <f>COUNTIFS(INP_DATA!$R$5:$R$3027,S$4,INP_DATA!$D$5:$D$3027,$D424,INP_DATA!$B$5:$B$3027,$B424)</f>
        <v>0</v>
      </c>
      <c r="T424" s="235">
        <f>COUNTIFS(INP_DATA!$R$5:$R$3027,T$4,INP_DATA!$D$5:$D$3027,$D424,INP_DATA!$B$5:$B$3027,$B424)</f>
        <v>1</v>
      </c>
    </row>
    <row r="425" spans="1:20" x14ac:dyDescent="0.35">
      <c r="A425" s="3" t="s">
        <v>16</v>
      </c>
      <c r="B425" s="165">
        <v>45139</v>
      </c>
      <c r="C425" s="57" t="str">
        <f>IF($B425="","",YEAR($B425)&amp;"-"&amp;IFERROR(VLOOKUP(MONTH(B425),KEY!$AE$5:$AF$16,2,FALSE),""))</f>
        <v>2023-Q3</v>
      </c>
      <c r="D425" s="3" t="s">
        <v>146</v>
      </c>
      <c r="E425" s="219">
        <v>2</v>
      </c>
      <c r="F425" s="166">
        <v>32</v>
      </c>
      <c r="G425" s="166">
        <v>50</v>
      </c>
      <c r="H425" s="21">
        <v>174</v>
      </c>
      <c r="I425" s="21">
        <v>14</v>
      </c>
      <c r="J425" s="21">
        <v>28</v>
      </c>
      <c r="K425" s="21">
        <v>2</v>
      </c>
      <c r="L425" s="21">
        <v>65</v>
      </c>
      <c r="M425" s="21">
        <v>21</v>
      </c>
      <c r="N425" s="21">
        <v>33</v>
      </c>
      <c r="O425" s="19">
        <v>92</v>
      </c>
      <c r="P425" s="22">
        <v>7</v>
      </c>
      <c r="Q425" s="22">
        <v>5</v>
      </c>
      <c r="R425" s="20" t="s">
        <v>58</v>
      </c>
      <c r="S425" s="234">
        <f>COUNTIFS(INP_DATA!$R$5:$R$3027,S$4,INP_DATA!$D$5:$D$3027,$D425,INP_DATA!$B$5:$B$3027,$B425)</f>
        <v>1</v>
      </c>
      <c r="T425" s="235">
        <f>COUNTIFS(INP_DATA!$R$5:$R$3027,T$4,INP_DATA!$D$5:$D$3027,$D425,INP_DATA!$B$5:$B$3027,$B425)</f>
        <v>0</v>
      </c>
    </row>
    <row r="426" spans="1:20" x14ac:dyDescent="0.35">
      <c r="A426" s="3" t="s">
        <v>109</v>
      </c>
      <c r="B426" s="165">
        <v>45139</v>
      </c>
      <c r="C426" s="57" t="str">
        <f>IF($B426="","",YEAR($B426)&amp;"-"&amp;IFERROR(VLOOKUP(MONTH(B426),KEY!$AE$5:$AF$16,2,FALSE),""))</f>
        <v>2023-Q3</v>
      </c>
      <c r="D426" s="3" t="s">
        <v>147</v>
      </c>
      <c r="E426" s="219">
        <v>9</v>
      </c>
      <c r="F426" s="166">
        <v>56</v>
      </c>
      <c r="G426" s="166">
        <v>52</v>
      </c>
      <c r="H426" s="21">
        <v>128</v>
      </c>
      <c r="I426" s="21">
        <v>17</v>
      </c>
      <c r="J426" s="21">
        <v>31</v>
      </c>
      <c r="K426" s="21">
        <v>7</v>
      </c>
      <c r="L426" s="21">
        <v>83</v>
      </c>
      <c r="M426" s="21">
        <v>45</v>
      </c>
      <c r="N426" s="21">
        <v>56</v>
      </c>
      <c r="O426" s="19">
        <v>92</v>
      </c>
      <c r="P426" s="22">
        <v>3</v>
      </c>
      <c r="Q426" s="22">
        <v>2</v>
      </c>
      <c r="R426" s="20" t="s">
        <v>58</v>
      </c>
      <c r="S426" s="234">
        <f>COUNTIFS(INP_DATA!$R$5:$R$3027,S$4,INP_DATA!$D$5:$D$3027,$D426,INP_DATA!$B$5:$B$3027,$B426)</f>
        <v>1</v>
      </c>
      <c r="T426" s="235">
        <f>COUNTIFS(INP_DATA!$R$5:$R$3027,T$4,INP_DATA!$D$5:$D$3027,$D426,INP_DATA!$B$5:$B$3027,$B426)</f>
        <v>0</v>
      </c>
    </row>
    <row r="427" spans="1:20" x14ac:dyDescent="0.35">
      <c r="A427" s="3" t="s">
        <v>106</v>
      </c>
      <c r="B427" s="165">
        <v>45139</v>
      </c>
      <c r="C427" s="57" t="str">
        <f>IF($B427="","",YEAR($B427)&amp;"-"&amp;IFERROR(VLOOKUP(MONTH(B427),KEY!$AE$5:$AF$16,2,FALSE),""))</f>
        <v>2023-Q3</v>
      </c>
      <c r="D427" s="3" t="s">
        <v>148</v>
      </c>
      <c r="E427" s="219">
        <v>11</v>
      </c>
      <c r="F427" s="166">
        <v>40</v>
      </c>
      <c r="G427" s="166">
        <v>55</v>
      </c>
      <c r="H427" s="21">
        <v>121</v>
      </c>
      <c r="I427" s="21">
        <v>12</v>
      </c>
      <c r="J427" s="21">
        <v>77</v>
      </c>
      <c r="K427" s="21">
        <v>5</v>
      </c>
      <c r="L427" s="21">
        <v>108</v>
      </c>
      <c r="M427" s="21">
        <v>34</v>
      </c>
      <c r="N427" s="21">
        <v>41</v>
      </c>
      <c r="O427" s="19">
        <v>115</v>
      </c>
      <c r="P427" s="22">
        <v>4</v>
      </c>
      <c r="Q427" s="22">
        <v>2</v>
      </c>
      <c r="R427" s="20" t="s">
        <v>58</v>
      </c>
      <c r="S427" s="234">
        <f>COUNTIFS(INP_DATA!$R$5:$R$3027,S$4,INP_DATA!$D$5:$D$3027,$D427,INP_DATA!$B$5:$B$3027,$B427)</f>
        <v>1</v>
      </c>
      <c r="T427" s="235">
        <f>COUNTIFS(INP_DATA!$R$5:$R$3027,T$4,INP_DATA!$D$5:$D$3027,$D427,INP_DATA!$B$5:$B$3027,$B427)</f>
        <v>0</v>
      </c>
    </row>
    <row r="428" spans="1:20" x14ac:dyDescent="0.35">
      <c r="A428" s="3" t="s">
        <v>107</v>
      </c>
      <c r="B428" s="165">
        <v>45139</v>
      </c>
      <c r="C428" s="57" t="str">
        <f>IF($B428="","",YEAR($B428)&amp;"-"&amp;IFERROR(VLOOKUP(MONTH(B428),KEY!$AE$5:$AF$16,2,FALSE),""))</f>
        <v>2023-Q3</v>
      </c>
      <c r="D428" s="3" t="s">
        <v>149</v>
      </c>
      <c r="E428" s="219">
        <v>2</v>
      </c>
      <c r="F428" s="166">
        <v>18</v>
      </c>
      <c r="G428" s="166">
        <v>34</v>
      </c>
      <c r="H428" s="21">
        <v>103</v>
      </c>
      <c r="I428" s="21">
        <v>8</v>
      </c>
      <c r="J428" s="21">
        <v>27</v>
      </c>
      <c r="K428" s="21">
        <v>8</v>
      </c>
      <c r="L428" s="21">
        <v>38</v>
      </c>
      <c r="M428" s="21">
        <v>10</v>
      </c>
      <c r="N428" s="21">
        <v>24</v>
      </c>
      <c r="O428" s="19">
        <v>46</v>
      </c>
      <c r="P428" s="22">
        <v>8</v>
      </c>
      <c r="Q428" s="22">
        <v>3</v>
      </c>
      <c r="R428" s="20" t="s">
        <v>58</v>
      </c>
      <c r="S428" s="234">
        <f>COUNTIFS(INP_DATA!$R$5:$R$3027,S$4,INP_DATA!$D$5:$D$3027,$D428,INP_DATA!$B$5:$B$3027,$B428)</f>
        <v>1</v>
      </c>
      <c r="T428" s="235">
        <f>COUNTIFS(INP_DATA!$R$5:$R$3027,T$4,INP_DATA!$D$5:$D$3027,$D428,INP_DATA!$B$5:$B$3027,$B428)</f>
        <v>0</v>
      </c>
    </row>
    <row r="429" spans="1:20" x14ac:dyDescent="0.35">
      <c r="A429" s="3" t="s">
        <v>108</v>
      </c>
      <c r="B429" s="165">
        <v>45139</v>
      </c>
      <c r="C429" s="57" t="str">
        <f>IF($B429="","",YEAR($B429)&amp;"-"&amp;IFERROR(VLOOKUP(MONTH(B429),KEY!$AE$5:$AF$16,2,FALSE),""))</f>
        <v>2023-Q3</v>
      </c>
      <c r="D429" s="3" t="s">
        <v>150</v>
      </c>
      <c r="E429" s="219">
        <v>7</v>
      </c>
      <c r="F429" s="166">
        <v>32</v>
      </c>
      <c r="G429" s="166">
        <v>53</v>
      </c>
      <c r="H429" s="21">
        <v>79</v>
      </c>
      <c r="I429" s="21">
        <v>16</v>
      </c>
      <c r="J429" s="21">
        <v>5</v>
      </c>
      <c r="K429" s="21">
        <v>1</v>
      </c>
      <c r="L429" s="21">
        <v>55</v>
      </c>
      <c r="M429" s="21">
        <v>23</v>
      </c>
      <c r="N429" s="21">
        <v>33</v>
      </c>
      <c r="O429" s="19">
        <v>92</v>
      </c>
      <c r="P429" s="22">
        <v>6</v>
      </c>
      <c r="Q429" s="22">
        <v>5</v>
      </c>
      <c r="R429" s="20" t="s">
        <v>58</v>
      </c>
      <c r="S429" s="234">
        <f>COUNTIFS(INP_DATA!$R$5:$R$3027,S$4,INP_DATA!$D$5:$D$3027,$D429,INP_DATA!$B$5:$B$3027,$B429)</f>
        <v>1</v>
      </c>
      <c r="T429" s="235">
        <f>COUNTIFS(INP_DATA!$R$5:$R$3027,T$4,INP_DATA!$D$5:$D$3027,$D429,INP_DATA!$B$5:$B$3027,$B429)</f>
        <v>0</v>
      </c>
    </row>
    <row r="430" spans="1:20" x14ac:dyDescent="0.35">
      <c r="A430" s="3" t="s">
        <v>16</v>
      </c>
      <c r="B430" s="165">
        <v>45139</v>
      </c>
      <c r="C430" s="57" t="str">
        <f>IF($B430="","",YEAR($B430)&amp;"-"&amp;IFERROR(VLOOKUP(MONTH(B430),KEY!$AE$5:$AF$16,2,FALSE),""))</f>
        <v>2023-Q3</v>
      </c>
      <c r="D430" s="3" t="s">
        <v>151</v>
      </c>
      <c r="E430" s="219">
        <v>5</v>
      </c>
      <c r="F430" s="166">
        <v>34</v>
      </c>
      <c r="G430" s="166">
        <v>21</v>
      </c>
      <c r="H430" s="21">
        <v>120</v>
      </c>
      <c r="I430" s="21">
        <v>14</v>
      </c>
      <c r="J430" s="21">
        <v>25</v>
      </c>
      <c r="K430" s="21">
        <v>5</v>
      </c>
      <c r="L430" s="21">
        <v>59</v>
      </c>
      <c r="M430" s="21">
        <v>23</v>
      </c>
      <c r="N430" s="21">
        <v>34</v>
      </c>
      <c r="O430" s="19">
        <v>92</v>
      </c>
      <c r="P430" s="22">
        <v>3</v>
      </c>
      <c r="Q430" s="22">
        <v>2</v>
      </c>
      <c r="R430" s="20" t="s">
        <v>58</v>
      </c>
      <c r="S430" s="234">
        <f>COUNTIFS(INP_DATA!$R$5:$R$3027,S$4,INP_DATA!$D$5:$D$3027,$D430,INP_DATA!$B$5:$B$3027,$B430)</f>
        <v>1</v>
      </c>
      <c r="T430" s="235">
        <f>COUNTIFS(INP_DATA!$R$5:$R$3027,T$4,INP_DATA!$D$5:$D$3027,$D430,INP_DATA!$B$5:$B$3027,$B430)</f>
        <v>0</v>
      </c>
    </row>
    <row r="431" spans="1:20" x14ac:dyDescent="0.35">
      <c r="A431" s="3" t="s">
        <v>106</v>
      </c>
      <c r="B431" s="165">
        <v>45139</v>
      </c>
      <c r="C431" s="57" t="str">
        <f>IF($B431="","",YEAR($B431)&amp;"-"&amp;IFERROR(VLOOKUP(MONTH(B431),KEY!$AE$5:$AF$16,2,FALSE),""))</f>
        <v>2023-Q3</v>
      </c>
      <c r="D431" s="3" t="s">
        <v>152</v>
      </c>
      <c r="E431" s="219">
        <v>56</v>
      </c>
      <c r="F431" s="166">
        <v>217</v>
      </c>
      <c r="G431" s="166">
        <v>171</v>
      </c>
      <c r="H431" s="21">
        <v>593</v>
      </c>
      <c r="I431" s="21">
        <v>85</v>
      </c>
      <c r="J431" s="21">
        <v>129</v>
      </c>
      <c r="K431" s="21">
        <v>41</v>
      </c>
      <c r="L431" s="21">
        <v>324</v>
      </c>
      <c r="M431" s="21">
        <v>133</v>
      </c>
      <c r="N431" s="21">
        <v>214</v>
      </c>
      <c r="O431" s="19">
        <v>299</v>
      </c>
      <c r="P431" s="22">
        <v>53</v>
      </c>
      <c r="Q431" s="22">
        <v>38</v>
      </c>
      <c r="R431" s="20" t="s">
        <v>58</v>
      </c>
      <c r="S431" s="234">
        <f>COUNTIFS(INP_DATA!$R$5:$R$3027,S$4,INP_DATA!$D$5:$D$3027,$D431,INP_DATA!$B$5:$B$3027,$B431)</f>
        <v>1</v>
      </c>
      <c r="T431" s="235">
        <f>COUNTIFS(INP_DATA!$R$5:$R$3027,T$4,INP_DATA!$D$5:$D$3027,$D431,INP_DATA!$B$5:$B$3027,$B431)</f>
        <v>0</v>
      </c>
    </row>
    <row r="432" spans="1:20" x14ac:dyDescent="0.35">
      <c r="A432" s="3" t="s">
        <v>16</v>
      </c>
      <c r="B432" s="165">
        <v>45139</v>
      </c>
      <c r="C432" s="57" t="str">
        <f>IF($B432="","",YEAR($B432)&amp;"-"&amp;IFERROR(VLOOKUP(MONTH(B432),KEY!$AE$5:$AF$16,2,FALSE),""))</f>
        <v>2023-Q3</v>
      </c>
      <c r="D432" s="3" t="s">
        <v>153</v>
      </c>
      <c r="E432" s="219">
        <v>29</v>
      </c>
      <c r="F432" s="166">
        <v>95</v>
      </c>
      <c r="G432" s="166">
        <v>103</v>
      </c>
      <c r="H432" s="21">
        <v>363</v>
      </c>
      <c r="I432" s="21">
        <v>15</v>
      </c>
      <c r="J432" s="21">
        <v>116</v>
      </c>
      <c r="K432" s="21">
        <v>21</v>
      </c>
      <c r="L432" s="21">
        <v>316</v>
      </c>
      <c r="M432" s="21">
        <v>51</v>
      </c>
      <c r="N432" s="21">
        <v>94</v>
      </c>
      <c r="O432" s="19">
        <v>299</v>
      </c>
      <c r="P432" s="22">
        <v>4</v>
      </c>
      <c r="Q432" s="22">
        <v>3</v>
      </c>
      <c r="R432" s="20" t="s">
        <v>194</v>
      </c>
      <c r="S432" s="234">
        <f>COUNTIFS(INP_DATA!$R$5:$R$3027,S$4,INP_DATA!$D$5:$D$3027,$D432,INP_DATA!$B$5:$B$3027,$B432)</f>
        <v>0</v>
      </c>
      <c r="T432" s="235">
        <f>COUNTIFS(INP_DATA!$R$5:$R$3027,T$4,INP_DATA!$D$5:$D$3027,$D432,INP_DATA!$B$5:$B$3027,$B432)</f>
        <v>0</v>
      </c>
    </row>
    <row r="433" spans="1:20" x14ac:dyDescent="0.35">
      <c r="A433" s="3" t="s">
        <v>106</v>
      </c>
      <c r="B433" s="165">
        <v>45139</v>
      </c>
      <c r="C433" s="57" t="str">
        <f>IF($B433="","",YEAR($B433)&amp;"-"&amp;IFERROR(VLOOKUP(MONTH(B433),KEY!$AE$5:$AF$16,2,FALSE),""))</f>
        <v>2023-Q3</v>
      </c>
      <c r="D433" s="3" t="s">
        <v>154</v>
      </c>
      <c r="E433" s="219">
        <v>14</v>
      </c>
      <c r="F433" s="166">
        <v>78</v>
      </c>
      <c r="G433" s="166">
        <v>42</v>
      </c>
      <c r="H433" s="21">
        <v>208</v>
      </c>
      <c r="I433" s="21">
        <v>32</v>
      </c>
      <c r="J433" s="21">
        <v>162</v>
      </c>
      <c r="K433" s="21">
        <v>18</v>
      </c>
      <c r="L433" s="21">
        <v>168</v>
      </c>
      <c r="M433" s="21">
        <v>48</v>
      </c>
      <c r="N433" s="21">
        <v>76</v>
      </c>
      <c r="O433" s="19">
        <v>115</v>
      </c>
      <c r="P433" s="22">
        <v>8</v>
      </c>
      <c r="Q433" s="22">
        <v>6</v>
      </c>
      <c r="R433" s="20" t="s">
        <v>194</v>
      </c>
      <c r="S433" s="234">
        <f>COUNTIFS(INP_DATA!$R$5:$R$3027,S$4,INP_DATA!$D$5:$D$3027,$D433,INP_DATA!$B$5:$B$3027,$B433)</f>
        <v>0</v>
      </c>
      <c r="T433" s="235">
        <f>COUNTIFS(INP_DATA!$R$5:$R$3027,T$4,INP_DATA!$D$5:$D$3027,$D433,INP_DATA!$B$5:$B$3027,$B433)</f>
        <v>0</v>
      </c>
    </row>
    <row r="434" spans="1:20" x14ac:dyDescent="0.35">
      <c r="A434" s="3" t="s">
        <v>109</v>
      </c>
      <c r="B434" s="165">
        <v>45139</v>
      </c>
      <c r="C434" s="57" t="str">
        <f>IF($B434="","",YEAR($B434)&amp;"-"&amp;IFERROR(VLOOKUP(MONTH(B434),KEY!$AE$5:$AF$16,2,FALSE),""))</f>
        <v>2023-Q3</v>
      </c>
      <c r="D434" s="3" t="s">
        <v>155</v>
      </c>
      <c r="E434" s="219">
        <v>91</v>
      </c>
      <c r="F434" s="166">
        <v>336</v>
      </c>
      <c r="G434" s="166">
        <v>218</v>
      </c>
      <c r="H434" s="21">
        <v>993</v>
      </c>
      <c r="I434" s="21">
        <v>113</v>
      </c>
      <c r="J434" s="21">
        <v>310</v>
      </c>
      <c r="K434" s="21">
        <v>52</v>
      </c>
      <c r="L434" s="21">
        <v>483</v>
      </c>
      <c r="M434" s="21">
        <v>187</v>
      </c>
      <c r="N434" s="21">
        <v>337</v>
      </c>
      <c r="O434" s="19">
        <v>506</v>
      </c>
      <c r="P434" s="22">
        <v>38</v>
      </c>
      <c r="Q434" s="22">
        <v>25</v>
      </c>
      <c r="R434" s="20" t="s">
        <v>51</v>
      </c>
      <c r="S434" s="234">
        <f>COUNTIFS(INP_DATA!$R$5:$R$3027,S$4,INP_DATA!$D$5:$D$3027,$D434,INP_DATA!$B$5:$B$3027,$B434)</f>
        <v>0</v>
      </c>
      <c r="T434" s="235">
        <f>COUNTIFS(INP_DATA!$R$5:$R$3027,T$4,INP_DATA!$D$5:$D$3027,$D434,INP_DATA!$B$5:$B$3027,$B434)</f>
        <v>1</v>
      </c>
    </row>
    <row r="435" spans="1:20" x14ac:dyDescent="0.35">
      <c r="A435" s="3" t="s">
        <v>109</v>
      </c>
      <c r="B435" s="165">
        <v>45139</v>
      </c>
      <c r="C435" s="57" t="str">
        <f>IF($B435="","",YEAR($B435)&amp;"-"&amp;IFERROR(VLOOKUP(MONTH(B435),KEY!$AE$5:$AF$16,2,FALSE),""))</f>
        <v>2023-Q3</v>
      </c>
      <c r="D435" s="3" t="s">
        <v>156</v>
      </c>
      <c r="E435" s="219">
        <v>88</v>
      </c>
      <c r="F435" s="166">
        <v>312</v>
      </c>
      <c r="G435" s="166">
        <v>342</v>
      </c>
      <c r="H435" s="21">
        <v>671</v>
      </c>
      <c r="I435" s="21">
        <v>93</v>
      </c>
      <c r="J435" s="21">
        <v>287</v>
      </c>
      <c r="K435" s="21">
        <v>60</v>
      </c>
      <c r="L435" s="21">
        <v>593</v>
      </c>
      <c r="M435" s="21">
        <v>162</v>
      </c>
      <c r="N435" s="21">
        <v>315</v>
      </c>
      <c r="O435" s="19">
        <v>437</v>
      </c>
      <c r="P435" s="22">
        <v>9</v>
      </c>
      <c r="Q435" s="22">
        <v>5</v>
      </c>
      <c r="R435" s="20" t="s">
        <v>51</v>
      </c>
      <c r="S435" s="234">
        <f>COUNTIFS(INP_DATA!$R$5:$R$3027,S$4,INP_DATA!$D$5:$D$3027,$D435,INP_DATA!$B$5:$B$3027,$B435)</f>
        <v>0</v>
      </c>
      <c r="T435" s="235">
        <f>COUNTIFS(INP_DATA!$R$5:$R$3027,T$4,INP_DATA!$D$5:$D$3027,$D435,INP_DATA!$B$5:$B$3027,$B435)</f>
        <v>1</v>
      </c>
    </row>
    <row r="436" spans="1:20" x14ac:dyDescent="0.35">
      <c r="A436" s="3" t="s">
        <v>109</v>
      </c>
      <c r="B436" s="165">
        <v>45139</v>
      </c>
      <c r="C436" s="57" t="str">
        <f>IF($B436="","",YEAR($B436)&amp;"-"&amp;IFERROR(VLOOKUP(MONTH(B436),KEY!$AE$5:$AF$16,2,FALSE),""))</f>
        <v>2023-Q3</v>
      </c>
      <c r="D436" s="3" t="s">
        <v>157</v>
      </c>
      <c r="E436" s="219">
        <v>2</v>
      </c>
      <c r="F436" s="166">
        <v>349</v>
      </c>
      <c r="G436" s="166">
        <v>262</v>
      </c>
      <c r="H436" s="21">
        <v>1202</v>
      </c>
      <c r="I436" s="21">
        <v>76</v>
      </c>
      <c r="J436" s="21">
        <v>723</v>
      </c>
      <c r="K436" s="21">
        <v>63</v>
      </c>
      <c r="L436" s="21">
        <v>608</v>
      </c>
      <c r="M436" s="21">
        <v>137</v>
      </c>
      <c r="N436" s="21">
        <v>361</v>
      </c>
      <c r="O436" s="19">
        <v>414</v>
      </c>
      <c r="P436" s="22">
        <v>18</v>
      </c>
      <c r="Q436" s="22">
        <v>13</v>
      </c>
      <c r="R436" s="20" t="s">
        <v>51</v>
      </c>
      <c r="S436" s="234">
        <f>COUNTIFS(INP_DATA!$R$5:$R$3027,S$4,INP_DATA!$D$5:$D$3027,$D436,INP_DATA!$B$5:$B$3027,$B436)</f>
        <v>0</v>
      </c>
      <c r="T436" s="235">
        <f>COUNTIFS(INP_DATA!$R$5:$R$3027,T$4,INP_DATA!$D$5:$D$3027,$D436,INP_DATA!$B$5:$B$3027,$B436)</f>
        <v>1</v>
      </c>
    </row>
    <row r="437" spans="1:20" x14ac:dyDescent="0.35">
      <c r="A437" s="3" t="s">
        <v>16</v>
      </c>
      <c r="B437" s="165">
        <v>45139</v>
      </c>
      <c r="C437" s="57" t="str">
        <f>IF($B437="","",YEAR($B437)&amp;"-"&amp;IFERROR(VLOOKUP(MONTH(B437),KEY!$AE$5:$AF$16,2,FALSE),""))</f>
        <v>2023-Q3</v>
      </c>
      <c r="D437" s="3" t="s">
        <v>158</v>
      </c>
      <c r="E437" s="219">
        <v>1</v>
      </c>
      <c r="F437" s="166">
        <v>36</v>
      </c>
      <c r="G437" s="166">
        <v>32</v>
      </c>
      <c r="H437" s="21">
        <v>66</v>
      </c>
      <c r="I437" s="21">
        <v>8</v>
      </c>
      <c r="J437" s="21">
        <v>22</v>
      </c>
      <c r="K437" s="21">
        <v>9</v>
      </c>
      <c r="L437" s="21">
        <v>76</v>
      </c>
      <c r="M437" s="21">
        <v>24</v>
      </c>
      <c r="N437" s="21">
        <v>40</v>
      </c>
      <c r="O437" s="19">
        <v>115</v>
      </c>
      <c r="P437" s="22">
        <v>1</v>
      </c>
      <c r="Q437" s="22">
        <v>0</v>
      </c>
      <c r="R437" s="20" t="s">
        <v>194</v>
      </c>
      <c r="S437" s="234">
        <f>COUNTIFS(INP_DATA!$R$5:$R$3027,S$4,INP_DATA!$D$5:$D$3027,$D437,INP_DATA!$B$5:$B$3027,$B437)</f>
        <v>0</v>
      </c>
      <c r="T437" s="235">
        <f>COUNTIFS(INP_DATA!$R$5:$R$3027,T$4,INP_DATA!$D$5:$D$3027,$D437,INP_DATA!$B$5:$B$3027,$B437)</f>
        <v>0</v>
      </c>
    </row>
    <row r="438" spans="1:20" x14ac:dyDescent="0.35">
      <c r="A438" s="3" t="s">
        <v>107</v>
      </c>
      <c r="B438" s="165">
        <v>45139</v>
      </c>
      <c r="C438" s="57" t="str">
        <f>IF($B438="","",YEAR($B438)&amp;"-"&amp;IFERROR(VLOOKUP(MONTH(B438),KEY!$AE$5:$AF$16,2,FALSE),""))</f>
        <v>2023-Q3</v>
      </c>
      <c r="D438" s="3" t="s">
        <v>159</v>
      </c>
      <c r="E438" s="219">
        <v>27</v>
      </c>
      <c r="F438" s="166">
        <v>118</v>
      </c>
      <c r="G438" s="166">
        <v>92</v>
      </c>
      <c r="H438" s="21">
        <v>238</v>
      </c>
      <c r="I438" s="21">
        <v>28</v>
      </c>
      <c r="J438" s="21">
        <v>113</v>
      </c>
      <c r="K438" s="21">
        <v>26</v>
      </c>
      <c r="L438" s="21">
        <v>222</v>
      </c>
      <c r="M438" s="21">
        <v>97</v>
      </c>
      <c r="N438" s="21">
        <v>120</v>
      </c>
      <c r="O438" s="19">
        <v>161</v>
      </c>
      <c r="P438" s="22">
        <v>30</v>
      </c>
      <c r="Q438" s="22">
        <v>22</v>
      </c>
      <c r="R438" s="20" t="s">
        <v>194</v>
      </c>
      <c r="S438" s="234">
        <f>COUNTIFS(INP_DATA!$R$5:$R$3027,S$4,INP_DATA!$D$5:$D$3027,$D438,INP_DATA!$B$5:$B$3027,$B438)</f>
        <v>0</v>
      </c>
      <c r="T438" s="235">
        <f>COUNTIFS(INP_DATA!$R$5:$R$3027,T$4,INP_DATA!$D$5:$D$3027,$D438,INP_DATA!$B$5:$B$3027,$B438)</f>
        <v>0</v>
      </c>
    </row>
    <row r="439" spans="1:20" x14ac:dyDescent="0.35">
      <c r="A439" s="3" t="s">
        <v>16</v>
      </c>
      <c r="B439" s="165">
        <v>45139</v>
      </c>
      <c r="C439" s="57" t="str">
        <f>IF($B439="","",YEAR($B439)&amp;"-"&amp;IFERROR(VLOOKUP(MONTH(B439),KEY!$AE$5:$AF$16,2,FALSE),""))</f>
        <v>2023-Q3</v>
      </c>
      <c r="D439" s="3" t="s">
        <v>160</v>
      </c>
      <c r="E439" s="219">
        <v>106</v>
      </c>
      <c r="F439" s="166">
        <v>368</v>
      </c>
      <c r="G439" s="166">
        <v>215</v>
      </c>
      <c r="H439" s="21">
        <v>846</v>
      </c>
      <c r="I439" s="21">
        <v>128</v>
      </c>
      <c r="J439" s="21">
        <v>380</v>
      </c>
      <c r="K439" s="21">
        <v>56</v>
      </c>
      <c r="L439" s="21">
        <v>546</v>
      </c>
      <c r="M439" s="21">
        <v>210</v>
      </c>
      <c r="N439" s="21">
        <v>371</v>
      </c>
      <c r="O439" s="19">
        <v>575</v>
      </c>
      <c r="P439" s="22">
        <v>56</v>
      </c>
      <c r="Q439" s="22">
        <v>37</v>
      </c>
      <c r="R439" s="20" t="s">
        <v>51</v>
      </c>
      <c r="S439" s="234">
        <f>COUNTIFS(INP_DATA!$R$5:$R$3027,S$4,INP_DATA!$D$5:$D$3027,$D439,INP_DATA!$B$5:$B$3027,$B439)</f>
        <v>0</v>
      </c>
      <c r="T439" s="235">
        <f>COUNTIFS(INP_DATA!$R$5:$R$3027,T$4,INP_DATA!$D$5:$D$3027,$D439,INP_DATA!$B$5:$B$3027,$B439)</f>
        <v>1</v>
      </c>
    </row>
    <row r="440" spans="1:20" x14ac:dyDescent="0.35">
      <c r="A440" s="3" t="s">
        <v>106</v>
      </c>
      <c r="B440" s="165">
        <v>45139</v>
      </c>
      <c r="C440" s="57" t="str">
        <f>IF($B440="","",YEAR($B440)&amp;"-"&amp;IFERROR(VLOOKUP(MONTH(B440),KEY!$AE$5:$AF$16,2,FALSE),""))</f>
        <v>2023-Q3</v>
      </c>
      <c r="D440" s="3" t="s">
        <v>161</v>
      </c>
      <c r="E440" s="219">
        <v>29</v>
      </c>
      <c r="F440" s="166">
        <v>268</v>
      </c>
      <c r="G440" s="166">
        <v>237</v>
      </c>
      <c r="H440" s="21">
        <v>566</v>
      </c>
      <c r="I440" s="21">
        <v>93</v>
      </c>
      <c r="J440" s="21">
        <v>229</v>
      </c>
      <c r="K440" s="21">
        <v>56</v>
      </c>
      <c r="L440" s="21">
        <v>401</v>
      </c>
      <c r="M440" s="21">
        <v>123</v>
      </c>
      <c r="N440" s="21">
        <v>280</v>
      </c>
      <c r="O440" s="19">
        <v>437</v>
      </c>
      <c r="P440" s="22">
        <v>6</v>
      </c>
      <c r="Q440" s="22">
        <v>4</v>
      </c>
      <c r="R440" s="20" t="s">
        <v>58</v>
      </c>
      <c r="S440" s="234">
        <f>COUNTIFS(INP_DATA!$R$5:$R$3027,S$4,INP_DATA!$D$5:$D$3027,$D440,INP_DATA!$B$5:$B$3027,$B440)</f>
        <v>1</v>
      </c>
      <c r="T440" s="235">
        <f>COUNTIFS(INP_DATA!$R$5:$R$3027,T$4,INP_DATA!$D$5:$D$3027,$D440,INP_DATA!$B$5:$B$3027,$B440)</f>
        <v>0</v>
      </c>
    </row>
    <row r="441" spans="1:20" x14ac:dyDescent="0.35">
      <c r="A441" s="3" t="s">
        <v>109</v>
      </c>
      <c r="B441" s="165">
        <v>45139</v>
      </c>
      <c r="C441" s="57" t="str">
        <f>IF($B441="","",YEAR($B441)&amp;"-"&amp;IFERROR(VLOOKUP(MONTH(B441),KEY!$AE$5:$AF$16,2,FALSE),""))</f>
        <v>2023-Q3</v>
      </c>
      <c r="D441" s="3" t="s">
        <v>162</v>
      </c>
      <c r="E441" s="219">
        <v>91</v>
      </c>
      <c r="F441" s="166">
        <v>530</v>
      </c>
      <c r="G441" s="166">
        <v>500</v>
      </c>
      <c r="H441" s="21">
        <v>756</v>
      </c>
      <c r="I441" s="21">
        <v>138</v>
      </c>
      <c r="J441" s="21">
        <v>414</v>
      </c>
      <c r="K441" s="21">
        <v>69</v>
      </c>
      <c r="L441" s="21">
        <v>786</v>
      </c>
      <c r="M441" s="21">
        <v>211</v>
      </c>
      <c r="N441" s="21">
        <v>536</v>
      </c>
      <c r="O441" s="19">
        <v>736</v>
      </c>
      <c r="P441" s="22">
        <v>26</v>
      </c>
      <c r="Q441" s="22">
        <v>23</v>
      </c>
      <c r="R441" s="20" t="s">
        <v>58</v>
      </c>
      <c r="S441" s="234">
        <f>COUNTIFS(INP_DATA!$R$5:$R$3027,S$4,INP_DATA!$D$5:$D$3027,$D441,INP_DATA!$B$5:$B$3027,$B441)</f>
        <v>1</v>
      </c>
      <c r="T441" s="235">
        <f>COUNTIFS(INP_DATA!$R$5:$R$3027,T$4,INP_DATA!$D$5:$D$3027,$D441,INP_DATA!$B$5:$B$3027,$B441)</f>
        <v>0</v>
      </c>
    </row>
    <row r="442" spans="1:20" x14ac:dyDescent="0.35">
      <c r="A442" s="3" t="s">
        <v>16</v>
      </c>
      <c r="B442" s="165">
        <v>45139</v>
      </c>
      <c r="C442" s="57" t="str">
        <f>IF($B442="","",YEAR($B442)&amp;"-"&amp;IFERROR(VLOOKUP(MONTH(B442),KEY!$AE$5:$AF$16,2,FALSE),""))</f>
        <v>2023-Q3</v>
      </c>
      <c r="D442" s="3" t="s">
        <v>163</v>
      </c>
      <c r="E442" s="219">
        <v>76</v>
      </c>
      <c r="F442" s="166">
        <v>254</v>
      </c>
      <c r="G442" s="166">
        <v>261</v>
      </c>
      <c r="H442" s="21">
        <v>328</v>
      </c>
      <c r="I442" s="21">
        <v>63</v>
      </c>
      <c r="J442" s="21">
        <v>178</v>
      </c>
      <c r="K442" s="21">
        <v>57</v>
      </c>
      <c r="L442" s="21">
        <v>397</v>
      </c>
      <c r="M442" s="21">
        <v>138</v>
      </c>
      <c r="N442" s="21">
        <v>256</v>
      </c>
      <c r="O442" s="19">
        <v>391</v>
      </c>
      <c r="P442" s="22">
        <v>10</v>
      </c>
      <c r="Q442" s="22">
        <v>4</v>
      </c>
      <c r="R442" s="20" t="s">
        <v>51</v>
      </c>
      <c r="S442" s="234">
        <f>COUNTIFS(INP_DATA!$R$5:$R$3027,S$4,INP_DATA!$D$5:$D$3027,$D442,INP_DATA!$B$5:$B$3027,$B442)</f>
        <v>0</v>
      </c>
      <c r="T442" s="235">
        <f>COUNTIFS(INP_DATA!$R$5:$R$3027,T$4,INP_DATA!$D$5:$D$3027,$D442,INP_DATA!$B$5:$B$3027,$B442)</f>
        <v>1</v>
      </c>
    </row>
    <row r="443" spans="1:20" x14ac:dyDescent="0.35">
      <c r="A443" s="3" t="s">
        <v>16</v>
      </c>
      <c r="B443" s="165">
        <v>45139</v>
      </c>
      <c r="C443" s="57" t="str">
        <f>IF($B443="","",YEAR($B443)&amp;"-"&amp;IFERROR(VLOOKUP(MONTH(B443),KEY!$AE$5:$AF$16,2,FALSE),""))</f>
        <v>2023-Q3</v>
      </c>
      <c r="D443" s="3" t="s">
        <v>164</v>
      </c>
      <c r="E443" s="219">
        <v>11</v>
      </c>
      <c r="F443" s="166">
        <v>80</v>
      </c>
      <c r="G443" s="166">
        <v>104</v>
      </c>
      <c r="H443" s="21">
        <v>273</v>
      </c>
      <c r="I443" s="21">
        <v>26</v>
      </c>
      <c r="J443" s="21">
        <v>89</v>
      </c>
      <c r="K443" s="21">
        <v>10</v>
      </c>
      <c r="L443" s="21">
        <v>141</v>
      </c>
      <c r="M443" s="21">
        <v>54</v>
      </c>
      <c r="N443" s="21">
        <v>83</v>
      </c>
      <c r="O443" s="19">
        <v>207</v>
      </c>
      <c r="P443" s="22">
        <v>16</v>
      </c>
      <c r="Q443" s="22">
        <v>10</v>
      </c>
      <c r="R443" s="20" t="s">
        <v>58</v>
      </c>
      <c r="S443" s="234">
        <f>COUNTIFS(INP_DATA!$R$5:$R$3027,S$4,INP_DATA!$D$5:$D$3027,$D443,INP_DATA!$B$5:$B$3027,$B443)</f>
        <v>1</v>
      </c>
      <c r="T443" s="235">
        <f>COUNTIFS(INP_DATA!$R$5:$R$3027,T$4,INP_DATA!$D$5:$D$3027,$D443,INP_DATA!$B$5:$B$3027,$B443)</f>
        <v>0</v>
      </c>
    </row>
    <row r="444" spans="1:20" x14ac:dyDescent="0.35">
      <c r="A444" s="3" t="s">
        <v>107</v>
      </c>
      <c r="B444" s="165">
        <v>45139</v>
      </c>
      <c r="C444" s="57" t="str">
        <f>IF($B444="","",YEAR($B444)&amp;"-"&amp;IFERROR(VLOOKUP(MONTH(B444),KEY!$AE$5:$AF$16,2,FALSE),""))</f>
        <v>2023-Q3</v>
      </c>
      <c r="D444" s="3" t="s">
        <v>165</v>
      </c>
      <c r="E444" s="219">
        <v>16</v>
      </c>
      <c r="F444" s="166">
        <v>82</v>
      </c>
      <c r="G444" s="166">
        <v>141</v>
      </c>
      <c r="H444" s="21">
        <v>244</v>
      </c>
      <c r="I444" s="21">
        <v>30</v>
      </c>
      <c r="J444" s="21">
        <v>77</v>
      </c>
      <c r="K444" s="21">
        <v>25</v>
      </c>
      <c r="L444" s="21">
        <v>100</v>
      </c>
      <c r="M444" s="21">
        <v>32</v>
      </c>
      <c r="N444" s="21">
        <v>89</v>
      </c>
      <c r="O444" s="19">
        <v>92</v>
      </c>
      <c r="P444" s="22">
        <v>21</v>
      </c>
      <c r="Q444" s="22">
        <v>7</v>
      </c>
      <c r="R444" s="20" t="s">
        <v>51</v>
      </c>
      <c r="S444" s="234">
        <f>COUNTIFS(INP_DATA!$R$5:$R$3027,S$4,INP_DATA!$D$5:$D$3027,$D444,INP_DATA!$B$5:$B$3027,$B444)</f>
        <v>0</v>
      </c>
      <c r="T444" s="235">
        <f>COUNTIFS(INP_DATA!$R$5:$R$3027,T$4,INP_DATA!$D$5:$D$3027,$D444,INP_DATA!$B$5:$B$3027,$B444)</f>
        <v>1</v>
      </c>
    </row>
    <row r="445" spans="1:20" x14ac:dyDescent="0.35">
      <c r="A445" s="3" t="s">
        <v>16</v>
      </c>
      <c r="B445" s="165">
        <v>45170</v>
      </c>
      <c r="C445" s="57" t="str">
        <f>IF($B445="","",YEAR($B445)&amp;"-"&amp;IFERROR(VLOOKUP(MONTH(B445),KEY!$AE$5:$AF$16,2,FALSE),""))</f>
        <v>2023-Q3</v>
      </c>
      <c r="D445" s="3" t="s">
        <v>111</v>
      </c>
      <c r="E445" s="219">
        <v>13</v>
      </c>
      <c r="F445" s="166">
        <v>84</v>
      </c>
      <c r="G445" s="166">
        <v>57</v>
      </c>
      <c r="H445" s="21">
        <v>161</v>
      </c>
      <c r="I445" s="21">
        <v>27</v>
      </c>
      <c r="J445" s="21">
        <v>78</v>
      </c>
      <c r="K445" s="21">
        <v>9</v>
      </c>
      <c r="L445" s="21">
        <v>153</v>
      </c>
      <c r="M445" s="21">
        <v>50</v>
      </c>
      <c r="N445" s="21">
        <v>85</v>
      </c>
      <c r="O445" s="19">
        <v>176</v>
      </c>
      <c r="P445" s="22">
        <v>11</v>
      </c>
      <c r="Q445" s="22">
        <v>7</v>
      </c>
      <c r="R445" s="20" t="s">
        <v>58</v>
      </c>
      <c r="S445" s="234">
        <f>COUNTIFS(INP_DATA!$R$5:$R$3027,S$4,INP_DATA!$D$5:$D$3027,$D445,INP_DATA!$B$5:$B$3027,$B445)</f>
        <v>1</v>
      </c>
      <c r="T445" s="235">
        <f>COUNTIFS(INP_DATA!$R$5:$R$3027,T$4,INP_DATA!$D$5:$D$3027,$D445,INP_DATA!$B$5:$B$3027,$B445)</f>
        <v>0</v>
      </c>
    </row>
    <row r="446" spans="1:20" x14ac:dyDescent="0.35">
      <c r="A446" s="3" t="s">
        <v>108</v>
      </c>
      <c r="B446" s="165">
        <v>45170</v>
      </c>
      <c r="C446" s="57" t="str">
        <f>IF($B446="","",YEAR($B446)&amp;"-"&amp;IFERROR(VLOOKUP(MONTH(B446),KEY!$AE$5:$AF$16,2,FALSE),""))</f>
        <v>2023-Q3</v>
      </c>
      <c r="D446" s="3" t="s">
        <v>112</v>
      </c>
      <c r="E446" s="219">
        <v>11</v>
      </c>
      <c r="F446" s="166">
        <v>35</v>
      </c>
      <c r="G446" s="166">
        <v>31</v>
      </c>
      <c r="H446" s="21">
        <v>46</v>
      </c>
      <c r="I446" s="21">
        <v>11</v>
      </c>
      <c r="J446" s="21">
        <v>16</v>
      </c>
      <c r="K446" s="21">
        <v>4</v>
      </c>
      <c r="L446" s="21">
        <v>66</v>
      </c>
      <c r="M446" s="21">
        <v>27</v>
      </c>
      <c r="N446" s="21">
        <v>35</v>
      </c>
      <c r="O446" s="19">
        <v>88</v>
      </c>
      <c r="P446" s="22">
        <v>7</v>
      </c>
      <c r="Q446" s="22">
        <v>4</v>
      </c>
      <c r="R446" s="20" t="s">
        <v>51</v>
      </c>
      <c r="S446" s="234">
        <f>COUNTIFS(INP_DATA!$R$5:$R$3027,S$4,INP_DATA!$D$5:$D$3027,$D446,INP_DATA!$B$5:$B$3027,$B446)</f>
        <v>0</v>
      </c>
      <c r="T446" s="235">
        <f>COUNTIFS(INP_DATA!$R$5:$R$3027,T$4,INP_DATA!$D$5:$D$3027,$D446,INP_DATA!$B$5:$B$3027,$B446)</f>
        <v>1</v>
      </c>
    </row>
    <row r="447" spans="1:20" x14ac:dyDescent="0.35">
      <c r="A447" s="3" t="s">
        <v>16</v>
      </c>
      <c r="B447" s="165">
        <v>45170</v>
      </c>
      <c r="C447" s="57" t="str">
        <f>IF($B447="","",YEAR($B447)&amp;"-"&amp;IFERROR(VLOOKUP(MONTH(B447),KEY!$AE$5:$AF$16,2,FALSE),""))</f>
        <v>2023-Q3</v>
      </c>
      <c r="D447" s="3" t="s">
        <v>113</v>
      </c>
      <c r="E447" s="219">
        <v>13</v>
      </c>
      <c r="F447" s="166">
        <v>91</v>
      </c>
      <c r="G447" s="166">
        <v>91</v>
      </c>
      <c r="H447" s="21">
        <v>258</v>
      </c>
      <c r="I447" s="21">
        <v>29</v>
      </c>
      <c r="J447" s="21">
        <v>73</v>
      </c>
      <c r="K447" s="21">
        <v>15</v>
      </c>
      <c r="L447" s="21">
        <v>125</v>
      </c>
      <c r="M447" s="21">
        <v>59</v>
      </c>
      <c r="N447" s="21">
        <v>91</v>
      </c>
      <c r="O447" s="19">
        <v>154</v>
      </c>
      <c r="P447" s="22">
        <v>9</v>
      </c>
      <c r="Q447" s="22">
        <v>9</v>
      </c>
      <c r="R447" s="20" t="s">
        <v>58</v>
      </c>
      <c r="S447" s="234">
        <f>COUNTIFS(INP_DATA!$R$5:$R$3027,S$4,INP_DATA!$D$5:$D$3027,$D447,INP_DATA!$B$5:$B$3027,$B447)</f>
        <v>1</v>
      </c>
      <c r="T447" s="235">
        <f>COUNTIFS(INP_DATA!$R$5:$R$3027,T$4,INP_DATA!$D$5:$D$3027,$D447,INP_DATA!$B$5:$B$3027,$B447)</f>
        <v>0</v>
      </c>
    </row>
    <row r="448" spans="1:20" x14ac:dyDescent="0.35">
      <c r="A448" s="3" t="s">
        <v>108</v>
      </c>
      <c r="B448" s="165">
        <v>45170</v>
      </c>
      <c r="C448" s="57" t="str">
        <f>IF($B448="","",YEAR($B448)&amp;"-"&amp;IFERROR(VLOOKUP(MONTH(B448),KEY!$AE$5:$AF$16,2,FALSE),""))</f>
        <v>2023-Q3</v>
      </c>
      <c r="D448" s="3" t="s">
        <v>114</v>
      </c>
      <c r="E448" s="219">
        <v>15</v>
      </c>
      <c r="F448" s="166">
        <v>72</v>
      </c>
      <c r="G448" s="166">
        <v>54</v>
      </c>
      <c r="H448" s="21">
        <v>171</v>
      </c>
      <c r="I448" s="21">
        <v>25</v>
      </c>
      <c r="J448" s="21">
        <v>48</v>
      </c>
      <c r="K448" s="21">
        <v>13</v>
      </c>
      <c r="L448" s="21">
        <v>99</v>
      </c>
      <c r="M448" s="21">
        <v>42</v>
      </c>
      <c r="N448" s="21">
        <v>72</v>
      </c>
      <c r="O448" s="19">
        <v>154</v>
      </c>
      <c r="P448" s="22">
        <v>10</v>
      </c>
      <c r="Q448" s="22">
        <v>7</v>
      </c>
      <c r="R448" s="20" t="s">
        <v>51</v>
      </c>
      <c r="S448" s="234">
        <f>COUNTIFS(INP_DATA!$R$5:$R$3027,S$4,INP_DATA!$D$5:$D$3027,$D448,INP_DATA!$B$5:$B$3027,$B448)</f>
        <v>0</v>
      </c>
      <c r="T448" s="235">
        <f>COUNTIFS(INP_DATA!$R$5:$R$3027,T$4,INP_DATA!$D$5:$D$3027,$D448,INP_DATA!$B$5:$B$3027,$B448)</f>
        <v>1</v>
      </c>
    </row>
    <row r="449" spans="1:20" x14ac:dyDescent="0.35">
      <c r="A449" s="3" t="s">
        <v>107</v>
      </c>
      <c r="B449" s="165">
        <v>45170</v>
      </c>
      <c r="C449" s="57" t="str">
        <f>IF($B449="","",YEAR($B449)&amp;"-"&amp;IFERROR(VLOOKUP(MONTH(B449),KEY!$AE$5:$AF$16,2,FALSE),""))</f>
        <v>2023-Q3</v>
      </c>
      <c r="D449" s="3" t="s">
        <v>115</v>
      </c>
      <c r="E449" s="219">
        <v>5</v>
      </c>
      <c r="F449" s="166">
        <v>88</v>
      </c>
      <c r="G449" s="166">
        <v>68</v>
      </c>
      <c r="H449" s="21">
        <v>160</v>
      </c>
      <c r="I449" s="21">
        <v>21</v>
      </c>
      <c r="J449" s="21">
        <v>48</v>
      </c>
      <c r="K449" s="21">
        <v>15</v>
      </c>
      <c r="L449" s="21">
        <v>85</v>
      </c>
      <c r="M449" s="21">
        <v>54</v>
      </c>
      <c r="N449" s="21">
        <v>88</v>
      </c>
      <c r="O449" s="19">
        <v>110</v>
      </c>
      <c r="P449" s="22" t="s">
        <v>194</v>
      </c>
      <c r="Q449" s="22" t="s">
        <v>194</v>
      </c>
      <c r="R449" s="20" t="s">
        <v>194</v>
      </c>
      <c r="S449" s="234">
        <f>COUNTIFS(INP_DATA!$R$5:$R$3027,S$4,INP_DATA!$D$5:$D$3027,$D449,INP_DATA!$B$5:$B$3027,$B449)</f>
        <v>0</v>
      </c>
      <c r="T449" s="235">
        <f>COUNTIFS(INP_DATA!$R$5:$R$3027,T$4,INP_DATA!$D$5:$D$3027,$D449,INP_DATA!$B$5:$B$3027,$B449)</f>
        <v>0</v>
      </c>
    </row>
    <row r="450" spans="1:20" x14ac:dyDescent="0.35">
      <c r="A450" s="3" t="s">
        <v>16</v>
      </c>
      <c r="B450" s="165">
        <v>45170</v>
      </c>
      <c r="C450" s="57" t="str">
        <f>IF($B450="","",YEAR($B450)&amp;"-"&amp;IFERROR(VLOOKUP(MONTH(B450),KEY!$AE$5:$AF$16,2,FALSE),""))</f>
        <v>2023-Q3</v>
      </c>
      <c r="D450" s="3" t="s">
        <v>116</v>
      </c>
      <c r="E450" s="219">
        <v>19</v>
      </c>
      <c r="F450" s="166">
        <v>138</v>
      </c>
      <c r="G450" s="166">
        <v>135</v>
      </c>
      <c r="H450" s="21">
        <v>204</v>
      </c>
      <c r="I450" s="21">
        <v>35</v>
      </c>
      <c r="J450" s="21">
        <v>102</v>
      </c>
      <c r="K450" s="21">
        <v>20</v>
      </c>
      <c r="L450" s="21">
        <v>200</v>
      </c>
      <c r="M450" s="21">
        <v>77</v>
      </c>
      <c r="N450" s="21">
        <v>140</v>
      </c>
      <c r="O450" s="19">
        <v>286</v>
      </c>
      <c r="P450" s="22">
        <v>25</v>
      </c>
      <c r="Q450" s="22">
        <v>6</v>
      </c>
      <c r="R450" s="20" t="s">
        <v>51</v>
      </c>
      <c r="S450" s="234">
        <f>COUNTIFS(INP_DATA!$R$5:$R$3027,S$4,INP_DATA!$D$5:$D$3027,$D450,INP_DATA!$B$5:$B$3027,$B450)</f>
        <v>0</v>
      </c>
      <c r="T450" s="235">
        <f>COUNTIFS(INP_DATA!$R$5:$R$3027,T$4,INP_DATA!$D$5:$D$3027,$D450,INP_DATA!$B$5:$B$3027,$B450)</f>
        <v>1</v>
      </c>
    </row>
    <row r="451" spans="1:20" x14ac:dyDescent="0.35">
      <c r="A451" s="3" t="s">
        <v>107</v>
      </c>
      <c r="B451" s="165">
        <v>45170</v>
      </c>
      <c r="C451" s="57" t="str">
        <f>IF($B451="","",YEAR($B451)&amp;"-"&amp;IFERROR(VLOOKUP(MONTH(B451),KEY!$AE$5:$AF$16,2,FALSE),""))</f>
        <v>2023-Q3</v>
      </c>
      <c r="D451" s="3" t="s">
        <v>117</v>
      </c>
      <c r="E451" s="219">
        <v>26</v>
      </c>
      <c r="F451" s="166">
        <v>161</v>
      </c>
      <c r="G451" s="166">
        <v>167</v>
      </c>
      <c r="H451" s="21">
        <v>206</v>
      </c>
      <c r="I451" s="21">
        <v>33</v>
      </c>
      <c r="J451" s="21">
        <v>140</v>
      </c>
      <c r="K451" s="21">
        <v>27</v>
      </c>
      <c r="L451" s="21">
        <v>243</v>
      </c>
      <c r="M451" s="21">
        <v>86</v>
      </c>
      <c r="N451" s="21">
        <v>163</v>
      </c>
      <c r="O451" s="19">
        <v>264</v>
      </c>
      <c r="P451" s="22">
        <v>72</v>
      </c>
      <c r="Q451" s="22">
        <v>34</v>
      </c>
      <c r="R451" s="20" t="s">
        <v>58</v>
      </c>
      <c r="S451" s="234">
        <f>COUNTIFS(INP_DATA!$R$5:$R$3027,S$4,INP_DATA!$D$5:$D$3027,$D451,INP_DATA!$B$5:$B$3027,$B451)</f>
        <v>1</v>
      </c>
      <c r="T451" s="235">
        <f>COUNTIFS(INP_DATA!$R$5:$R$3027,T$4,INP_DATA!$D$5:$D$3027,$D451,INP_DATA!$B$5:$B$3027,$B451)</f>
        <v>0</v>
      </c>
    </row>
    <row r="452" spans="1:20" x14ac:dyDescent="0.35">
      <c r="A452" s="3" t="s">
        <v>106</v>
      </c>
      <c r="B452" s="165">
        <v>45170</v>
      </c>
      <c r="C452" s="57" t="str">
        <f>IF($B452="","",YEAR($B452)&amp;"-"&amp;IFERROR(VLOOKUP(MONTH(B452),KEY!$AE$5:$AF$16,2,FALSE),""))</f>
        <v>2023-Q3</v>
      </c>
      <c r="D452" s="3" t="s">
        <v>118</v>
      </c>
      <c r="E452" s="219">
        <v>36</v>
      </c>
      <c r="F452" s="166">
        <v>254</v>
      </c>
      <c r="G452" s="166">
        <v>182</v>
      </c>
      <c r="H452" s="21">
        <v>677</v>
      </c>
      <c r="I452" s="21">
        <v>51</v>
      </c>
      <c r="J452" s="21">
        <v>241</v>
      </c>
      <c r="K452" s="21">
        <v>48</v>
      </c>
      <c r="L452" s="21">
        <v>295</v>
      </c>
      <c r="M452" s="21">
        <v>83</v>
      </c>
      <c r="N452" s="21">
        <v>256</v>
      </c>
      <c r="O452" s="19">
        <v>286</v>
      </c>
      <c r="P452" s="22">
        <v>70</v>
      </c>
      <c r="Q452" s="22">
        <v>44</v>
      </c>
      <c r="R452" s="20" t="s">
        <v>51</v>
      </c>
      <c r="S452" s="234">
        <f>COUNTIFS(INP_DATA!$R$5:$R$3027,S$4,INP_DATA!$D$5:$D$3027,$D452,INP_DATA!$B$5:$B$3027,$B452)</f>
        <v>0</v>
      </c>
      <c r="T452" s="235">
        <f>COUNTIFS(INP_DATA!$R$5:$R$3027,T$4,INP_DATA!$D$5:$D$3027,$D452,INP_DATA!$B$5:$B$3027,$B452)</f>
        <v>1</v>
      </c>
    </row>
    <row r="453" spans="1:20" x14ac:dyDescent="0.35">
      <c r="A453" s="3" t="s">
        <v>16</v>
      </c>
      <c r="B453" s="165">
        <v>45170</v>
      </c>
      <c r="C453" s="57" t="str">
        <f>IF($B453="","",YEAR($B453)&amp;"-"&amp;IFERROR(VLOOKUP(MONTH(B453),KEY!$AE$5:$AF$16,2,FALSE),""))</f>
        <v>2023-Q3</v>
      </c>
      <c r="D453" s="3" t="s">
        <v>119</v>
      </c>
      <c r="E453" s="219">
        <v>1</v>
      </c>
      <c r="F453" s="166">
        <v>11</v>
      </c>
      <c r="G453" s="166">
        <v>32</v>
      </c>
      <c r="H453" s="21">
        <v>28</v>
      </c>
      <c r="I453" s="21">
        <v>3</v>
      </c>
      <c r="J453" s="21">
        <v>18</v>
      </c>
      <c r="K453" s="21">
        <v>6</v>
      </c>
      <c r="L453" s="21">
        <v>114</v>
      </c>
      <c r="M453" s="21">
        <v>10</v>
      </c>
      <c r="N453" s="21">
        <v>12</v>
      </c>
      <c r="O453" s="19">
        <v>88</v>
      </c>
      <c r="P453" s="22">
        <v>1</v>
      </c>
      <c r="Q453" s="22">
        <v>0</v>
      </c>
      <c r="R453" s="20" t="s">
        <v>194</v>
      </c>
      <c r="S453" s="234">
        <f>COUNTIFS(INP_DATA!$R$5:$R$3027,S$4,INP_DATA!$D$5:$D$3027,$D453,INP_DATA!$B$5:$B$3027,$B453)</f>
        <v>0</v>
      </c>
      <c r="T453" s="235">
        <f>COUNTIFS(INP_DATA!$R$5:$R$3027,T$4,INP_DATA!$D$5:$D$3027,$D453,INP_DATA!$B$5:$B$3027,$B453)</f>
        <v>0</v>
      </c>
    </row>
    <row r="454" spans="1:20" x14ac:dyDescent="0.35">
      <c r="A454" s="3" t="s">
        <v>16</v>
      </c>
      <c r="B454" s="165">
        <v>45170</v>
      </c>
      <c r="C454" s="57" t="str">
        <f>IF($B454="","",YEAR($B454)&amp;"-"&amp;IFERROR(VLOOKUP(MONTH(B454),KEY!$AE$5:$AF$16,2,FALSE),""))</f>
        <v>2023-Q3</v>
      </c>
      <c r="D454" s="3" t="s">
        <v>120</v>
      </c>
      <c r="E454" s="219">
        <v>44</v>
      </c>
      <c r="F454" s="166">
        <v>331</v>
      </c>
      <c r="G454" s="166">
        <v>380</v>
      </c>
      <c r="H454" s="21">
        <v>772</v>
      </c>
      <c r="I454" s="21">
        <v>98</v>
      </c>
      <c r="J454" s="21">
        <v>298</v>
      </c>
      <c r="K454" s="21">
        <v>47</v>
      </c>
      <c r="L454" s="21">
        <v>476</v>
      </c>
      <c r="M454" s="21">
        <v>176</v>
      </c>
      <c r="N454" s="21">
        <v>337</v>
      </c>
      <c r="O454" s="19">
        <v>572</v>
      </c>
      <c r="P454" s="22">
        <v>48</v>
      </c>
      <c r="Q454" s="22">
        <v>31</v>
      </c>
      <c r="R454" s="20" t="s">
        <v>58</v>
      </c>
      <c r="S454" s="234">
        <f>COUNTIFS(INP_DATA!$R$5:$R$3027,S$4,INP_DATA!$D$5:$D$3027,$D454,INP_DATA!$B$5:$B$3027,$B454)</f>
        <v>1</v>
      </c>
      <c r="T454" s="235">
        <f>COUNTIFS(INP_DATA!$R$5:$R$3027,T$4,INP_DATA!$D$5:$D$3027,$D454,INP_DATA!$B$5:$B$3027,$B454)</f>
        <v>0</v>
      </c>
    </row>
    <row r="455" spans="1:20" x14ac:dyDescent="0.35">
      <c r="A455" s="3" t="s">
        <v>109</v>
      </c>
      <c r="B455" s="165">
        <v>45170</v>
      </c>
      <c r="C455" s="57" t="str">
        <f>IF($B455="","",YEAR($B455)&amp;"-"&amp;IFERROR(VLOOKUP(MONTH(B455),KEY!$AE$5:$AF$16,2,FALSE),""))</f>
        <v>2023-Q3</v>
      </c>
      <c r="D455" s="3" t="s">
        <v>121</v>
      </c>
      <c r="E455" s="219">
        <v>72</v>
      </c>
      <c r="F455" s="166">
        <v>215</v>
      </c>
      <c r="G455" s="166">
        <v>262</v>
      </c>
      <c r="H455" s="21">
        <v>641</v>
      </c>
      <c r="I455" s="21">
        <v>60</v>
      </c>
      <c r="J455" s="21">
        <v>244</v>
      </c>
      <c r="K455" s="21">
        <v>33</v>
      </c>
      <c r="L455" s="21">
        <v>575</v>
      </c>
      <c r="M455" s="21">
        <v>180</v>
      </c>
      <c r="N455" s="21">
        <v>215</v>
      </c>
      <c r="O455" s="19">
        <v>462</v>
      </c>
      <c r="P455" s="22">
        <v>21</v>
      </c>
      <c r="Q455" s="22">
        <v>15</v>
      </c>
      <c r="R455" s="20" t="s">
        <v>58</v>
      </c>
      <c r="S455" s="234">
        <f>COUNTIFS(INP_DATA!$R$5:$R$3027,S$4,INP_DATA!$D$5:$D$3027,$D455,INP_DATA!$B$5:$B$3027,$B455)</f>
        <v>1</v>
      </c>
      <c r="T455" s="235">
        <f>COUNTIFS(INP_DATA!$R$5:$R$3027,T$4,INP_DATA!$D$5:$D$3027,$D455,INP_DATA!$B$5:$B$3027,$B455)</f>
        <v>0</v>
      </c>
    </row>
    <row r="456" spans="1:20" x14ac:dyDescent="0.35">
      <c r="A456" s="3" t="s">
        <v>108</v>
      </c>
      <c r="B456" s="165">
        <v>45170</v>
      </c>
      <c r="C456" s="57" t="str">
        <f>IF($B456="","",YEAR($B456)&amp;"-"&amp;IFERROR(VLOOKUP(MONTH(B456),KEY!$AE$5:$AF$16,2,FALSE),""))</f>
        <v>2023-Q3</v>
      </c>
      <c r="D456" s="3" t="s">
        <v>122</v>
      </c>
      <c r="E456" s="219">
        <v>17</v>
      </c>
      <c r="F456" s="166">
        <v>103</v>
      </c>
      <c r="G456" s="166">
        <v>98</v>
      </c>
      <c r="H456" s="21">
        <v>346</v>
      </c>
      <c r="I456" s="21">
        <v>42</v>
      </c>
      <c r="J456" s="21">
        <v>98</v>
      </c>
      <c r="K456" s="21">
        <v>15</v>
      </c>
      <c r="L456" s="21">
        <v>272</v>
      </c>
      <c r="M456" s="21">
        <v>69</v>
      </c>
      <c r="N456" s="21">
        <v>105</v>
      </c>
      <c r="O456" s="19">
        <v>132</v>
      </c>
      <c r="P456" s="22" t="s">
        <v>194</v>
      </c>
      <c r="Q456" s="22" t="s">
        <v>194</v>
      </c>
      <c r="R456" s="20" t="s">
        <v>58</v>
      </c>
      <c r="S456" s="234">
        <f>COUNTIFS(INP_DATA!$R$5:$R$3027,S$4,INP_DATA!$D$5:$D$3027,$D456,INP_DATA!$B$5:$B$3027,$B456)</f>
        <v>1</v>
      </c>
      <c r="T456" s="235">
        <f>COUNTIFS(INP_DATA!$R$5:$R$3027,T$4,INP_DATA!$D$5:$D$3027,$D456,INP_DATA!$B$5:$B$3027,$B456)</f>
        <v>0</v>
      </c>
    </row>
    <row r="457" spans="1:20" x14ac:dyDescent="0.35">
      <c r="A457" s="3" t="s">
        <v>107</v>
      </c>
      <c r="B457" s="165">
        <v>45170</v>
      </c>
      <c r="C457" s="57" t="str">
        <f>IF($B457="","",YEAR($B457)&amp;"-"&amp;IFERROR(VLOOKUP(MONTH(B457),KEY!$AE$5:$AF$16,2,FALSE),""))</f>
        <v>2023-Q3</v>
      </c>
      <c r="D457" s="3" t="s">
        <v>123</v>
      </c>
      <c r="E457" s="219">
        <v>60</v>
      </c>
      <c r="F457" s="166">
        <v>236</v>
      </c>
      <c r="G457" s="166">
        <v>191</v>
      </c>
      <c r="H457" s="21">
        <v>310</v>
      </c>
      <c r="I457" s="21">
        <v>54</v>
      </c>
      <c r="J457" s="21">
        <v>142</v>
      </c>
      <c r="K457" s="21">
        <v>35</v>
      </c>
      <c r="L457" s="21">
        <v>406</v>
      </c>
      <c r="M457" s="21">
        <v>195</v>
      </c>
      <c r="N457" s="21">
        <v>240</v>
      </c>
      <c r="O457" s="19">
        <v>352</v>
      </c>
      <c r="P457" s="22">
        <v>38</v>
      </c>
      <c r="Q457" s="22">
        <v>28</v>
      </c>
      <c r="R457" s="20" t="s">
        <v>58</v>
      </c>
      <c r="S457" s="234">
        <f>COUNTIFS(INP_DATA!$R$5:$R$3027,S$4,INP_DATA!$D$5:$D$3027,$D457,INP_DATA!$B$5:$B$3027,$B457)</f>
        <v>1</v>
      </c>
      <c r="T457" s="235">
        <f>COUNTIFS(INP_DATA!$R$5:$R$3027,T$4,INP_DATA!$D$5:$D$3027,$D457,INP_DATA!$B$5:$B$3027,$B457)</f>
        <v>0</v>
      </c>
    </row>
    <row r="458" spans="1:20" x14ac:dyDescent="0.35">
      <c r="A458" s="3" t="s">
        <v>108</v>
      </c>
      <c r="B458" s="165">
        <v>45170</v>
      </c>
      <c r="C458" s="57" t="str">
        <f>IF($B458="","",YEAR($B458)&amp;"-"&amp;IFERROR(VLOOKUP(MONTH(B458),KEY!$AE$5:$AF$16,2,FALSE),""))</f>
        <v>2023-Q3</v>
      </c>
      <c r="D458" s="3" t="s">
        <v>124</v>
      </c>
      <c r="E458" s="219">
        <v>85</v>
      </c>
      <c r="F458" s="166">
        <v>234</v>
      </c>
      <c r="G458" s="166">
        <v>247</v>
      </c>
      <c r="H458" s="21">
        <v>372</v>
      </c>
      <c r="I458" s="21">
        <v>49</v>
      </c>
      <c r="J458" s="21">
        <v>220</v>
      </c>
      <c r="K458" s="21">
        <v>26</v>
      </c>
      <c r="L458" s="21">
        <v>424</v>
      </c>
      <c r="M458" s="21">
        <v>138</v>
      </c>
      <c r="N458" s="21">
        <v>232</v>
      </c>
      <c r="O458" s="19">
        <v>396</v>
      </c>
      <c r="P458" s="22">
        <v>56</v>
      </c>
      <c r="Q458" s="22">
        <v>34</v>
      </c>
      <c r="R458" s="20" t="s">
        <v>58</v>
      </c>
      <c r="S458" s="234">
        <f>COUNTIFS(INP_DATA!$R$5:$R$3027,S$4,INP_DATA!$D$5:$D$3027,$D458,INP_DATA!$B$5:$B$3027,$B458)</f>
        <v>1</v>
      </c>
      <c r="T458" s="235">
        <f>COUNTIFS(INP_DATA!$R$5:$R$3027,T$4,INP_DATA!$D$5:$D$3027,$D458,INP_DATA!$B$5:$B$3027,$B458)</f>
        <v>0</v>
      </c>
    </row>
    <row r="459" spans="1:20" x14ac:dyDescent="0.35">
      <c r="A459" s="3" t="s">
        <v>106</v>
      </c>
      <c r="B459" s="165">
        <v>45170</v>
      </c>
      <c r="C459" s="57" t="str">
        <f>IF($B459="","",YEAR($B459)&amp;"-"&amp;IFERROR(VLOOKUP(MONTH(B459),KEY!$AE$5:$AF$16,2,FALSE),""))</f>
        <v>2023-Q3</v>
      </c>
      <c r="D459" s="3" t="s">
        <v>195</v>
      </c>
      <c r="E459" s="219">
        <v>15</v>
      </c>
      <c r="F459" s="166">
        <v>46</v>
      </c>
      <c r="G459" s="166">
        <v>33</v>
      </c>
      <c r="H459" s="21">
        <v>123</v>
      </c>
      <c r="I459" s="21">
        <v>16</v>
      </c>
      <c r="J459" s="21">
        <v>40</v>
      </c>
      <c r="K459" s="21">
        <v>7</v>
      </c>
      <c r="L459" s="21">
        <v>80</v>
      </c>
      <c r="M459" s="21">
        <v>31</v>
      </c>
      <c r="N459" s="21">
        <v>46</v>
      </c>
      <c r="O459" s="19">
        <v>110</v>
      </c>
      <c r="P459" s="22">
        <v>10</v>
      </c>
      <c r="Q459" s="22">
        <v>9</v>
      </c>
      <c r="R459" s="20" t="s">
        <v>58</v>
      </c>
      <c r="S459" s="234">
        <f>COUNTIFS(INP_DATA!$R$5:$R$3027,S$4,INP_DATA!$D$5:$D$3027,$D459,INP_DATA!$B$5:$B$3027,$B459)</f>
        <v>1</v>
      </c>
      <c r="T459" s="235">
        <f>COUNTIFS(INP_DATA!$R$5:$R$3027,T$4,INP_DATA!$D$5:$D$3027,$D459,INP_DATA!$B$5:$B$3027,$B459)</f>
        <v>0</v>
      </c>
    </row>
    <row r="460" spans="1:20" x14ac:dyDescent="0.35">
      <c r="A460" s="3" t="s">
        <v>106</v>
      </c>
      <c r="B460" s="165">
        <v>45170</v>
      </c>
      <c r="C460" s="57" t="str">
        <f>IF($B460="","",YEAR($B460)&amp;"-"&amp;IFERROR(VLOOKUP(MONTH(B460),KEY!$AE$5:$AF$16,2,FALSE),""))</f>
        <v>2023-Q3</v>
      </c>
      <c r="D460" s="3" t="s">
        <v>125</v>
      </c>
      <c r="E460" s="219">
        <v>39</v>
      </c>
      <c r="F460" s="166">
        <v>262</v>
      </c>
      <c r="G460" s="166">
        <v>293</v>
      </c>
      <c r="H460" s="21">
        <v>521</v>
      </c>
      <c r="I460" s="21">
        <v>74</v>
      </c>
      <c r="J460" s="21">
        <v>225</v>
      </c>
      <c r="K460" s="21">
        <v>56</v>
      </c>
      <c r="L460" s="21">
        <v>567</v>
      </c>
      <c r="M460" s="21">
        <v>115</v>
      </c>
      <c r="N460" s="21">
        <v>266</v>
      </c>
      <c r="O460" s="19">
        <v>440</v>
      </c>
      <c r="P460" s="22">
        <v>27</v>
      </c>
      <c r="Q460" s="22">
        <v>18</v>
      </c>
      <c r="R460" s="20" t="s">
        <v>58</v>
      </c>
      <c r="S460" s="234">
        <f>COUNTIFS(INP_DATA!$R$5:$R$3027,S$4,INP_DATA!$D$5:$D$3027,$D460,INP_DATA!$B$5:$B$3027,$B460)</f>
        <v>1</v>
      </c>
      <c r="T460" s="235">
        <f>COUNTIFS(INP_DATA!$R$5:$R$3027,T$4,INP_DATA!$D$5:$D$3027,$D460,INP_DATA!$B$5:$B$3027,$B460)</f>
        <v>0</v>
      </c>
    </row>
    <row r="461" spans="1:20" x14ac:dyDescent="0.35">
      <c r="A461" s="3" t="s">
        <v>107</v>
      </c>
      <c r="B461" s="165">
        <v>45170</v>
      </c>
      <c r="C461" s="57" t="str">
        <f>IF($B461="","",YEAR($B461)&amp;"-"&amp;IFERROR(VLOOKUP(MONTH(B461),KEY!$AE$5:$AF$16,2,FALSE),""))</f>
        <v>2023-Q3</v>
      </c>
      <c r="D461" s="3" t="s">
        <v>126</v>
      </c>
      <c r="E461" s="219">
        <v>96</v>
      </c>
      <c r="F461" s="166">
        <v>462</v>
      </c>
      <c r="G461" s="166">
        <v>400</v>
      </c>
      <c r="H461" s="21">
        <v>656</v>
      </c>
      <c r="I461" s="21">
        <v>111</v>
      </c>
      <c r="J461" s="21">
        <v>355</v>
      </c>
      <c r="K461" s="21">
        <v>70</v>
      </c>
      <c r="L461" s="21">
        <v>719</v>
      </c>
      <c r="M461" s="21">
        <v>277</v>
      </c>
      <c r="N461" s="21">
        <v>469</v>
      </c>
      <c r="O461" s="19">
        <v>726</v>
      </c>
      <c r="P461" s="22">
        <v>134</v>
      </c>
      <c r="Q461" s="22">
        <v>81</v>
      </c>
      <c r="R461" s="20" t="s">
        <v>58</v>
      </c>
      <c r="S461" s="234">
        <f>COUNTIFS(INP_DATA!$R$5:$R$3027,S$4,INP_DATA!$D$5:$D$3027,$D461,INP_DATA!$B$5:$B$3027,$B461)</f>
        <v>1</v>
      </c>
      <c r="T461" s="235">
        <f>COUNTIFS(INP_DATA!$R$5:$R$3027,T$4,INP_DATA!$D$5:$D$3027,$D461,INP_DATA!$B$5:$B$3027,$B461)</f>
        <v>0</v>
      </c>
    </row>
    <row r="462" spans="1:20" x14ac:dyDescent="0.35">
      <c r="A462" s="3" t="s">
        <v>107</v>
      </c>
      <c r="B462" s="165">
        <v>45170</v>
      </c>
      <c r="C462" s="57" t="str">
        <f>IF($B462="","",YEAR($B462)&amp;"-"&amp;IFERROR(VLOOKUP(MONTH(B462),KEY!$AE$5:$AF$16,2,FALSE),""))</f>
        <v>2023-Q3</v>
      </c>
      <c r="D462" s="3" t="s">
        <v>127</v>
      </c>
      <c r="E462" s="219">
        <v>17</v>
      </c>
      <c r="F462" s="166">
        <v>59</v>
      </c>
      <c r="G462" s="166">
        <v>42</v>
      </c>
      <c r="H462" s="21">
        <v>102</v>
      </c>
      <c r="I462" s="21">
        <v>15</v>
      </c>
      <c r="J462" s="21">
        <v>35</v>
      </c>
      <c r="K462" s="21">
        <v>10</v>
      </c>
      <c r="L462" s="21">
        <v>91</v>
      </c>
      <c r="M462" s="21">
        <v>43</v>
      </c>
      <c r="N462" s="21">
        <v>60</v>
      </c>
      <c r="O462" s="19">
        <v>110</v>
      </c>
      <c r="P462" s="22">
        <v>14</v>
      </c>
      <c r="Q462" s="22">
        <v>9</v>
      </c>
      <c r="R462" s="20" t="s">
        <v>58</v>
      </c>
      <c r="S462" s="234">
        <f>COUNTIFS(INP_DATA!$R$5:$R$3027,S$4,INP_DATA!$D$5:$D$3027,$D462,INP_DATA!$B$5:$B$3027,$B462)</f>
        <v>1</v>
      </c>
      <c r="T462" s="235">
        <f>COUNTIFS(INP_DATA!$R$5:$R$3027,T$4,INP_DATA!$D$5:$D$3027,$D462,INP_DATA!$B$5:$B$3027,$B462)</f>
        <v>0</v>
      </c>
    </row>
    <row r="463" spans="1:20" x14ac:dyDescent="0.35">
      <c r="A463" s="3" t="s">
        <v>109</v>
      </c>
      <c r="B463" s="165">
        <v>45170</v>
      </c>
      <c r="C463" s="57" t="str">
        <f>IF($B463="","",YEAR($B463)&amp;"-"&amp;IFERROR(VLOOKUP(MONTH(B463),KEY!$AE$5:$AF$16,2,FALSE),""))</f>
        <v>2023-Q3</v>
      </c>
      <c r="D463" s="3" t="s">
        <v>128</v>
      </c>
      <c r="E463" s="219">
        <v>0</v>
      </c>
      <c r="F463" s="166">
        <v>264</v>
      </c>
      <c r="G463" s="166">
        <v>222</v>
      </c>
      <c r="H463" s="21">
        <v>563</v>
      </c>
      <c r="I463" s="21">
        <v>84</v>
      </c>
      <c r="J463" s="21">
        <v>335</v>
      </c>
      <c r="K463" s="21">
        <v>71</v>
      </c>
      <c r="L463" s="21">
        <v>465</v>
      </c>
      <c r="M463" s="21">
        <v>175</v>
      </c>
      <c r="N463" s="21">
        <v>265</v>
      </c>
      <c r="O463" s="19">
        <v>308</v>
      </c>
      <c r="P463" s="22" t="s">
        <v>194</v>
      </c>
      <c r="Q463" s="22" t="s">
        <v>194</v>
      </c>
      <c r="R463" s="20" t="s">
        <v>51</v>
      </c>
      <c r="S463" s="234">
        <f>COUNTIFS(INP_DATA!$R$5:$R$3027,S$4,INP_DATA!$D$5:$D$3027,$D463,INP_DATA!$B$5:$B$3027,$B463)</f>
        <v>0</v>
      </c>
      <c r="T463" s="235">
        <f>COUNTIFS(INP_DATA!$R$5:$R$3027,T$4,INP_DATA!$D$5:$D$3027,$D463,INP_DATA!$B$5:$B$3027,$B463)</f>
        <v>1</v>
      </c>
    </row>
    <row r="464" spans="1:20" x14ac:dyDescent="0.35">
      <c r="A464" s="3" t="s">
        <v>106</v>
      </c>
      <c r="B464" s="165">
        <v>45170</v>
      </c>
      <c r="C464" s="57" t="str">
        <f>IF($B464="","",YEAR($B464)&amp;"-"&amp;IFERROR(VLOOKUP(MONTH(B464),KEY!$AE$5:$AF$16,2,FALSE),""))</f>
        <v>2023-Q3</v>
      </c>
      <c r="D464" s="3" t="s">
        <v>129</v>
      </c>
      <c r="E464" s="219">
        <v>6</v>
      </c>
      <c r="F464" s="166">
        <v>150</v>
      </c>
      <c r="G464" s="166">
        <v>136</v>
      </c>
      <c r="H464" s="21">
        <v>232</v>
      </c>
      <c r="I464" s="21">
        <v>30</v>
      </c>
      <c r="J464" s="21">
        <v>166</v>
      </c>
      <c r="K464" s="21">
        <v>33</v>
      </c>
      <c r="L464" s="21">
        <v>283</v>
      </c>
      <c r="M464" s="21">
        <v>65</v>
      </c>
      <c r="N464" s="21">
        <v>153</v>
      </c>
      <c r="O464" s="19">
        <v>308</v>
      </c>
      <c r="P464" s="22">
        <v>30</v>
      </c>
      <c r="Q464" s="22">
        <v>18</v>
      </c>
      <c r="R464" s="20" t="s">
        <v>58</v>
      </c>
      <c r="S464" s="234">
        <f>COUNTIFS(INP_DATA!$R$5:$R$3027,S$4,INP_DATA!$D$5:$D$3027,$D464,INP_DATA!$B$5:$B$3027,$B464)</f>
        <v>1</v>
      </c>
      <c r="T464" s="235">
        <f>COUNTIFS(INP_DATA!$R$5:$R$3027,T$4,INP_DATA!$D$5:$D$3027,$D464,INP_DATA!$B$5:$B$3027,$B464)</f>
        <v>0</v>
      </c>
    </row>
    <row r="465" spans="1:20" x14ac:dyDescent="0.35">
      <c r="A465" s="3" t="s">
        <v>108</v>
      </c>
      <c r="B465" s="165">
        <v>45170</v>
      </c>
      <c r="C465" s="57" t="str">
        <f>IF($B465="","",YEAR($B465)&amp;"-"&amp;IFERROR(VLOOKUP(MONTH(B465),KEY!$AE$5:$AF$16,2,FALSE),""))</f>
        <v>2023-Q3</v>
      </c>
      <c r="D465" s="3" t="s">
        <v>130</v>
      </c>
      <c r="E465" s="219">
        <v>26</v>
      </c>
      <c r="F465" s="166">
        <v>159</v>
      </c>
      <c r="G465" s="166">
        <v>90</v>
      </c>
      <c r="H465" s="21">
        <v>327</v>
      </c>
      <c r="I465" s="21">
        <v>46</v>
      </c>
      <c r="J465" s="21">
        <v>166</v>
      </c>
      <c r="K465" s="21">
        <v>47</v>
      </c>
      <c r="L465" s="21">
        <v>213</v>
      </c>
      <c r="M465" s="21">
        <v>94</v>
      </c>
      <c r="N465" s="21">
        <v>173</v>
      </c>
      <c r="O465" s="19">
        <v>198</v>
      </c>
      <c r="P465" s="22">
        <v>38</v>
      </c>
      <c r="Q465" s="22">
        <v>23</v>
      </c>
      <c r="R465" s="20" t="s">
        <v>58</v>
      </c>
      <c r="S465" s="234">
        <f>COUNTIFS(INP_DATA!$R$5:$R$3027,S$4,INP_DATA!$D$5:$D$3027,$D465,INP_DATA!$B$5:$B$3027,$B465)</f>
        <v>1</v>
      </c>
      <c r="T465" s="235">
        <f>COUNTIFS(INP_DATA!$R$5:$R$3027,T$4,INP_DATA!$D$5:$D$3027,$D465,INP_DATA!$B$5:$B$3027,$B465)</f>
        <v>0</v>
      </c>
    </row>
    <row r="466" spans="1:20" x14ac:dyDescent="0.35">
      <c r="A466" s="3" t="s">
        <v>109</v>
      </c>
      <c r="B466" s="165">
        <v>45170</v>
      </c>
      <c r="C466" s="57" t="str">
        <f>IF($B466="","",YEAR($B466)&amp;"-"&amp;IFERROR(VLOOKUP(MONTH(B466),KEY!$AE$5:$AF$16,2,FALSE),""))</f>
        <v>2023-Q3</v>
      </c>
      <c r="D466" s="3" t="s">
        <v>131</v>
      </c>
      <c r="E466" s="219">
        <v>47</v>
      </c>
      <c r="F466" s="166">
        <v>222</v>
      </c>
      <c r="G466" s="166">
        <v>144</v>
      </c>
      <c r="H466" s="21">
        <v>143</v>
      </c>
      <c r="I466" s="21">
        <v>21</v>
      </c>
      <c r="J466" s="21">
        <v>178</v>
      </c>
      <c r="K466" s="21">
        <v>39</v>
      </c>
      <c r="L466" s="21">
        <v>365</v>
      </c>
      <c r="M466" s="21">
        <v>66</v>
      </c>
      <c r="N466" s="21">
        <v>230</v>
      </c>
      <c r="O466" s="19">
        <v>308</v>
      </c>
      <c r="P466" s="22">
        <v>7</v>
      </c>
      <c r="Q466" s="22">
        <v>5</v>
      </c>
      <c r="R466" s="20" t="s">
        <v>58</v>
      </c>
      <c r="S466" s="234">
        <f>COUNTIFS(INP_DATA!$R$5:$R$3027,S$4,INP_DATA!$D$5:$D$3027,$D466,INP_DATA!$B$5:$B$3027,$B466)</f>
        <v>1</v>
      </c>
      <c r="T466" s="235">
        <f>COUNTIFS(INP_DATA!$R$5:$R$3027,T$4,INP_DATA!$D$5:$D$3027,$D466,INP_DATA!$B$5:$B$3027,$B466)</f>
        <v>0</v>
      </c>
    </row>
    <row r="467" spans="1:20" x14ac:dyDescent="0.35">
      <c r="A467" s="3" t="s">
        <v>108</v>
      </c>
      <c r="B467" s="165">
        <v>45170</v>
      </c>
      <c r="C467" s="57" t="str">
        <f>IF($B467="","",YEAR($B467)&amp;"-"&amp;IFERROR(VLOOKUP(MONTH(B467),KEY!$AE$5:$AF$16,2,FALSE),""))</f>
        <v>2023-Q3</v>
      </c>
      <c r="D467" s="3" t="s">
        <v>134</v>
      </c>
      <c r="E467" s="219">
        <v>8</v>
      </c>
      <c r="F467" s="166">
        <v>44</v>
      </c>
      <c r="G467" s="166">
        <v>43</v>
      </c>
      <c r="H467" s="21">
        <v>72</v>
      </c>
      <c r="I467" s="21">
        <v>11</v>
      </c>
      <c r="J467" s="21">
        <v>24</v>
      </c>
      <c r="K467" s="21">
        <v>5</v>
      </c>
      <c r="L467" s="21">
        <v>45</v>
      </c>
      <c r="M467" s="21">
        <v>27</v>
      </c>
      <c r="N467" s="21">
        <v>44</v>
      </c>
      <c r="O467" s="19">
        <v>88</v>
      </c>
      <c r="P467" s="22">
        <v>18</v>
      </c>
      <c r="Q467" s="22">
        <v>16</v>
      </c>
      <c r="R467" s="20" t="s">
        <v>51</v>
      </c>
      <c r="S467" s="234">
        <f>COUNTIFS(INP_DATA!$R$5:$R$3027,S$4,INP_DATA!$D$5:$D$3027,$D467,INP_DATA!$B$5:$B$3027,$B467)</f>
        <v>0</v>
      </c>
      <c r="T467" s="235">
        <f>COUNTIFS(INP_DATA!$R$5:$R$3027,T$4,INP_DATA!$D$5:$D$3027,$D467,INP_DATA!$B$5:$B$3027,$B467)</f>
        <v>1</v>
      </c>
    </row>
    <row r="468" spans="1:20" x14ac:dyDescent="0.35">
      <c r="A468" s="3" t="s">
        <v>108</v>
      </c>
      <c r="B468" s="165">
        <v>45170</v>
      </c>
      <c r="C468" s="57" t="str">
        <f>IF($B468="","",YEAR($B468)&amp;"-"&amp;IFERROR(VLOOKUP(MONTH(B468),KEY!$AE$5:$AF$16,2,FALSE),""))</f>
        <v>2023-Q3</v>
      </c>
      <c r="D468" s="3" t="s">
        <v>135</v>
      </c>
      <c r="E468" s="219">
        <v>52</v>
      </c>
      <c r="F468" s="166">
        <v>240</v>
      </c>
      <c r="G468" s="166">
        <v>244</v>
      </c>
      <c r="H468" s="21">
        <v>402</v>
      </c>
      <c r="I468" s="21">
        <v>58</v>
      </c>
      <c r="J468" s="21">
        <v>151</v>
      </c>
      <c r="K468" s="21">
        <v>34</v>
      </c>
      <c r="L468" s="21">
        <v>664</v>
      </c>
      <c r="M468" s="21">
        <v>132</v>
      </c>
      <c r="N468" s="21">
        <v>244</v>
      </c>
      <c r="O468" s="19">
        <v>352</v>
      </c>
      <c r="P468" s="22">
        <v>37</v>
      </c>
      <c r="Q468" s="22">
        <v>25</v>
      </c>
      <c r="R468" s="20" t="s">
        <v>51</v>
      </c>
      <c r="S468" s="234">
        <f>COUNTIFS(INP_DATA!$R$5:$R$3027,S$4,INP_DATA!$D$5:$D$3027,$D468,INP_DATA!$B$5:$B$3027,$B468)</f>
        <v>0</v>
      </c>
      <c r="T468" s="235">
        <f>COUNTIFS(INP_DATA!$R$5:$R$3027,T$4,INP_DATA!$D$5:$D$3027,$D468,INP_DATA!$B$5:$B$3027,$B468)</f>
        <v>1</v>
      </c>
    </row>
    <row r="469" spans="1:20" x14ac:dyDescent="0.35">
      <c r="A469" s="3" t="s">
        <v>16</v>
      </c>
      <c r="B469" s="165">
        <v>45170</v>
      </c>
      <c r="C469" s="57" t="str">
        <f>IF($B469="","",YEAR($B469)&amp;"-"&amp;IFERROR(VLOOKUP(MONTH(B469),KEY!$AE$5:$AF$16,2,FALSE),""))</f>
        <v>2023-Q3</v>
      </c>
      <c r="D469" s="3" t="s">
        <v>196</v>
      </c>
      <c r="E469" s="219">
        <v>10</v>
      </c>
      <c r="F469" s="166">
        <v>51</v>
      </c>
      <c r="G469" s="166">
        <v>39</v>
      </c>
      <c r="H469" s="21">
        <v>119</v>
      </c>
      <c r="I469" s="21">
        <v>17</v>
      </c>
      <c r="J469" s="21">
        <v>74</v>
      </c>
      <c r="K469" s="21">
        <v>11</v>
      </c>
      <c r="L469" s="21">
        <v>105</v>
      </c>
      <c r="M469" s="21">
        <v>37</v>
      </c>
      <c r="N469" s="21">
        <v>51</v>
      </c>
      <c r="O469" s="19">
        <v>88</v>
      </c>
      <c r="P469" s="22" t="s">
        <v>194</v>
      </c>
      <c r="Q469" s="22" t="s">
        <v>194</v>
      </c>
      <c r="R469" s="20" t="s">
        <v>58</v>
      </c>
      <c r="S469" s="234">
        <f>COUNTIFS(INP_DATA!$R$5:$R$3027,S$4,INP_DATA!$D$5:$D$3027,$D469,INP_DATA!$B$5:$B$3027,$B469)</f>
        <v>1</v>
      </c>
      <c r="T469" s="235">
        <f>COUNTIFS(INP_DATA!$R$5:$R$3027,T$4,INP_DATA!$D$5:$D$3027,$D469,INP_DATA!$B$5:$B$3027,$B469)</f>
        <v>0</v>
      </c>
    </row>
    <row r="470" spans="1:20" x14ac:dyDescent="0.35">
      <c r="A470" s="3" t="s">
        <v>16</v>
      </c>
      <c r="B470" s="165">
        <v>45170</v>
      </c>
      <c r="C470" s="57" t="str">
        <f>IF($B470="","",YEAR($B470)&amp;"-"&amp;IFERROR(VLOOKUP(MONTH(B470),KEY!$AE$5:$AF$16,2,FALSE),""))</f>
        <v>2023-Q3</v>
      </c>
      <c r="D470" s="3" t="s">
        <v>197</v>
      </c>
      <c r="E470" s="219">
        <v>20</v>
      </c>
      <c r="F470" s="166">
        <v>95</v>
      </c>
      <c r="G470" s="166">
        <v>92</v>
      </c>
      <c r="H470" s="21">
        <v>109</v>
      </c>
      <c r="I470" s="21">
        <v>22</v>
      </c>
      <c r="J470" s="21">
        <v>94</v>
      </c>
      <c r="K470" s="21">
        <v>20</v>
      </c>
      <c r="L470" s="21">
        <v>126</v>
      </c>
      <c r="M470" s="21">
        <v>67</v>
      </c>
      <c r="N470" s="21">
        <v>96</v>
      </c>
      <c r="O470" s="19">
        <v>220</v>
      </c>
      <c r="P470" s="22">
        <v>12</v>
      </c>
      <c r="Q470" s="22">
        <v>9</v>
      </c>
      <c r="R470" s="20" t="s">
        <v>58</v>
      </c>
      <c r="S470" s="234">
        <f>COUNTIFS(INP_DATA!$R$5:$R$3027,S$4,INP_DATA!$D$5:$D$3027,$D470,INP_DATA!$B$5:$B$3027,$B470)</f>
        <v>1</v>
      </c>
      <c r="T470" s="235">
        <f>COUNTIFS(INP_DATA!$R$5:$R$3027,T$4,INP_DATA!$D$5:$D$3027,$D470,INP_DATA!$B$5:$B$3027,$B470)</f>
        <v>0</v>
      </c>
    </row>
    <row r="471" spans="1:20" x14ac:dyDescent="0.35">
      <c r="A471" s="3" t="s">
        <v>109</v>
      </c>
      <c r="B471" s="165">
        <v>45170</v>
      </c>
      <c r="C471" s="57" t="str">
        <f>IF($B471="","",YEAR($B471)&amp;"-"&amp;IFERROR(VLOOKUP(MONTH(B471),KEY!$AE$5:$AF$16,2,FALSE),""))</f>
        <v>2023-Q3</v>
      </c>
      <c r="D471" s="3" t="s">
        <v>136</v>
      </c>
      <c r="E471" s="219">
        <v>77</v>
      </c>
      <c r="F471" s="166">
        <v>261</v>
      </c>
      <c r="G471" s="166">
        <v>217</v>
      </c>
      <c r="H471" s="21">
        <v>455</v>
      </c>
      <c r="I471" s="21">
        <v>41</v>
      </c>
      <c r="J471" s="21">
        <v>380</v>
      </c>
      <c r="K471" s="21">
        <v>35</v>
      </c>
      <c r="L471" s="21">
        <v>436</v>
      </c>
      <c r="M471" s="21">
        <v>181</v>
      </c>
      <c r="N471" s="21">
        <v>260</v>
      </c>
      <c r="O471" s="19">
        <v>330</v>
      </c>
      <c r="P471" s="22">
        <v>33</v>
      </c>
      <c r="Q471" s="22">
        <v>29</v>
      </c>
      <c r="R471" s="20" t="s">
        <v>51</v>
      </c>
      <c r="S471" s="234">
        <f>COUNTIFS(INP_DATA!$R$5:$R$3027,S$4,INP_DATA!$D$5:$D$3027,$D471,INP_DATA!$B$5:$B$3027,$B471)</f>
        <v>0</v>
      </c>
      <c r="T471" s="235">
        <f>COUNTIFS(INP_DATA!$R$5:$R$3027,T$4,INP_DATA!$D$5:$D$3027,$D471,INP_DATA!$B$5:$B$3027,$B471)</f>
        <v>1</v>
      </c>
    </row>
    <row r="472" spans="1:20" x14ac:dyDescent="0.35">
      <c r="A472" s="3" t="s">
        <v>16</v>
      </c>
      <c r="B472" s="165">
        <v>45170</v>
      </c>
      <c r="C472" s="57" t="str">
        <f>IF($B472="","",YEAR($B472)&amp;"-"&amp;IFERROR(VLOOKUP(MONTH(B472),KEY!$AE$5:$AF$16,2,FALSE),""))</f>
        <v>2023-Q3</v>
      </c>
      <c r="D472" s="3" t="s">
        <v>137</v>
      </c>
      <c r="E472" s="219">
        <v>13</v>
      </c>
      <c r="F472" s="166">
        <v>88</v>
      </c>
      <c r="G472" s="166">
        <v>76</v>
      </c>
      <c r="H472" s="21">
        <v>188</v>
      </c>
      <c r="I472" s="21">
        <v>26</v>
      </c>
      <c r="J472" s="21">
        <v>160</v>
      </c>
      <c r="K472" s="21">
        <v>33</v>
      </c>
      <c r="L472" s="21">
        <v>129</v>
      </c>
      <c r="M472" s="21">
        <v>53</v>
      </c>
      <c r="N472" s="21">
        <v>89</v>
      </c>
      <c r="O472" s="19">
        <v>198</v>
      </c>
      <c r="P472" s="22">
        <v>14</v>
      </c>
      <c r="Q472" s="22">
        <v>8</v>
      </c>
      <c r="R472" s="20" t="s">
        <v>51</v>
      </c>
      <c r="S472" s="234">
        <f>COUNTIFS(INP_DATA!$R$5:$R$3027,S$4,INP_DATA!$D$5:$D$3027,$D472,INP_DATA!$B$5:$B$3027,$B472)</f>
        <v>0</v>
      </c>
      <c r="T472" s="235">
        <f>COUNTIFS(INP_DATA!$R$5:$R$3027,T$4,INP_DATA!$D$5:$D$3027,$D472,INP_DATA!$B$5:$B$3027,$B472)</f>
        <v>1</v>
      </c>
    </row>
    <row r="473" spans="1:20" x14ac:dyDescent="0.35">
      <c r="A473" s="3" t="s">
        <v>109</v>
      </c>
      <c r="B473" s="165">
        <v>45170</v>
      </c>
      <c r="C473" s="57" t="str">
        <f>IF($B473="","",YEAR($B473)&amp;"-"&amp;IFERROR(VLOOKUP(MONTH(B473),KEY!$AE$5:$AF$16,2,FALSE),""))</f>
        <v>2023-Q3</v>
      </c>
      <c r="D473" s="3" t="s">
        <v>138</v>
      </c>
      <c r="E473" s="219">
        <v>9</v>
      </c>
      <c r="F473" s="166">
        <v>142</v>
      </c>
      <c r="G473" s="166">
        <v>112</v>
      </c>
      <c r="H473" s="21">
        <v>246</v>
      </c>
      <c r="I473" s="21">
        <v>36</v>
      </c>
      <c r="J473" s="21">
        <v>213</v>
      </c>
      <c r="K473" s="21">
        <v>37</v>
      </c>
      <c r="L473" s="21">
        <v>229</v>
      </c>
      <c r="M473" s="21">
        <v>101</v>
      </c>
      <c r="N473" s="21">
        <v>146</v>
      </c>
      <c r="O473" s="19">
        <v>198</v>
      </c>
      <c r="P473" s="22">
        <v>16</v>
      </c>
      <c r="Q473" s="22">
        <v>11</v>
      </c>
      <c r="R473" s="20" t="s">
        <v>51</v>
      </c>
      <c r="S473" s="234">
        <f>COUNTIFS(INP_DATA!$R$5:$R$3027,S$4,INP_DATA!$D$5:$D$3027,$D473,INP_DATA!$B$5:$B$3027,$B473)</f>
        <v>0</v>
      </c>
      <c r="T473" s="235">
        <f>COUNTIFS(INP_DATA!$R$5:$R$3027,T$4,INP_DATA!$D$5:$D$3027,$D473,INP_DATA!$B$5:$B$3027,$B473)</f>
        <v>1</v>
      </c>
    </row>
    <row r="474" spans="1:20" x14ac:dyDescent="0.35">
      <c r="A474" s="3" t="s">
        <v>108</v>
      </c>
      <c r="B474" s="165">
        <v>45170</v>
      </c>
      <c r="C474" s="57" t="str">
        <f>IF($B474="","",YEAR($B474)&amp;"-"&amp;IFERROR(VLOOKUP(MONTH(B474),KEY!$AE$5:$AF$16,2,FALSE),""))</f>
        <v>2023-Q3</v>
      </c>
      <c r="D474" s="3" t="s">
        <v>139</v>
      </c>
      <c r="E474" s="219">
        <v>32</v>
      </c>
      <c r="F474" s="166">
        <v>149</v>
      </c>
      <c r="G474" s="166">
        <v>155</v>
      </c>
      <c r="H474" s="21">
        <v>303</v>
      </c>
      <c r="I474" s="21">
        <v>47</v>
      </c>
      <c r="J474" s="21">
        <v>126</v>
      </c>
      <c r="K474" s="21">
        <v>33</v>
      </c>
      <c r="L474" s="21">
        <v>439</v>
      </c>
      <c r="M474" s="21">
        <v>118</v>
      </c>
      <c r="N474" s="21">
        <v>150</v>
      </c>
      <c r="O474" s="19">
        <v>242</v>
      </c>
      <c r="P474" s="22">
        <v>74</v>
      </c>
      <c r="Q474" s="22">
        <v>55</v>
      </c>
      <c r="R474" s="20" t="s">
        <v>58</v>
      </c>
      <c r="S474" s="234">
        <f>COUNTIFS(INP_DATA!$R$5:$R$3027,S$4,INP_DATA!$D$5:$D$3027,$D474,INP_DATA!$B$5:$B$3027,$B474)</f>
        <v>1</v>
      </c>
      <c r="T474" s="235">
        <f>COUNTIFS(INP_DATA!$R$5:$R$3027,T$4,INP_DATA!$D$5:$D$3027,$D474,INP_DATA!$B$5:$B$3027,$B474)</f>
        <v>0</v>
      </c>
    </row>
    <row r="475" spans="1:20" x14ac:dyDescent="0.35">
      <c r="A475" s="3" t="s">
        <v>107</v>
      </c>
      <c r="B475" s="165">
        <v>45170</v>
      </c>
      <c r="C475" s="57" t="str">
        <f>IF($B475="","",YEAR($B475)&amp;"-"&amp;IFERROR(VLOOKUP(MONTH(B475),KEY!$AE$5:$AF$16,2,FALSE),""))</f>
        <v>2023-Q3</v>
      </c>
      <c r="D475" s="3" t="s">
        <v>140</v>
      </c>
      <c r="E475" s="219">
        <v>6</v>
      </c>
      <c r="F475" s="166">
        <v>23</v>
      </c>
      <c r="G475" s="166">
        <v>23</v>
      </c>
      <c r="H475" s="21">
        <v>45</v>
      </c>
      <c r="I475" s="21">
        <v>4</v>
      </c>
      <c r="J475" s="21">
        <v>36</v>
      </c>
      <c r="K475" s="21">
        <v>10</v>
      </c>
      <c r="L475" s="21">
        <v>50</v>
      </c>
      <c r="M475" s="21">
        <v>19</v>
      </c>
      <c r="N475" s="21">
        <v>23</v>
      </c>
      <c r="O475" s="19">
        <v>66</v>
      </c>
      <c r="P475" s="22">
        <v>11</v>
      </c>
      <c r="Q475" s="22">
        <v>7</v>
      </c>
      <c r="R475" s="20" t="s">
        <v>194</v>
      </c>
      <c r="S475" s="234">
        <f>COUNTIFS(INP_DATA!$R$5:$R$3027,S$4,INP_DATA!$D$5:$D$3027,$D475,INP_DATA!$B$5:$B$3027,$B475)</f>
        <v>0</v>
      </c>
      <c r="T475" s="235">
        <f>COUNTIFS(INP_DATA!$R$5:$R$3027,T$4,INP_DATA!$D$5:$D$3027,$D475,INP_DATA!$B$5:$B$3027,$B475)</f>
        <v>0</v>
      </c>
    </row>
    <row r="476" spans="1:20" x14ac:dyDescent="0.35">
      <c r="A476" s="3" t="s">
        <v>108</v>
      </c>
      <c r="B476" s="165">
        <v>45170</v>
      </c>
      <c r="C476" s="57" t="str">
        <f>IF($B476="","",YEAR($B476)&amp;"-"&amp;IFERROR(VLOOKUP(MONTH(B476),KEY!$AE$5:$AF$16,2,FALSE),""))</f>
        <v>2023-Q3</v>
      </c>
      <c r="D476" s="3" t="s">
        <v>142</v>
      </c>
      <c r="E476" s="219">
        <v>15</v>
      </c>
      <c r="F476" s="166">
        <v>82</v>
      </c>
      <c r="G476" s="166">
        <v>62</v>
      </c>
      <c r="H476" s="21">
        <v>180</v>
      </c>
      <c r="I476" s="21">
        <v>29</v>
      </c>
      <c r="J476" s="21">
        <v>55</v>
      </c>
      <c r="K476" s="21">
        <v>14</v>
      </c>
      <c r="L476" s="21">
        <v>140</v>
      </c>
      <c r="M476" s="21">
        <v>55</v>
      </c>
      <c r="N476" s="21">
        <v>82</v>
      </c>
      <c r="O476" s="19">
        <v>132</v>
      </c>
      <c r="P476" s="22">
        <v>30</v>
      </c>
      <c r="Q476" s="22">
        <v>20</v>
      </c>
      <c r="R476" s="20" t="s">
        <v>51</v>
      </c>
      <c r="S476" s="234">
        <f>COUNTIFS(INP_DATA!$R$5:$R$3027,S$4,INP_DATA!$D$5:$D$3027,$D476,INP_DATA!$B$5:$B$3027,$B476)</f>
        <v>0</v>
      </c>
      <c r="T476" s="235">
        <f>COUNTIFS(INP_DATA!$R$5:$R$3027,T$4,INP_DATA!$D$5:$D$3027,$D476,INP_DATA!$B$5:$B$3027,$B476)</f>
        <v>1</v>
      </c>
    </row>
    <row r="477" spans="1:20" x14ac:dyDescent="0.35">
      <c r="A477" s="3" t="s">
        <v>16</v>
      </c>
      <c r="B477" s="165">
        <v>45170</v>
      </c>
      <c r="C477" s="57" t="str">
        <f>IF($B477="","",YEAR($B477)&amp;"-"&amp;IFERROR(VLOOKUP(MONTH(B477),KEY!$AE$5:$AF$16,2,FALSE),""))</f>
        <v>2023-Q3</v>
      </c>
      <c r="D477" s="3" t="s">
        <v>143</v>
      </c>
      <c r="E477" s="219">
        <v>16</v>
      </c>
      <c r="F477" s="166">
        <v>64</v>
      </c>
      <c r="G477" s="166">
        <v>71</v>
      </c>
      <c r="H477" s="21">
        <v>98</v>
      </c>
      <c r="I477" s="21">
        <v>17</v>
      </c>
      <c r="J477" s="21">
        <v>68</v>
      </c>
      <c r="K477" s="21">
        <v>15</v>
      </c>
      <c r="L477" s="21">
        <v>127</v>
      </c>
      <c r="M477" s="21">
        <v>42</v>
      </c>
      <c r="N477" s="21">
        <v>65</v>
      </c>
      <c r="O477" s="19">
        <v>154</v>
      </c>
      <c r="P477" s="22">
        <v>8</v>
      </c>
      <c r="Q477" s="22">
        <v>4</v>
      </c>
      <c r="R477" s="20" t="s">
        <v>58</v>
      </c>
      <c r="S477" s="234">
        <f>COUNTIFS(INP_DATA!$R$5:$R$3027,S$4,INP_DATA!$D$5:$D$3027,$D477,INP_DATA!$B$5:$B$3027,$B477)</f>
        <v>1</v>
      </c>
      <c r="T477" s="235">
        <f>COUNTIFS(INP_DATA!$R$5:$R$3027,T$4,INP_DATA!$D$5:$D$3027,$D477,INP_DATA!$B$5:$B$3027,$B477)</f>
        <v>0</v>
      </c>
    </row>
    <row r="478" spans="1:20" x14ac:dyDescent="0.35">
      <c r="A478" s="3" t="s">
        <v>16</v>
      </c>
      <c r="B478" s="165">
        <v>45170</v>
      </c>
      <c r="C478" s="57" t="str">
        <f>IF($B478="","",YEAR($B478)&amp;"-"&amp;IFERROR(VLOOKUP(MONTH(B478),KEY!$AE$5:$AF$16,2,FALSE),""))</f>
        <v>2023-Q3</v>
      </c>
      <c r="D478" s="3" t="s">
        <v>144</v>
      </c>
      <c r="E478" s="219">
        <v>44</v>
      </c>
      <c r="F478" s="166">
        <v>176</v>
      </c>
      <c r="G478" s="166">
        <v>174</v>
      </c>
      <c r="H478" s="21">
        <v>224</v>
      </c>
      <c r="I478" s="21">
        <v>34</v>
      </c>
      <c r="J478" s="21">
        <v>126</v>
      </c>
      <c r="K478" s="21">
        <v>20</v>
      </c>
      <c r="L478" s="21">
        <v>334</v>
      </c>
      <c r="M478" s="21">
        <v>116</v>
      </c>
      <c r="N478" s="21">
        <v>181</v>
      </c>
      <c r="O478" s="19">
        <v>396</v>
      </c>
      <c r="P478" s="22">
        <v>14</v>
      </c>
      <c r="Q478" s="22">
        <v>11</v>
      </c>
      <c r="R478" s="20" t="s">
        <v>58</v>
      </c>
      <c r="S478" s="234">
        <f>COUNTIFS(INP_DATA!$R$5:$R$3027,S$4,INP_DATA!$D$5:$D$3027,$D478,INP_DATA!$B$5:$B$3027,$B478)</f>
        <v>1</v>
      </c>
      <c r="T478" s="235">
        <f>COUNTIFS(INP_DATA!$R$5:$R$3027,T$4,INP_DATA!$D$5:$D$3027,$D478,INP_DATA!$B$5:$B$3027,$B478)</f>
        <v>0</v>
      </c>
    </row>
    <row r="479" spans="1:20" x14ac:dyDescent="0.35">
      <c r="A479" s="3" t="s">
        <v>108</v>
      </c>
      <c r="B479" s="165">
        <v>45170</v>
      </c>
      <c r="C479" s="57" t="str">
        <f>IF($B479="","",YEAR($B479)&amp;"-"&amp;IFERROR(VLOOKUP(MONTH(B479),KEY!$AE$5:$AF$16,2,FALSE),""))</f>
        <v>2023-Q3</v>
      </c>
      <c r="D479" s="3" t="s">
        <v>145</v>
      </c>
      <c r="E479" s="219">
        <v>65</v>
      </c>
      <c r="F479" s="166">
        <v>178</v>
      </c>
      <c r="G479" s="166">
        <v>177</v>
      </c>
      <c r="H479" s="21">
        <v>258</v>
      </c>
      <c r="I479" s="21">
        <v>35</v>
      </c>
      <c r="J479" s="21">
        <v>191</v>
      </c>
      <c r="K479" s="21">
        <v>36</v>
      </c>
      <c r="L479" s="21">
        <v>401</v>
      </c>
      <c r="M479" s="21">
        <v>106</v>
      </c>
      <c r="N479" s="21">
        <v>178</v>
      </c>
      <c r="O479" s="19">
        <v>330</v>
      </c>
      <c r="P479" s="22">
        <v>47</v>
      </c>
      <c r="Q479" s="22">
        <v>26</v>
      </c>
      <c r="R479" s="20" t="s">
        <v>51</v>
      </c>
      <c r="S479" s="234">
        <f>COUNTIFS(INP_DATA!$R$5:$R$3027,S$4,INP_DATA!$D$5:$D$3027,$D479,INP_DATA!$B$5:$B$3027,$B479)</f>
        <v>0</v>
      </c>
      <c r="T479" s="235">
        <f>COUNTIFS(INP_DATA!$R$5:$R$3027,T$4,INP_DATA!$D$5:$D$3027,$D479,INP_DATA!$B$5:$B$3027,$B479)</f>
        <v>1</v>
      </c>
    </row>
    <row r="480" spans="1:20" x14ac:dyDescent="0.35">
      <c r="A480" s="3" t="s">
        <v>16</v>
      </c>
      <c r="B480" s="165">
        <v>45170</v>
      </c>
      <c r="C480" s="57" t="str">
        <f>IF($B480="","",YEAR($B480)&amp;"-"&amp;IFERROR(VLOOKUP(MONTH(B480),KEY!$AE$5:$AF$16,2,FALSE),""))</f>
        <v>2023-Q3</v>
      </c>
      <c r="D480" s="3" t="s">
        <v>146</v>
      </c>
      <c r="E480" s="219">
        <v>8</v>
      </c>
      <c r="F480" s="166">
        <v>49</v>
      </c>
      <c r="G480" s="166">
        <v>43</v>
      </c>
      <c r="H480" s="21">
        <v>115</v>
      </c>
      <c r="I480" s="21">
        <v>17</v>
      </c>
      <c r="J480" s="21">
        <v>32</v>
      </c>
      <c r="K480" s="21">
        <v>5</v>
      </c>
      <c r="L480" s="21">
        <v>72</v>
      </c>
      <c r="M480" s="21">
        <v>36</v>
      </c>
      <c r="N480" s="21">
        <v>49</v>
      </c>
      <c r="O480" s="19">
        <v>88</v>
      </c>
      <c r="P480" s="22">
        <v>4</v>
      </c>
      <c r="Q480" s="22">
        <v>3</v>
      </c>
      <c r="R480" s="20" t="s">
        <v>58</v>
      </c>
      <c r="S480" s="234">
        <f>COUNTIFS(INP_DATA!$R$5:$R$3027,S$4,INP_DATA!$D$5:$D$3027,$D480,INP_DATA!$B$5:$B$3027,$B480)</f>
        <v>1</v>
      </c>
      <c r="T480" s="235">
        <f>COUNTIFS(INP_DATA!$R$5:$R$3027,T$4,INP_DATA!$D$5:$D$3027,$D480,INP_DATA!$B$5:$B$3027,$B480)</f>
        <v>0</v>
      </c>
    </row>
    <row r="481" spans="1:20" x14ac:dyDescent="0.35">
      <c r="A481" s="3" t="s">
        <v>109</v>
      </c>
      <c r="B481" s="165">
        <v>45170</v>
      </c>
      <c r="C481" s="57" t="str">
        <f>IF($B481="","",YEAR($B481)&amp;"-"&amp;IFERROR(VLOOKUP(MONTH(B481),KEY!$AE$5:$AF$16,2,FALSE),""))</f>
        <v>2023-Q3</v>
      </c>
      <c r="D481" s="3" t="s">
        <v>147</v>
      </c>
      <c r="E481" s="219">
        <v>4</v>
      </c>
      <c r="F481" s="166">
        <v>37</v>
      </c>
      <c r="G481" s="166">
        <v>58</v>
      </c>
      <c r="H481" s="21">
        <v>116</v>
      </c>
      <c r="I481" s="21">
        <v>12</v>
      </c>
      <c r="J481" s="21">
        <v>33</v>
      </c>
      <c r="K481" s="21">
        <v>4</v>
      </c>
      <c r="L481" s="21">
        <v>71</v>
      </c>
      <c r="M481" s="21">
        <v>31</v>
      </c>
      <c r="N481" s="21">
        <v>37</v>
      </c>
      <c r="O481" s="19">
        <v>88</v>
      </c>
      <c r="P481" s="22">
        <v>5</v>
      </c>
      <c r="Q481" s="22">
        <v>4</v>
      </c>
      <c r="R481" s="20" t="s">
        <v>58</v>
      </c>
      <c r="S481" s="234">
        <f>COUNTIFS(INP_DATA!$R$5:$R$3027,S$4,INP_DATA!$D$5:$D$3027,$D481,INP_DATA!$B$5:$B$3027,$B481)</f>
        <v>1</v>
      </c>
      <c r="T481" s="235">
        <f>COUNTIFS(INP_DATA!$R$5:$R$3027,T$4,INP_DATA!$D$5:$D$3027,$D481,INP_DATA!$B$5:$B$3027,$B481)</f>
        <v>0</v>
      </c>
    </row>
    <row r="482" spans="1:20" x14ac:dyDescent="0.35">
      <c r="A482" s="3" t="s">
        <v>106</v>
      </c>
      <c r="B482" s="165">
        <v>45170</v>
      </c>
      <c r="C482" s="57" t="str">
        <f>IF($B482="","",YEAR($B482)&amp;"-"&amp;IFERROR(VLOOKUP(MONTH(B482),KEY!$AE$5:$AF$16,2,FALSE),""))</f>
        <v>2023-Q3</v>
      </c>
      <c r="D482" s="3" t="s">
        <v>148</v>
      </c>
      <c r="E482" s="219">
        <v>19</v>
      </c>
      <c r="F482" s="166">
        <v>47</v>
      </c>
      <c r="G482" s="166">
        <v>48</v>
      </c>
      <c r="H482" s="21">
        <v>135</v>
      </c>
      <c r="I482" s="21">
        <v>13</v>
      </c>
      <c r="J482" s="21">
        <v>78</v>
      </c>
      <c r="K482" s="21">
        <v>12</v>
      </c>
      <c r="L482" s="21">
        <v>122</v>
      </c>
      <c r="M482" s="21">
        <v>40</v>
      </c>
      <c r="N482" s="21">
        <v>46</v>
      </c>
      <c r="O482" s="19">
        <v>88</v>
      </c>
      <c r="P482" s="22">
        <v>5</v>
      </c>
      <c r="Q482" s="22">
        <v>2</v>
      </c>
      <c r="R482" s="20" t="s">
        <v>58</v>
      </c>
      <c r="S482" s="234">
        <f>COUNTIFS(INP_DATA!$R$5:$R$3027,S$4,INP_DATA!$D$5:$D$3027,$D482,INP_DATA!$B$5:$B$3027,$B482)</f>
        <v>1</v>
      </c>
      <c r="T482" s="235">
        <f>COUNTIFS(INP_DATA!$R$5:$R$3027,T$4,INP_DATA!$D$5:$D$3027,$D482,INP_DATA!$B$5:$B$3027,$B482)</f>
        <v>0</v>
      </c>
    </row>
    <row r="483" spans="1:20" x14ac:dyDescent="0.35">
      <c r="A483" s="3" t="s">
        <v>107</v>
      </c>
      <c r="B483" s="165">
        <v>45170</v>
      </c>
      <c r="C483" s="57" t="str">
        <f>IF($B483="","",YEAR($B483)&amp;"-"&amp;IFERROR(VLOOKUP(MONTH(B483),KEY!$AE$5:$AF$16,2,FALSE),""))</f>
        <v>2023-Q3</v>
      </c>
      <c r="D483" s="3" t="s">
        <v>149</v>
      </c>
      <c r="E483" s="219">
        <v>4</v>
      </c>
      <c r="F483" s="166">
        <v>23</v>
      </c>
      <c r="G483" s="166">
        <v>17</v>
      </c>
      <c r="H483" s="21">
        <v>61</v>
      </c>
      <c r="I483" s="21">
        <v>9</v>
      </c>
      <c r="J483" s="21">
        <v>18</v>
      </c>
      <c r="K483" s="21">
        <v>2</v>
      </c>
      <c r="L483" s="21">
        <v>36</v>
      </c>
      <c r="M483" s="21">
        <v>15</v>
      </c>
      <c r="N483" s="21">
        <v>24</v>
      </c>
      <c r="O483" s="19">
        <v>44</v>
      </c>
      <c r="P483" s="22">
        <v>4</v>
      </c>
      <c r="Q483" s="22">
        <v>2</v>
      </c>
      <c r="R483" s="20" t="s">
        <v>58</v>
      </c>
      <c r="S483" s="234">
        <f>COUNTIFS(INP_DATA!$R$5:$R$3027,S$4,INP_DATA!$D$5:$D$3027,$D483,INP_DATA!$B$5:$B$3027,$B483)</f>
        <v>1</v>
      </c>
      <c r="T483" s="235">
        <f>COUNTIFS(INP_DATA!$R$5:$R$3027,T$4,INP_DATA!$D$5:$D$3027,$D483,INP_DATA!$B$5:$B$3027,$B483)</f>
        <v>0</v>
      </c>
    </row>
    <row r="484" spans="1:20" x14ac:dyDescent="0.35">
      <c r="A484" s="3" t="s">
        <v>108</v>
      </c>
      <c r="B484" s="165">
        <v>45170</v>
      </c>
      <c r="C484" s="57" t="str">
        <f>IF($B484="","",YEAR($B484)&amp;"-"&amp;IFERROR(VLOOKUP(MONTH(B484),KEY!$AE$5:$AF$16,2,FALSE),""))</f>
        <v>2023-Q3</v>
      </c>
      <c r="D484" s="3" t="s">
        <v>150</v>
      </c>
      <c r="E484" s="219">
        <v>10</v>
      </c>
      <c r="F484" s="166">
        <v>52</v>
      </c>
      <c r="G484" s="166">
        <v>56</v>
      </c>
      <c r="H484" s="21">
        <v>100</v>
      </c>
      <c r="I484" s="21">
        <v>15</v>
      </c>
      <c r="J484" s="21">
        <v>9</v>
      </c>
      <c r="K484" s="21">
        <v>3</v>
      </c>
      <c r="L484" s="21">
        <v>78</v>
      </c>
      <c r="M484" s="21">
        <v>29</v>
      </c>
      <c r="N484" s="21">
        <v>55</v>
      </c>
      <c r="O484" s="19">
        <v>66</v>
      </c>
      <c r="P484" s="22">
        <v>5</v>
      </c>
      <c r="Q484" s="22">
        <v>3</v>
      </c>
      <c r="R484" s="20" t="s">
        <v>58</v>
      </c>
      <c r="S484" s="234">
        <f>COUNTIFS(INP_DATA!$R$5:$R$3027,S$4,INP_DATA!$D$5:$D$3027,$D484,INP_DATA!$B$5:$B$3027,$B484)</f>
        <v>1</v>
      </c>
      <c r="T484" s="235">
        <f>COUNTIFS(INP_DATA!$R$5:$R$3027,T$4,INP_DATA!$D$5:$D$3027,$D484,INP_DATA!$B$5:$B$3027,$B484)</f>
        <v>0</v>
      </c>
    </row>
    <row r="485" spans="1:20" x14ac:dyDescent="0.35">
      <c r="A485" s="3" t="s">
        <v>16</v>
      </c>
      <c r="B485" s="165">
        <v>45170</v>
      </c>
      <c r="C485" s="57" t="str">
        <f>IF($B485="","",YEAR($B485)&amp;"-"&amp;IFERROR(VLOOKUP(MONTH(B485),KEY!$AE$5:$AF$16,2,FALSE),""))</f>
        <v>2023-Q3</v>
      </c>
      <c r="D485" s="3" t="s">
        <v>151</v>
      </c>
      <c r="E485" s="219">
        <v>4</v>
      </c>
      <c r="F485" s="166">
        <v>31</v>
      </c>
      <c r="G485" s="166">
        <v>29</v>
      </c>
      <c r="H485" s="21">
        <v>80</v>
      </c>
      <c r="I485" s="21">
        <v>13</v>
      </c>
      <c r="J485" s="21">
        <v>18</v>
      </c>
      <c r="K485" s="21">
        <v>3</v>
      </c>
      <c r="L485" s="21">
        <v>57</v>
      </c>
      <c r="M485" s="21">
        <v>22</v>
      </c>
      <c r="N485" s="21">
        <v>30</v>
      </c>
      <c r="O485" s="19">
        <v>88</v>
      </c>
      <c r="P485" s="22">
        <v>1</v>
      </c>
      <c r="Q485" s="22">
        <v>1</v>
      </c>
      <c r="R485" s="20" t="s">
        <v>58</v>
      </c>
      <c r="S485" s="234">
        <f>COUNTIFS(INP_DATA!$R$5:$R$3027,S$4,INP_DATA!$D$5:$D$3027,$D485,INP_DATA!$B$5:$B$3027,$B485)</f>
        <v>1</v>
      </c>
      <c r="T485" s="235">
        <f>COUNTIFS(INP_DATA!$R$5:$R$3027,T$4,INP_DATA!$D$5:$D$3027,$D485,INP_DATA!$B$5:$B$3027,$B485)</f>
        <v>0</v>
      </c>
    </row>
    <row r="486" spans="1:20" x14ac:dyDescent="0.35">
      <c r="A486" s="3" t="s">
        <v>106</v>
      </c>
      <c r="B486" s="165">
        <v>45170</v>
      </c>
      <c r="C486" s="57" t="str">
        <f>IF($B486="","",YEAR($B486)&amp;"-"&amp;IFERROR(VLOOKUP(MONTH(B486),KEY!$AE$5:$AF$16,2,FALSE),""))</f>
        <v>2023-Q3</v>
      </c>
      <c r="D486" s="3" t="s">
        <v>152</v>
      </c>
      <c r="E486" s="219">
        <v>46</v>
      </c>
      <c r="F486" s="166">
        <v>215</v>
      </c>
      <c r="G486" s="166">
        <v>147</v>
      </c>
      <c r="H486" s="21">
        <v>531</v>
      </c>
      <c r="I486" s="21">
        <v>93</v>
      </c>
      <c r="J486" s="21">
        <v>155</v>
      </c>
      <c r="K486" s="21">
        <v>42</v>
      </c>
      <c r="L486" s="21">
        <v>397</v>
      </c>
      <c r="M486" s="21">
        <v>170</v>
      </c>
      <c r="N486" s="21">
        <v>215</v>
      </c>
      <c r="O486" s="19">
        <v>286</v>
      </c>
      <c r="P486" s="22">
        <v>50</v>
      </c>
      <c r="Q486" s="22">
        <v>31</v>
      </c>
      <c r="R486" s="20" t="s">
        <v>58</v>
      </c>
      <c r="S486" s="234">
        <f>COUNTIFS(INP_DATA!$R$5:$R$3027,S$4,INP_DATA!$D$5:$D$3027,$D486,INP_DATA!$B$5:$B$3027,$B486)</f>
        <v>1</v>
      </c>
      <c r="T486" s="235">
        <f>COUNTIFS(INP_DATA!$R$5:$R$3027,T$4,INP_DATA!$D$5:$D$3027,$D486,INP_DATA!$B$5:$B$3027,$B486)</f>
        <v>0</v>
      </c>
    </row>
    <row r="487" spans="1:20" x14ac:dyDescent="0.35">
      <c r="A487" s="3" t="s">
        <v>16</v>
      </c>
      <c r="B487" s="165">
        <v>45170</v>
      </c>
      <c r="C487" s="57" t="str">
        <f>IF($B487="","",YEAR($B487)&amp;"-"&amp;IFERROR(VLOOKUP(MONTH(B487),KEY!$AE$5:$AF$16,2,FALSE),""))</f>
        <v>2023-Q3</v>
      </c>
      <c r="D487" s="3" t="s">
        <v>153</v>
      </c>
      <c r="E487" s="219">
        <v>36</v>
      </c>
      <c r="F487" s="166">
        <v>108</v>
      </c>
      <c r="G487" s="166">
        <v>76</v>
      </c>
      <c r="H487" s="21">
        <v>293</v>
      </c>
      <c r="I487" s="21">
        <v>17</v>
      </c>
      <c r="J487" s="21">
        <v>101</v>
      </c>
      <c r="K487" s="21">
        <v>20</v>
      </c>
      <c r="L487" s="21">
        <v>362</v>
      </c>
      <c r="M487" s="21">
        <v>55</v>
      </c>
      <c r="N487" s="21">
        <v>106</v>
      </c>
      <c r="O487" s="19">
        <v>286</v>
      </c>
      <c r="P487" s="22">
        <v>5</v>
      </c>
      <c r="Q487" s="22">
        <v>4</v>
      </c>
      <c r="R487" s="20" t="s">
        <v>194</v>
      </c>
      <c r="S487" s="234">
        <f>COUNTIFS(INP_DATA!$R$5:$R$3027,S$4,INP_DATA!$D$5:$D$3027,$D487,INP_DATA!$B$5:$B$3027,$B487)</f>
        <v>0</v>
      </c>
      <c r="T487" s="235">
        <f>COUNTIFS(INP_DATA!$R$5:$R$3027,T$4,INP_DATA!$D$5:$D$3027,$D487,INP_DATA!$B$5:$B$3027,$B487)</f>
        <v>0</v>
      </c>
    </row>
    <row r="488" spans="1:20" x14ac:dyDescent="0.35">
      <c r="A488" s="3" t="s">
        <v>106</v>
      </c>
      <c r="B488" s="165">
        <v>45170</v>
      </c>
      <c r="C488" s="57" t="str">
        <f>IF($B488="","",YEAR($B488)&amp;"-"&amp;IFERROR(VLOOKUP(MONTH(B488),KEY!$AE$5:$AF$16,2,FALSE),""))</f>
        <v>2023-Q3</v>
      </c>
      <c r="D488" s="3" t="s">
        <v>154</v>
      </c>
      <c r="E488" s="219">
        <v>19</v>
      </c>
      <c r="F488" s="166">
        <v>76</v>
      </c>
      <c r="G488" s="166">
        <v>73</v>
      </c>
      <c r="H488" s="21">
        <v>246</v>
      </c>
      <c r="I488" s="21">
        <v>19</v>
      </c>
      <c r="J488" s="21">
        <v>154</v>
      </c>
      <c r="K488" s="21">
        <v>23</v>
      </c>
      <c r="L488" s="21">
        <v>191</v>
      </c>
      <c r="M488" s="21">
        <v>44</v>
      </c>
      <c r="N488" s="21">
        <v>76</v>
      </c>
      <c r="O488" s="19">
        <v>110</v>
      </c>
      <c r="P488" s="22">
        <v>11</v>
      </c>
      <c r="Q488" s="22">
        <v>7</v>
      </c>
      <c r="R488" s="20" t="s">
        <v>194</v>
      </c>
      <c r="S488" s="234">
        <f>COUNTIFS(INP_DATA!$R$5:$R$3027,S$4,INP_DATA!$D$5:$D$3027,$D488,INP_DATA!$B$5:$B$3027,$B488)</f>
        <v>0</v>
      </c>
      <c r="T488" s="235">
        <f>COUNTIFS(INP_DATA!$R$5:$R$3027,T$4,INP_DATA!$D$5:$D$3027,$D488,INP_DATA!$B$5:$B$3027,$B488)</f>
        <v>0</v>
      </c>
    </row>
    <row r="489" spans="1:20" x14ac:dyDescent="0.35">
      <c r="A489" s="3" t="s">
        <v>109</v>
      </c>
      <c r="B489" s="165">
        <v>45170</v>
      </c>
      <c r="C489" s="57" t="str">
        <f>IF($B489="","",YEAR($B489)&amp;"-"&amp;IFERROR(VLOOKUP(MONTH(B489),KEY!$AE$5:$AF$16,2,FALSE),""))</f>
        <v>2023-Q3</v>
      </c>
      <c r="D489" s="3" t="s">
        <v>155</v>
      </c>
      <c r="E489" s="219">
        <v>72</v>
      </c>
      <c r="F489" s="166">
        <v>301</v>
      </c>
      <c r="G489" s="166">
        <v>211</v>
      </c>
      <c r="H489" s="21">
        <v>897</v>
      </c>
      <c r="I489" s="21">
        <v>97</v>
      </c>
      <c r="J489" s="21">
        <v>303</v>
      </c>
      <c r="K489" s="21">
        <v>41</v>
      </c>
      <c r="L489" s="21">
        <v>409</v>
      </c>
      <c r="M489" s="21">
        <v>153</v>
      </c>
      <c r="N489" s="21">
        <v>312</v>
      </c>
      <c r="O489" s="19">
        <v>484</v>
      </c>
      <c r="P489" s="22">
        <v>43</v>
      </c>
      <c r="Q489" s="22">
        <v>28</v>
      </c>
      <c r="R489" s="20" t="s">
        <v>51</v>
      </c>
      <c r="S489" s="234">
        <f>COUNTIFS(INP_DATA!$R$5:$R$3027,S$4,INP_DATA!$D$5:$D$3027,$D489,INP_DATA!$B$5:$B$3027,$B489)</f>
        <v>0</v>
      </c>
      <c r="T489" s="235">
        <f>COUNTIFS(INP_DATA!$R$5:$R$3027,T$4,INP_DATA!$D$5:$D$3027,$D489,INP_DATA!$B$5:$B$3027,$B489)</f>
        <v>1</v>
      </c>
    </row>
    <row r="490" spans="1:20" x14ac:dyDescent="0.35">
      <c r="A490" s="3" t="s">
        <v>109</v>
      </c>
      <c r="B490" s="165">
        <v>45170</v>
      </c>
      <c r="C490" s="57" t="str">
        <f>IF($B490="","",YEAR($B490)&amp;"-"&amp;IFERROR(VLOOKUP(MONTH(B490),KEY!$AE$5:$AF$16,2,FALSE),""))</f>
        <v>2023-Q3</v>
      </c>
      <c r="D490" s="3" t="s">
        <v>156</v>
      </c>
      <c r="E490" s="219">
        <v>56</v>
      </c>
      <c r="F490" s="166">
        <v>205</v>
      </c>
      <c r="G490" s="166">
        <v>288</v>
      </c>
      <c r="H490" s="21">
        <v>489</v>
      </c>
      <c r="I490" s="21">
        <v>60</v>
      </c>
      <c r="J490" s="21">
        <v>246</v>
      </c>
      <c r="K490" s="21">
        <v>45</v>
      </c>
      <c r="L490" s="21">
        <v>408</v>
      </c>
      <c r="M490" s="21">
        <v>93</v>
      </c>
      <c r="N490" s="21">
        <v>211</v>
      </c>
      <c r="O490" s="19">
        <v>418</v>
      </c>
      <c r="P490" s="22">
        <v>18</v>
      </c>
      <c r="Q490" s="22">
        <v>9</v>
      </c>
      <c r="R490" s="20" t="s">
        <v>51</v>
      </c>
      <c r="S490" s="234">
        <f>COUNTIFS(INP_DATA!$R$5:$R$3027,S$4,INP_DATA!$D$5:$D$3027,$D490,INP_DATA!$B$5:$B$3027,$B490)</f>
        <v>0</v>
      </c>
      <c r="T490" s="235">
        <f>COUNTIFS(INP_DATA!$R$5:$R$3027,T$4,INP_DATA!$D$5:$D$3027,$D490,INP_DATA!$B$5:$B$3027,$B490)</f>
        <v>1</v>
      </c>
    </row>
    <row r="491" spans="1:20" x14ac:dyDescent="0.35">
      <c r="A491" s="3" t="s">
        <v>109</v>
      </c>
      <c r="B491" s="165">
        <v>45170</v>
      </c>
      <c r="C491" s="57" t="str">
        <f>IF($B491="","",YEAR($B491)&amp;"-"&amp;IFERROR(VLOOKUP(MONTH(B491),KEY!$AE$5:$AF$16,2,FALSE),""))</f>
        <v>2023-Q3</v>
      </c>
      <c r="D491" s="3" t="s">
        <v>157</v>
      </c>
      <c r="E491" s="219">
        <v>3</v>
      </c>
      <c r="F491" s="166">
        <v>277</v>
      </c>
      <c r="G491" s="166">
        <v>235</v>
      </c>
      <c r="H491" s="21">
        <v>1032</v>
      </c>
      <c r="I491" s="21">
        <v>66</v>
      </c>
      <c r="J491" s="21">
        <v>748</v>
      </c>
      <c r="K491" s="21">
        <v>40</v>
      </c>
      <c r="L491" s="21">
        <v>528</v>
      </c>
      <c r="M491" s="21">
        <v>100</v>
      </c>
      <c r="N491" s="21">
        <v>292</v>
      </c>
      <c r="O491" s="19">
        <v>462</v>
      </c>
      <c r="P491" s="22">
        <v>20</v>
      </c>
      <c r="Q491" s="22">
        <v>11</v>
      </c>
      <c r="R491" s="20" t="s">
        <v>51</v>
      </c>
      <c r="S491" s="234">
        <f>COUNTIFS(INP_DATA!$R$5:$R$3027,S$4,INP_DATA!$D$5:$D$3027,$D491,INP_DATA!$B$5:$B$3027,$B491)</f>
        <v>0</v>
      </c>
      <c r="T491" s="235">
        <f>COUNTIFS(INP_DATA!$R$5:$R$3027,T$4,INP_DATA!$D$5:$D$3027,$D491,INP_DATA!$B$5:$B$3027,$B491)</f>
        <v>1</v>
      </c>
    </row>
    <row r="492" spans="1:20" x14ac:dyDescent="0.35">
      <c r="A492" s="3" t="s">
        <v>16</v>
      </c>
      <c r="B492" s="165">
        <v>45170</v>
      </c>
      <c r="C492" s="57" t="str">
        <f>IF($B492="","",YEAR($B492)&amp;"-"&amp;IFERROR(VLOOKUP(MONTH(B492),KEY!$AE$5:$AF$16,2,FALSE),""))</f>
        <v>2023-Q3</v>
      </c>
      <c r="D492" s="3" t="s">
        <v>158</v>
      </c>
      <c r="E492" s="219">
        <v>3</v>
      </c>
      <c r="F492" s="166">
        <v>33</v>
      </c>
      <c r="G492" s="166">
        <v>20</v>
      </c>
      <c r="H492" s="21">
        <v>94</v>
      </c>
      <c r="I492" s="21">
        <v>6</v>
      </c>
      <c r="J492" s="21">
        <v>32</v>
      </c>
      <c r="K492" s="21">
        <v>3</v>
      </c>
      <c r="L492" s="21">
        <v>59</v>
      </c>
      <c r="M492" s="21">
        <v>15</v>
      </c>
      <c r="N492" s="21">
        <v>33</v>
      </c>
      <c r="O492" s="19">
        <v>88</v>
      </c>
      <c r="P492" s="22">
        <v>3</v>
      </c>
      <c r="Q492" s="22">
        <v>0</v>
      </c>
      <c r="R492" s="20" t="s">
        <v>194</v>
      </c>
      <c r="S492" s="234">
        <f>COUNTIFS(INP_DATA!$R$5:$R$3027,S$4,INP_DATA!$D$5:$D$3027,$D492,INP_DATA!$B$5:$B$3027,$B492)</f>
        <v>0</v>
      </c>
      <c r="T492" s="235">
        <f>COUNTIFS(INP_DATA!$R$5:$R$3027,T$4,INP_DATA!$D$5:$D$3027,$D492,INP_DATA!$B$5:$B$3027,$B492)</f>
        <v>0</v>
      </c>
    </row>
    <row r="493" spans="1:20" x14ac:dyDescent="0.35">
      <c r="A493" s="3" t="s">
        <v>107</v>
      </c>
      <c r="B493" s="165">
        <v>45170</v>
      </c>
      <c r="C493" s="57" t="str">
        <f>IF($B493="","",YEAR($B493)&amp;"-"&amp;IFERROR(VLOOKUP(MONTH(B493),KEY!$AE$5:$AF$16,2,FALSE),""))</f>
        <v>2023-Q3</v>
      </c>
      <c r="D493" s="3" t="s">
        <v>159</v>
      </c>
      <c r="E493" s="219">
        <v>21</v>
      </c>
      <c r="F493" s="166">
        <v>99</v>
      </c>
      <c r="G493" s="166">
        <v>85</v>
      </c>
      <c r="H493" s="21">
        <v>197</v>
      </c>
      <c r="I493" s="21">
        <v>28</v>
      </c>
      <c r="J493" s="21">
        <v>122</v>
      </c>
      <c r="K493" s="21">
        <v>23</v>
      </c>
      <c r="L493" s="21">
        <v>169</v>
      </c>
      <c r="M493" s="21">
        <v>77</v>
      </c>
      <c r="N493" s="21">
        <v>103</v>
      </c>
      <c r="O493" s="19">
        <v>154</v>
      </c>
      <c r="P493" s="22">
        <v>39</v>
      </c>
      <c r="Q493" s="22">
        <v>23</v>
      </c>
      <c r="R493" s="20" t="s">
        <v>194</v>
      </c>
      <c r="S493" s="234">
        <f>COUNTIFS(INP_DATA!$R$5:$R$3027,S$4,INP_DATA!$D$5:$D$3027,$D493,INP_DATA!$B$5:$B$3027,$B493)</f>
        <v>0</v>
      </c>
      <c r="T493" s="235">
        <f>COUNTIFS(INP_DATA!$R$5:$R$3027,T$4,INP_DATA!$D$5:$D$3027,$D493,INP_DATA!$B$5:$B$3027,$B493)</f>
        <v>0</v>
      </c>
    </row>
    <row r="494" spans="1:20" x14ac:dyDescent="0.35">
      <c r="A494" s="3" t="s">
        <v>16</v>
      </c>
      <c r="B494" s="165">
        <v>45170</v>
      </c>
      <c r="C494" s="57" t="str">
        <f>IF($B494="","",YEAR($B494)&amp;"-"&amp;IFERROR(VLOOKUP(MONTH(B494),KEY!$AE$5:$AF$16,2,FALSE),""))</f>
        <v>2023-Q3</v>
      </c>
      <c r="D494" s="3" t="s">
        <v>160</v>
      </c>
      <c r="E494" s="219">
        <v>82</v>
      </c>
      <c r="F494" s="166">
        <v>352</v>
      </c>
      <c r="G494" s="166">
        <v>336</v>
      </c>
      <c r="H494" s="21">
        <v>636</v>
      </c>
      <c r="I494" s="21">
        <v>106</v>
      </c>
      <c r="J494" s="21">
        <v>248</v>
      </c>
      <c r="K494" s="21">
        <v>55</v>
      </c>
      <c r="L494" s="21">
        <v>586</v>
      </c>
      <c r="M494" s="21">
        <v>220</v>
      </c>
      <c r="N494" s="21">
        <v>356</v>
      </c>
      <c r="O494" s="19">
        <v>572</v>
      </c>
      <c r="P494" s="22">
        <v>54</v>
      </c>
      <c r="Q494" s="22">
        <v>35</v>
      </c>
      <c r="R494" s="20" t="s">
        <v>51</v>
      </c>
      <c r="S494" s="234">
        <f>COUNTIFS(INP_DATA!$R$5:$R$3027,S$4,INP_DATA!$D$5:$D$3027,$D494,INP_DATA!$B$5:$B$3027,$B494)</f>
        <v>0</v>
      </c>
      <c r="T494" s="235">
        <f>COUNTIFS(INP_DATA!$R$5:$R$3027,T$4,INP_DATA!$D$5:$D$3027,$D494,INP_DATA!$B$5:$B$3027,$B494)</f>
        <v>1</v>
      </c>
    </row>
    <row r="495" spans="1:20" x14ac:dyDescent="0.35">
      <c r="A495" s="3" t="s">
        <v>106</v>
      </c>
      <c r="B495" s="165">
        <v>45170</v>
      </c>
      <c r="C495" s="57" t="str">
        <f>IF($B495="","",YEAR($B495)&amp;"-"&amp;IFERROR(VLOOKUP(MONTH(B495),KEY!$AE$5:$AF$16,2,FALSE),""))</f>
        <v>2023-Q3</v>
      </c>
      <c r="D495" s="3" t="s">
        <v>161</v>
      </c>
      <c r="E495" s="219">
        <v>29</v>
      </c>
      <c r="F495" s="166">
        <v>292</v>
      </c>
      <c r="G495" s="166">
        <v>256</v>
      </c>
      <c r="H495" s="21">
        <v>543</v>
      </c>
      <c r="I495" s="21">
        <v>90</v>
      </c>
      <c r="J495" s="21">
        <v>264</v>
      </c>
      <c r="K495" s="21">
        <v>55</v>
      </c>
      <c r="L495" s="21">
        <v>428</v>
      </c>
      <c r="M495" s="21">
        <v>127</v>
      </c>
      <c r="N495" s="21">
        <v>295</v>
      </c>
      <c r="O495" s="19">
        <v>484</v>
      </c>
      <c r="P495" s="22">
        <v>18</v>
      </c>
      <c r="Q495" s="22">
        <v>14</v>
      </c>
      <c r="R495" s="20" t="s">
        <v>51</v>
      </c>
      <c r="S495" s="234">
        <f>COUNTIFS(INP_DATA!$R$5:$R$3027,S$4,INP_DATA!$D$5:$D$3027,$D495,INP_DATA!$B$5:$B$3027,$B495)</f>
        <v>0</v>
      </c>
      <c r="T495" s="235">
        <f>COUNTIFS(INP_DATA!$R$5:$R$3027,T$4,INP_DATA!$D$5:$D$3027,$D495,INP_DATA!$B$5:$B$3027,$B495)</f>
        <v>1</v>
      </c>
    </row>
    <row r="496" spans="1:20" x14ac:dyDescent="0.35">
      <c r="A496" s="3" t="s">
        <v>109</v>
      </c>
      <c r="B496" s="165">
        <v>45170</v>
      </c>
      <c r="C496" s="57" t="str">
        <f>IF($B496="","",YEAR($B496)&amp;"-"&amp;IFERROR(VLOOKUP(MONTH(B496),KEY!$AE$5:$AF$16,2,FALSE),""))</f>
        <v>2023-Q3</v>
      </c>
      <c r="D496" s="3" t="s">
        <v>162</v>
      </c>
      <c r="E496" s="219">
        <v>84</v>
      </c>
      <c r="F496" s="166">
        <v>420</v>
      </c>
      <c r="G496" s="166">
        <v>465</v>
      </c>
      <c r="H496" s="21">
        <v>601</v>
      </c>
      <c r="I496" s="21">
        <v>81</v>
      </c>
      <c r="J496" s="21">
        <v>430</v>
      </c>
      <c r="K496" s="21">
        <v>72</v>
      </c>
      <c r="L496" s="21">
        <v>785</v>
      </c>
      <c r="M496" s="21">
        <v>154</v>
      </c>
      <c r="N496" s="21">
        <v>425</v>
      </c>
      <c r="O496" s="19">
        <v>682</v>
      </c>
      <c r="P496" s="22">
        <v>36</v>
      </c>
      <c r="Q496" s="22">
        <v>29</v>
      </c>
      <c r="R496" s="20" t="s">
        <v>58</v>
      </c>
      <c r="S496" s="234">
        <f>COUNTIFS(INP_DATA!$R$5:$R$3027,S$4,INP_DATA!$D$5:$D$3027,$D496,INP_DATA!$B$5:$B$3027,$B496)</f>
        <v>1</v>
      </c>
      <c r="T496" s="235">
        <f>COUNTIFS(INP_DATA!$R$5:$R$3027,T$4,INP_DATA!$D$5:$D$3027,$D496,INP_DATA!$B$5:$B$3027,$B496)</f>
        <v>0</v>
      </c>
    </row>
    <row r="497" spans="1:20" x14ac:dyDescent="0.35">
      <c r="A497" s="3" t="s">
        <v>16</v>
      </c>
      <c r="B497" s="165">
        <v>45170</v>
      </c>
      <c r="C497" s="57" t="str">
        <f>IF($B497="","",YEAR($B497)&amp;"-"&amp;IFERROR(VLOOKUP(MONTH(B497),KEY!$AE$5:$AF$16,2,FALSE),""))</f>
        <v>2023-Q3</v>
      </c>
      <c r="D497" s="3" t="s">
        <v>163</v>
      </c>
      <c r="E497" s="219">
        <v>60</v>
      </c>
      <c r="F497" s="166">
        <v>252</v>
      </c>
      <c r="G497" s="166">
        <v>254</v>
      </c>
      <c r="H497" s="21">
        <v>351</v>
      </c>
      <c r="I497" s="21">
        <v>57</v>
      </c>
      <c r="J497" s="21">
        <v>221</v>
      </c>
      <c r="K497" s="21">
        <v>54</v>
      </c>
      <c r="L497" s="21">
        <v>382</v>
      </c>
      <c r="M497" s="21">
        <v>152</v>
      </c>
      <c r="N497" s="21">
        <v>255</v>
      </c>
      <c r="O497" s="19">
        <v>374</v>
      </c>
      <c r="P497" s="22">
        <v>14</v>
      </c>
      <c r="Q497" s="22">
        <v>8</v>
      </c>
      <c r="R497" s="20" t="s">
        <v>51</v>
      </c>
      <c r="S497" s="234">
        <f>COUNTIFS(INP_DATA!$R$5:$R$3027,S$4,INP_DATA!$D$5:$D$3027,$D497,INP_DATA!$B$5:$B$3027,$B497)</f>
        <v>0</v>
      </c>
      <c r="T497" s="235">
        <f>COUNTIFS(INP_DATA!$R$5:$R$3027,T$4,INP_DATA!$D$5:$D$3027,$D497,INP_DATA!$B$5:$B$3027,$B497)</f>
        <v>1</v>
      </c>
    </row>
    <row r="498" spans="1:20" x14ac:dyDescent="0.35">
      <c r="A498" s="3" t="s">
        <v>16</v>
      </c>
      <c r="B498" s="165">
        <v>45170</v>
      </c>
      <c r="C498" s="57" t="str">
        <f>IF($B498="","",YEAR($B498)&amp;"-"&amp;IFERROR(VLOOKUP(MONTH(B498),KEY!$AE$5:$AF$16,2,FALSE),""))</f>
        <v>2023-Q3</v>
      </c>
      <c r="D498" s="3" t="s">
        <v>164</v>
      </c>
      <c r="E498" s="219">
        <v>13</v>
      </c>
      <c r="F498" s="166">
        <v>81</v>
      </c>
      <c r="G498" s="166">
        <v>89</v>
      </c>
      <c r="H498" s="21">
        <v>237</v>
      </c>
      <c r="I498" s="21">
        <v>20</v>
      </c>
      <c r="J498" s="21">
        <v>113</v>
      </c>
      <c r="K498" s="21">
        <v>18</v>
      </c>
      <c r="L498" s="21">
        <v>128</v>
      </c>
      <c r="M498" s="21">
        <v>58</v>
      </c>
      <c r="N498" s="21">
        <v>82</v>
      </c>
      <c r="O498" s="19">
        <v>198</v>
      </c>
      <c r="P498" s="22">
        <v>10</v>
      </c>
      <c r="Q498" s="22">
        <v>3</v>
      </c>
      <c r="R498" s="20" t="s">
        <v>58</v>
      </c>
      <c r="S498" s="234">
        <f>COUNTIFS(INP_DATA!$R$5:$R$3027,S$4,INP_DATA!$D$5:$D$3027,$D498,INP_DATA!$B$5:$B$3027,$B498)</f>
        <v>1</v>
      </c>
      <c r="T498" s="235">
        <f>COUNTIFS(INP_DATA!$R$5:$R$3027,T$4,INP_DATA!$D$5:$D$3027,$D498,INP_DATA!$B$5:$B$3027,$B498)</f>
        <v>0</v>
      </c>
    </row>
    <row r="499" spans="1:20" x14ac:dyDescent="0.35">
      <c r="A499" s="3" t="s">
        <v>107</v>
      </c>
      <c r="B499" s="165">
        <v>45170</v>
      </c>
      <c r="C499" s="57" t="str">
        <f>IF($B499="","",YEAR($B499)&amp;"-"&amp;IFERROR(VLOOKUP(MONTH(B499),KEY!$AE$5:$AF$16,2,FALSE),""))</f>
        <v>2023-Q3</v>
      </c>
      <c r="D499" s="3" t="s">
        <v>165</v>
      </c>
      <c r="E499" s="219">
        <v>17</v>
      </c>
      <c r="F499" s="166">
        <v>103</v>
      </c>
      <c r="G499" s="166">
        <v>116</v>
      </c>
      <c r="H499" s="21">
        <v>301</v>
      </c>
      <c r="I499" s="21">
        <v>34</v>
      </c>
      <c r="J499" s="21">
        <v>66</v>
      </c>
      <c r="K499" s="21">
        <v>12</v>
      </c>
      <c r="L499" s="21">
        <v>129</v>
      </c>
      <c r="M499" s="21">
        <v>48</v>
      </c>
      <c r="N499" s="21">
        <v>104</v>
      </c>
      <c r="O499" s="19">
        <v>88</v>
      </c>
      <c r="P499" s="22">
        <v>36</v>
      </c>
      <c r="Q499" s="22">
        <v>17</v>
      </c>
      <c r="R499" s="20" t="s">
        <v>51</v>
      </c>
      <c r="S499" s="234">
        <f>COUNTIFS(INP_DATA!$R$5:$R$3027,S$4,INP_DATA!$D$5:$D$3027,$D499,INP_DATA!$B$5:$B$3027,$B499)</f>
        <v>0</v>
      </c>
      <c r="T499" s="235">
        <f>COUNTIFS(INP_DATA!$R$5:$R$3027,T$4,INP_DATA!$D$5:$D$3027,$D499,INP_DATA!$B$5:$B$3027,$B499)</f>
        <v>1</v>
      </c>
    </row>
    <row r="500" spans="1:20" x14ac:dyDescent="0.35">
      <c r="A500" s="3" t="s">
        <v>16</v>
      </c>
      <c r="B500" s="165">
        <v>45200</v>
      </c>
      <c r="C500" s="57" t="str">
        <f>IF($B500="","",YEAR($B500)&amp;"-"&amp;IFERROR(VLOOKUP(MONTH(B500),KEY!$AE$5:$AF$16,2,FALSE),""))</f>
        <v>2023-Q4</v>
      </c>
      <c r="D500" s="3" t="s">
        <v>111</v>
      </c>
      <c r="E500" s="219">
        <v>16</v>
      </c>
      <c r="F500" s="166">
        <v>72</v>
      </c>
      <c r="G500" s="166">
        <v>60</v>
      </c>
      <c r="H500" s="21">
        <v>126</v>
      </c>
      <c r="I500" s="21">
        <v>16</v>
      </c>
      <c r="J500" s="21">
        <v>65</v>
      </c>
      <c r="K500" s="21">
        <v>8</v>
      </c>
      <c r="L500" s="21">
        <v>157</v>
      </c>
      <c r="M500" s="21">
        <v>41</v>
      </c>
      <c r="N500" s="21">
        <v>77</v>
      </c>
      <c r="O500" s="19">
        <v>207</v>
      </c>
      <c r="P500" s="22">
        <v>22</v>
      </c>
      <c r="Q500" s="22">
        <v>16</v>
      </c>
      <c r="R500" s="20" t="s">
        <v>58</v>
      </c>
      <c r="S500" s="234">
        <f>COUNTIFS(INP_DATA!$R$5:$R$3027,S$4,INP_DATA!$D$5:$D$3027,$D500,INP_DATA!$B$5:$B$3027,$B500)</f>
        <v>1</v>
      </c>
      <c r="T500" s="235">
        <f>COUNTIFS(INP_DATA!$R$5:$R$3027,T$4,INP_DATA!$D$5:$D$3027,$D500,INP_DATA!$B$5:$B$3027,$B500)</f>
        <v>0</v>
      </c>
    </row>
    <row r="501" spans="1:20" x14ac:dyDescent="0.35">
      <c r="A501" s="3" t="s">
        <v>108</v>
      </c>
      <c r="B501" s="165">
        <v>45200</v>
      </c>
      <c r="C501" s="57" t="str">
        <f>IF($B501="","",YEAR($B501)&amp;"-"&amp;IFERROR(VLOOKUP(MONTH(B501),KEY!$AE$5:$AF$16,2,FALSE),""))</f>
        <v>2023-Q4</v>
      </c>
      <c r="D501" s="3" t="s">
        <v>112</v>
      </c>
      <c r="E501" s="219">
        <v>8</v>
      </c>
      <c r="F501" s="166">
        <v>36</v>
      </c>
      <c r="G501" s="166">
        <v>35</v>
      </c>
      <c r="H501" s="21">
        <v>41</v>
      </c>
      <c r="I501" s="21">
        <v>9</v>
      </c>
      <c r="J501" s="21">
        <v>16</v>
      </c>
      <c r="K501" s="21">
        <v>7</v>
      </c>
      <c r="L501" s="21">
        <v>51</v>
      </c>
      <c r="M501" s="21">
        <v>29</v>
      </c>
      <c r="N501" s="21">
        <v>37</v>
      </c>
      <c r="O501" s="19">
        <v>92</v>
      </c>
      <c r="P501" s="22">
        <v>14</v>
      </c>
      <c r="Q501" s="22">
        <v>8</v>
      </c>
      <c r="R501" s="20" t="s">
        <v>51</v>
      </c>
      <c r="S501" s="234">
        <f>COUNTIFS(INP_DATA!$R$5:$R$3027,S$4,INP_DATA!$D$5:$D$3027,$D501,INP_DATA!$B$5:$B$3027,$B501)</f>
        <v>0</v>
      </c>
      <c r="T501" s="235">
        <f>COUNTIFS(INP_DATA!$R$5:$R$3027,T$4,INP_DATA!$D$5:$D$3027,$D501,INP_DATA!$B$5:$B$3027,$B501)</f>
        <v>1</v>
      </c>
    </row>
    <row r="502" spans="1:20" x14ac:dyDescent="0.35">
      <c r="A502" s="3" t="s">
        <v>16</v>
      </c>
      <c r="B502" s="165">
        <v>45200</v>
      </c>
      <c r="C502" s="57" t="str">
        <f>IF($B502="","",YEAR($B502)&amp;"-"&amp;IFERROR(VLOOKUP(MONTH(B502),KEY!$AE$5:$AF$16,2,FALSE),""))</f>
        <v>2023-Q4</v>
      </c>
      <c r="D502" s="3" t="s">
        <v>113</v>
      </c>
      <c r="E502" s="219">
        <v>12</v>
      </c>
      <c r="F502" s="166">
        <v>74</v>
      </c>
      <c r="G502" s="166">
        <v>81</v>
      </c>
      <c r="H502" s="21">
        <v>164</v>
      </c>
      <c r="I502" s="21">
        <v>16</v>
      </c>
      <c r="J502" s="21">
        <v>49</v>
      </c>
      <c r="K502" s="21">
        <v>16</v>
      </c>
      <c r="L502" s="21">
        <v>102</v>
      </c>
      <c r="M502" s="21">
        <v>48</v>
      </c>
      <c r="N502" s="21">
        <v>75</v>
      </c>
      <c r="O502" s="19">
        <v>161</v>
      </c>
      <c r="P502" s="22">
        <v>12</v>
      </c>
      <c r="Q502" s="22">
        <v>10</v>
      </c>
      <c r="R502" s="20" t="s">
        <v>58</v>
      </c>
      <c r="S502" s="234">
        <f>COUNTIFS(INP_DATA!$R$5:$R$3027,S$4,INP_DATA!$D$5:$D$3027,$D502,INP_DATA!$B$5:$B$3027,$B502)</f>
        <v>1</v>
      </c>
      <c r="T502" s="235">
        <f>COUNTIFS(INP_DATA!$R$5:$R$3027,T$4,INP_DATA!$D$5:$D$3027,$D502,INP_DATA!$B$5:$B$3027,$B502)</f>
        <v>0</v>
      </c>
    </row>
    <row r="503" spans="1:20" x14ac:dyDescent="0.35">
      <c r="A503" s="3" t="s">
        <v>108</v>
      </c>
      <c r="B503" s="165">
        <v>45200</v>
      </c>
      <c r="C503" s="57" t="str">
        <f>IF($B503="","",YEAR($B503)&amp;"-"&amp;IFERROR(VLOOKUP(MONTH(B503),KEY!$AE$5:$AF$16,2,FALSE),""))</f>
        <v>2023-Q4</v>
      </c>
      <c r="D503" s="3" t="s">
        <v>114</v>
      </c>
      <c r="E503" s="219">
        <v>17</v>
      </c>
      <c r="F503" s="166">
        <v>54</v>
      </c>
      <c r="G503" s="166">
        <v>58</v>
      </c>
      <c r="H503" s="21">
        <v>158</v>
      </c>
      <c r="I503" s="21">
        <v>18</v>
      </c>
      <c r="J503" s="21">
        <v>66</v>
      </c>
      <c r="K503" s="21">
        <v>16</v>
      </c>
      <c r="L503" s="21">
        <v>68</v>
      </c>
      <c r="M503" s="21">
        <v>33</v>
      </c>
      <c r="N503" s="21">
        <v>55</v>
      </c>
      <c r="O503" s="19">
        <v>161</v>
      </c>
      <c r="P503" s="22">
        <v>12</v>
      </c>
      <c r="Q503" s="22">
        <v>8</v>
      </c>
      <c r="R503" s="20" t="s">
        <v>51</v>
      </c>
      <c r="S503" s="234">
        <f>COUNTIFS(INP_DATA!$R$5:$R$3027,S$4,INP_DATA!$D$5:$D$3027,$D503,INP_DATA!$B$5:$B$3027,$B503)</f>
        <v>0</v>
      </c>
      <c r="T503" s="235">
        <f>COUNTIFS(INP_DATA!$R$5:$R$3027,T$4,INP_DATA!$D$5:$D$3027,$D503,INP_DATA!$B$5:$B$3027,$B503)</f>
        <v>1</v>
      </c>
    </row>
    <row r="504" spans="1:20" x14ac:dyDescent="0.35">
      <c r="A504" s="3" t="s">
        <v>107</v>
      </c>
      <c r="B504" s="165">
        <v>45200</v>
      </c>
      <c r="C504" s="57" t="str">
        <f>IF($B504="","",YEAR($B504)&amp;"-"&amp;IFERROR(VLOOKUP(MONTH(B504),KEY!$AE$5:$AF$16,2,FALSE),""))</f>
        <v>2023-Q4</v>
      </c>
      <c r="D504" s="3" t="s">
        <v>115</v>
      </c>
      <c r="E504" s="219">
        <v>9</v>
      </c>
      <c r="F504" s="166">
        <v>55</v>
      </c>
      <c r="G504" s="166">
        <v>60</v>
      </c>
      <c r="H504" s="21">
        <v>150</v>
      </c>
      <c r="I504" s="21">
        <v>15</v>
      </c>
      <c r="J504" s="21">
        <v>51</v>
      </c>
      <c r="K504" s="21">
        <v>17</v>
      </c>
      <c r="L504" s="21">
        <v>80</v>
      </c>
      <c r="M504" s="21">
        <v>34</v>
      </c>
      <c r="N504" s="21">
        <v>58</v>
      </c>
      <c r="O504" s="19">
        <v>115</v>
      </c>
      <c r="P504" s="22" t="s">
        <v>194</v>
      </c>
      <c r="Q504" s="22" t="s">
        <v>194</v>
      </c>
      <c r="R504" s="20" t="s">
        <v>51</v>
      </c>
      <c r="S504" s="234">
        <f>COUNTIFS(INP_DATA!$R$5:$R$3027,S$4,INP_DATA!$D$5:$D$3027,$D504,INP_DATA!$B$5:$B$3027,$B504)</f>
        <v>0</v>
      </c>
      <c r="T504" s="235">
        <f>COUNTIFS(INP_DATA!$R$5:$R$3027,T$4,INP_DATA!$D$5:$D$3027,$D504,INP_DATA!$B$5:$B$3027,$B504)</f>
        <v>1</v>
      </c>
    </row>
    <row r="505" spans="1:20" x14ac:dyDescent="0.35">
      <c r="A505" s="3" t="s">
        <v>16</v>
      </c>
      <c r="B505" s="165">
        <v>45200</v>
      </c>
      <c r="C505" s="57" t="str">
        <f>IF($B505="","",YEAR($B505)&amp;"-"&amp;IFERROR(VLOOKUP(MONTH(B505),KEY!$AE$5:$AF$16,2,FALSE),""))</f>
        <v>2023-Q4</v>
      </c>
      <c r="D505" s="3" t="s">
        <v>116</v>
      </c>
      <c r="E505" s="219">
        <v>8</v>
      </c>
      <c r="F505" s="166">
        <v>130</v>
      </c>
      <c r="G505" s="166">
        <v>145</v>
      </c>
      <c r="H505" s="21">
        <v>241</v>
      </c>
      <c r="I505" s="21">
        <v>25</v>
      </c>
      <c r="J505" s="21">
        <v>137</v>
      </c>
      <c r="K505" s="21">
        <v>16</v>
      </c>
      <c r="L505" s="21">
        <v>182</v>
      </c>
      <c r="M505" s="21">
        <v>63</v>
      </c>
      <c r="N505" s="21">
        <v>131</v>
      </c>
      <c r="O505" s="19">
        <v>299</v>
      </c>
      <c r="P505" s="22">
        <v>12</v>
      </c>
      <c r="Q505" s="22">
        <v>3</v>
      </c>
      <c r="R505" s="20" t="s">
        <v>51</v>
      </c>
      <c r="S505" s="234">
        <f>COUNTIFS(INP_DATA!$R$5:$R$3027,S$4,INP_DATA!$D$5:$D$3027,$D505,INP_DATA!$B$5:$B$3027,$B505)</f>
        <v>0</v>
      </c>
      <c r="T505" s="235">
        <f>COUNTIFS(INP_DATA!$R$5:$R$3027,T$4,INP_DATA!$D$5:$D$3027,$D505,INP_DATA!$B$5:$B$3027,$B505)</f>
        <v>1</v>
      </c>
    </row>
    <row r="506" spans="1:20" x14ac:dyDescent="0.35">
      <c r="A506" s="3" t="s">
        <v>107</v>
      </c>
      <c r="B506" s="165">
        <v>45200</v>
      </c>
      <c r="C506" s="57" t="str">
        <f>IF($B506="","",YEAR($B506)&amp;"-"&amp;IFERROR(VLOOKUP(MONTH(B506),KEY!$AE$5:$AF$16,2,FALSE),""))</f>
        <v>2023-Q4</v>
      </c>
      <c r="D506" s="3" t="s">
        <v>117</v>
      </c>
      <c r="E506" s="219">
        <v>12</v>
      </c>
      <c r="F506" s="166">
        <v>100</v>
      </c>
      <c r="G506" s="166">
        <v>165</v>
      </c>
      <c r="H506" s="21">
        <v>154</v>
      </c>
      <c r="I506" s="21">
        <v>28</v>
      </c>
      <c r="J506" s="21">
        <v>90</v>
      </c>
      <c r="K506" s="21">
        <v>22</v>
      </c>
      <c r="L506" s="21">
        <v>178</v>
      </c>
      <c r="M506" s="21">
        <v>59</v>
      </c>
      <c r="N506" s="21">
        <v>102</v>
      </c>
      <c r="O506" s="19">
        <v>253</v>
      </c>
      <c r="P506" s="22">
        <v>42</v>
      </c>
      <c r="Q506" s="22">
        <v>21</v>
      </c>
      <c r="R506" s="20" t="s">
        <v>51</v>
      </c>
      <c r="S506" s="234">
        <f>COUNTIFS(INP_DATA!$R$5:$R$3027,S$4,INP_DATA!$D$5:$D$3027,$D506,INP_DATA!$B$5:$B$3027,$B506)</f>
        <v>0</v>
      </c>
      <c r="T506" s="235">
        <f>COUNTIFS(INP_DATA!$R$5:$R$3027,T$4,INP_DATA!$D$5:$D$3027,$D506,INP_DATA!$B$5:$B$3027,$B506)</f>
        <v>1</v>
      </c>
    </row>
    <row r="507" spans="1:20" x14ac:dyDescent="0.35">
      <c r="A507" s="3" t="s">
        <v>106</v>
      </c>
      <c r="B507" s="165">
        <v>45200</v>
      </c>
      <c r="C507" s="57" t="str">
        <f>IF($B507="","",YEAR($B507)&amp;"-"&amp;IFERROR(VLOOKUP(MONTH(B507),KEY!$AE$5:$AF$16,2,FALSE),""))</f>
        <v>2023-Q4</v>
      </c>
      <c r="D507" s="3" t="s">
        <v>118</v>
      </c>
      <c r="E507" s="219">
        <v>34</v>
      </c>
      <c r="F507" s="166">
        <v>198</v>
      </c>
      <c r="G507" s="166">
        <v>213</v>
      </c>
      <c r="H507" s="21">
        <v>533</v>
      </c>
      <c r="I507" s="21">
        <v>52</v>
      </c>
      <c r="J507" s="21">
        <v>170</v>
      </c>
      <c r="K507" s="21">
        <v>44</v>
      </c>
      <c r="L507" s="21">
        <v>287</v>
      </c>
      <c r="M507" s="21">
        <v>94</v>
      </c>
      <c r="N507" s="21">
        <v>206</v>
      </c>
      <c r="O507" s="19">
        <v>276</v>
      </c>
      <c r="P507" s="22">
        <v>49</v>
      </c>
      <c r="Q507" s="22">
        <v>38</v>
      </c>
      <c r="R507" s="20" t="s">
        <v>51</v>
      </c>
      <c r="S507" s="234">
        <f>COUNTIFS(INP_DATA!$R$5:$R$3027,S$4,INP_DATA!$D$5:$D$3027,$D507,INP_DATA!$B$5:$B$3027,$B507)</f>
        <v>0</v>
      </c>
      <c r="T507" s="235">
        <f>COUNTIFS(INP_DATA!$R$5:$R$3027,T$4,INP_DATA!$D$5:$D$3027,$D507,INP_DATA!$B$5:$B$3027,$B507)</f>
        <v>1</v>
      </c>
    </row>
    <row r="508" spans="1:20" x14ac:dyDescent="0.35">
      <c r="A508" s="3" t="s">
        <v>16</v>
      </c>
      <c r="B508" s="165">
        <v>45200</v>
      </c>
      <c r="C508" s="57" t="str">
        <f>IF($B508="","",YEAR($B508)&amp;"-"&amp;IFERROR(VLOOKUP(MONTH(B508),KEY!$AE$5:$AF$16,2,FALSE),""))</f>
        <v>2023-Q4</v>
      </c>
      <c r="D508" s="3" t="s">
        <v>119</v>
      </c>
      <c r="E508" s="219">
        <v>1</v>
      </c>
      <c r="F508" s="166">
        <v>23</v>
      </c>
      <c r="G508" s="166">
        <v>29</v>
      </c>
      <c r="H508" s="21">
        <v>34</v>
      </c>
      <c r="I508" s="21">
        <v>3</v>
      </c>
      <c r="J508" s="21">
        <v>35</v>
      </c>
      <c r="K508" s="21">
        <v>14</v>
      </c>
      <c r="L508" s="21">
        <v>100</v>
      </c>
      <c r="M508" s="21">
        <v>15</v>
      </c>
      <c r="N508" s="21">
        <v>22</v>
      </c>
      <c r="O508" s="19">
        <v>92</v>
      </c>
      <c r="P508" s="22">
        <v>2</v>
      </c>
      <c r="Q508" s="22">
        <v>2</v>
      </c>
      <c r="R508" s="20" t="s">
        <v>194</v>
      </c>
      <c r="S508" s="234">
        <f>COUNTIFS(INP_DATA!$R$5:$R$3027,S$4,INP_DATA!$D$5:$D$3027,$D508,INP_DATA!$B$5:$B$3027,$B508)</f>
        <v>0</v>
      </c>
      <c r="T508" s="235">
        <f>COUNTIFS(INP_DATA!$R$5:$R$3027,T$4,INP_DATA!$D$5:$D$3027,$D508,INP_DATA!$B$5:$B$3027,$B508)</f>
        <v>0</v>
      </c>
    </row>
    <row r="509" spans="1:20" x14ac:dyDescent="0.35">
      <c r="A509" s="3" t="s">
        <v>16</v>
      </c>
      <c r="B509" s="165">
        <v>45200</v>
      </c>
      <c r="C509" s="57" t="str">
        <f>IF($B509="","",YEAR($B509)&amp;"-"&amp;IFERROR(VLOOKUP(MONTH(B509),KEY!$AE$5:$AF$16,2,FALSE),""))</f>
        <v>2023-Q4</v>
      </c>
      <c r="D509" s="3" t="s">
        <v>120</v>
      </c>
      <c r="E509" s="219">
        <v>53</v>
      </c>
      <c r="F509" s="166">
        <v>333</v>
      </c>
      <c r="G509" s="166">
        <v>386</v>
      </c>
      <c r="H509" s="21">
        <v>667</v>
      </c>
      <c r="I509" s="21">
        <v>103</v>
      </c>
      <c r="J509" s="21">
        <v>264</v>
      </c>
      <c r="K509" s="21">
        <v>36</v>
      </c>
      <c r="L509" s="21">
        <v>455</v>
      </c>
      <c r="M509" s="21">
        <v>179</v>
      </c>
      <c r="N509" s="21">
        <v>334</v>
      </c>
      <c r="O509" s="19">
        <v>598</v>
      </c>
      <c r="P509" s="22">
        <v>85</v>
      </c>
      <c r="Q509" s="22">
        <v>49</v>
      </c>
      <c r="R509" s="20" t="s">
        <v>58</v>
      </c>
      <c r="S509" s="234">
        <f>COUNTIFS(INP_DATA!$R$5:$R$3027,S$4,INP_DATA!$D$5:$D$3027,$D509,INP_DATA!$B$5:$B$3027,$B509)</f>
        <v>1</v>
      </c>
      <c r="T509" s="235">
        <f>COUNTIFS(INP_DATA!$R$5:$R$3027,T$4,INP_DATA!$D$5:$D$3027,$D509,INP_DATA!$B$5:$B$3027,$B509)</f>
        <v>0</v>
      </c>
    </row>
    <row r="510" spans="1:20" x14ac:dyDescent="0.35">
      <c r="A510" s="3" t="s">
        <v>109</v>
      </c>
      <c r="B510" s="165">
        <v>45200</v>
      </c>
      <c r="C510" s="57" t="str">
        <f>IF($B510="","",YEAR($B510)&amp;"-"&amp;IFERROR(VLOOKUP(MONTH(B510),KEY!$AE$5:$AF$16,2,FALSE),""))</f>
        <v>2023-Q4</v>
      </c>
      <c r="D510" s="3" t="s">
        <v>121</v>
      </c>
      <c r="E510" s="219">
        <v>68</v>
      </c>
      <c r="F510" s="166">
        <v>233</v>
      </c>
      <c r="G510" s="166">
        <v>232</v>
      </c>
      <c r="H510" s="21">
        <v>488</v>
      </c>
      <c r="I510" s="21">
        <v>73</v>
      </c>
      <c r="J510" s="21">
        <v>189</v>
      </c>
      <c r="K510" s="21">
        <v>30</v>
      </c>
      <c r="L510" s="21">
        <v>461</v>
      </c>
      <c r="M510" s="21">
        <v>141</v>
      </c>
      <c r="N510" s="21">
        <v>234</v>
      </c>
      <c r="O510" s="19">
        <v>483</v>
      </c>
      <c r="P510" s="22">
        <v>22</v>
      </c>
      <c r="Q510" s="22">
        <v>21</v>
      </c>
      <c r="R510" s="20" t="s">
        <v>58</v>
      </c>
      <c r="S510" s="234">
        <f>COUNTIFS(INP_DATA!$R$5:$R$3027,S$4,INP_DATA!$D$5:$D$3027,$D510,INP_DATA!$B$5:$B$3027,$B510)</f>
        <v>1</v>
      </c>
      <c r="T510" s="235">
        <f>COUNTIFS(INP_DATA!$R$5:$R$3027,T$4,INP_DATA!$D$5:$D$3027,$D510,INP_DATA!$B$5:$B$3027,$B510)</f>
        <v>0</v>
      </c>
    </row>
    <row r="511" spans="1:20" x14ac:dyDescent="0.35">
      <c r="A511" s="3" t="s">
        <v>108</v>
      </c>
      <c r="B511" s="165">
        <v>45200</v>
      </c>
      <c r="C511" s="57" t="str">
        <f>IF($B511="","",YEAR($B511)&amp;"-"&amp;IFERROR(VLOOKUP(MONTH(B511),KEY!$AE$5:$AF$16,2,FALSE),""))</f>
        <v>2023-Q4</v>
      </c>
      <c r="D511" s="3" t="s">
        <v>122</v>
      </c>
      <c r="E511" s="219">
        <v>13</v>
      </c>
      <c r="F511" s="166">
        <v>87</v>
      </c>
      <c r="G511" s="166">
        <v>101</v>
      </c>
      <c r="H511" s="21">
        <v>257</v>
      </c>
      <c r="I511" s="21">
        <v>34</v>
      </c>
      <c r="J511" s="21">
        <v>109</v>
      </c>
      <c r="K511" s="21">
        <v>15</v>
      </c>
      <c r="L511" s="21">
        <v>178</v>
      </c>
      <c r="M511" s="21">
        <v>54</v>
      </c>
      <c r="N511" s="21">
        <v>90</v>
      </c>
      <c r="O511" s="19">
        <v>138</v>
      </c>
      <c r="P511" s="22" t="s">
        <v>194</v>
      </c>
      <c r="Q511" s="22" t="s">
        <v>194</v>
      </c>
      <c r="R511" s="20" t="s">
        <v>58</v>
      </c>
      <c r="S511" s="234">
        <f>COUNTIFS(INP_DATA!$R$5:$R$3027,S$4,INP_DATA!$D$5:$D$3027,$D511,INP_DATA!$B$5:$B$3027,$B511)</f>
        <v>1</v>
      </c>
      <c r="T511" s="235">
        <f>COUNTIFS(INP_DATA!$R$5:$R$3027,T$4,INP_DATA!$D$5:$D$3027,$D511,INP_DATA!$B$5:$B$3027,$B511)</f>
        <v>0</v>
      </c>
    </row>
    <row r="512" spans="1:20" x14ac:dyDescent="0.35">
      <c r="A512" s="3" t="s">
        <v>107</v>
      </c>
      <c r="B512" s="165">
        <v>45200</v>
      </c>
      <c r="C512" s="57" t="str">
        <f>IF($B512="","",YEAR($B512)&amp;"-"&amp;IFERROR(VLOOKUP(MONTH(B512),KEY!$AE$5:$AF$16,2,FALSE),""))</f>
        <v>2023-Q4</v>
      </c>
      <c r="D512" s="3" t="s">
        <v>123</v>
      </c>
      <c r="E512" s="219">
        <v>52</v>
      </c>
      <c r="F512" s="166">
        <v>211</v>
      </c>
      <c r="G512" s="166">
        <v>185</v>
      </c>
      <c r="H512" s="21">
        <v>280</v>
      </c>
      <c r="I512" s="21">
        <v>54</v>
      </c>
      <c r="J512" s="21">
        <v>130</v>
      </c>
      <c r="K512" s="21">
        <v>30</v>
      </c>
      <c r="L512" s="21">
        <v>367</v>
      </c>
      <c r="M512" s="21">
        <v>156</v>
      </c>
      <c r="N512" s="21">
        <v>215</v>
      </c>
      <c r="O512" s="19">
        <v>368</v>
      </c>
      <c r="P512" s="22">
        <v>39</v>
      </c>
      <c r="Q512" s="22">
        <v>24</v>
      </c>
      <c r="R512" s="20" t="s">
        <v>58</v>
      </c>
      <c r="S512" s="234">
        <f>COUNTIFS(INP_DATA!$R$5:$R$3027,S$4,INP_DATA!$D$5:$D$3027,$D512,INP_DATA!$B$5:$B$3027,$B512)</f>
        <v>1</v>
      </c>
      <c r="T512" s="235">
        <f>COUNTIFS(INP_DATA!$R$5:$R$3027,T$4,INP_DATA!$D$5:$D$3027,$D512,INP_DATA!$B$5:$B$3027,$B512)</f>
        <v>0</v>
      </c>
    </row>
    <row r="513" spans="1:20" x14ac:dyDescent="0.35">
      <c r="A513" s="3" t="s">
        <v>108</v>
      </c>
      <c r="B513" s="165">
        <v>45200</v>
      </c>
      <c r="C513" s="57" t="str">
        <f>IF($B513="","",YEAR($B513)&amp;"-"&amp;IFERROR(VLOOKUP(MONTH(B513),KEY!$AE$5:$AF$16,2,FALSE),""))</f>
        <v>2023-Q4</v>
      </c>
      <c r="D513" s="3" t="s">
        <v>124</v>
      </c>
      <c r="E513" s="219">
        <v>91</v>
      </c>
      <c r="F513" s="166">
        <v>205</v>
      </c>
      <c r="G513" s="166">
        <v>231</v>
      </c>
      <c r="H513" s="21">
        <v>300</v>
      </c>
      <c r="I513" s="21">
        <v>37</v>
      </c>
      <c r="J513" s="21">
        <v>163</v>
      </c>
      <c r="K513" s="21">
        <v>21</v>
      </c>
      <c r="L513" s="21">
        <v>380</v>
      </c>
      <c r="M513" s="21">
        <v>135</v>
      </c>
      <c r="N513" s="21">
        <v>206</v>
      </c>
      <c r="O513" s="19">
        <v>483</v>
      </c>
      <c r="P513" s="22">
        <v>64</v>
      </c>
      <c r="Q513" s="22">
        <v>46</v>
      </c>
      <c r="R513" s="20" t="s">
        <v>58</v>
      </c>
      <c r="S513" s="234">
        <f>COUNTIFS(INP_DATA!$R$5:$R$3027,S$4,INP_DATA!$D$5:$D$3027,$D513,INP_DATA!$B$5:$B$3027,$B513)</f>
        <v>1</v>
      </c>
      <c r="T513" s="235">
        <f>COUNTIFS(INP_DATA!$R$5:$R$3027,T$4,INP_DATA!$D$5:$D$3027,$D513,INP_DATA!$B$5:$B$3027,$B513)</f>
        <v>0</v>
      </c>
    </row>
    <row r="514" spans="1:20" x14ac:dyDescent="0.35">
      <c r="A514" s="3" t="s">
        <v>106</v>
      </c>
      <c r="B514" s="165">
        <v>45200</v>
      </c>
      <c r="C514" s="57" t="str">
        <f>IF($B514="","",YEAR($B514)&amp;"-"&amp;IFERROR(VLOOKUP(MONTH(B514),KEY!$AE$5:$AF$16,2,FALSE),""))</f>
        <v>2023-Q4</v>
      </c>
      <c r="D514" s="3" t="s">
        <v>195</v>
      </c>
      <c r="E514" s="219">
        <v>9</v>
      </c>
      <c r="F514" s="166">
        <v>29</v>
      </c>
      <c r="G514" s="166">
        <v>38</v>
      </c>
      <c r="H514" s="21">
        <v>110</v>
      </c>
      <c r="I514" s="21">
        <v>11</v>
      </c>
      <c r="J514" s="21">
        <v>34</v>
      </c>
      <c r="K514" s="21">
        <v>5</v>
      </c>
      <c r="L514" s="21">
        <v>48</v>
      </c>
      <c r="M514" s="21">
        <v>18</v>
      </c>
      <c r="N514" s="21">
        <v>29</v>
      </c>
      <c r="O514" s="19">
        <v>115</v>
      </c>
      <c r="P514" s="22">
        <v>11</v>
      </c>
      <c r="Q514" s="22">
        <v>10</v>
      </c>
      <c r="R514" s="20" t="s">
        <v>58</v>
      </c>
      <c r="S514" s="234">
        <f>COUNTIFS(INP_DATA!$R$5:$R$3027,S$4,INP_DATA!$D$5:$D$3027,$D514,INP_DATA!$B$5:$B$3027,$B514)</f>
        <v>1</v>
      </c>
      <c r="T514" s="235">
        <f>COUNTIFS(INP_DATA!$R$5:$R$3027,T$4,INP_DATA!$D$5:$D$3027,$D514,INP_DATA!$B$5:$B$3027,$B514)</f>
        <v>0</v>
      </c>
    </row>
    <row r="515" spans="1:20" x14ac:dyDescent="0.35">
      <c r="A515" s="3" t="s">
        <v>106</v>
      </c>
      <c r="B515" s="165">
        <v>45200</v>
      </c>
      <c r="C515" s="57" t="str">
        <f>IF($B515="","",YEAR($B515)&amp;"-"&amp;IFERROR(VLOOKUP(MONTH(B515),KEY!$AE$5:$AF$16,2,FALSE),""))</f>
        <v>2023-Q4</v>
      </c>
      <c r="D515" s="3" t="s">
        <v>125</v>
      </c>
      <c r="E515" s="219">
        <v>37</v>
      </c>
      <c r="F515" s="166">
        <v>241</v>
      </c>
      <c r="G515" s="166">
        <v>239</v>
      </c>
      <c r="H515" s="21">
        <v>446</v>
      </c>
      <c r="I515" s="21">
        <v>69</v>
      </c>
      <c r="J515" s="21">
        <v>158</v>
      </c>
      <c r="K515" s="21">
        <v>40</v>
      </c>
      <c r="L515" s="21">
        <v>475</v>
      </c>
      <c r="M515" s="21">
        <v>104</v>
      </c>
      <c r="N515" s="21">
        <v>245</v>
      </c>
      <c r="O515" s="19">
        <v>460</v>
      </c>
      <c r="P515" s="22">
        <v>13</v>
      </c>
      <c r="Q515" s="22">
        <v>9</v>
      </c>
      <c r="R515" s="20" t="s">
        <v>58</v>
      </c>
      <c r="S515" s="234">
        <f>COUNTIFS(INP_DATA!$R$5:$R$3027,S$4,INP_DATA!$D$5:$D$3027,$D515,INP_DATA!$B$5:$B$3027,$B515)</f>
        <v>1</v>
      </c>
      <c r="T515" s="235">
        <f>COUNTIFS(INP_DATA!$R$5:$R$3027,T$4,INP_DATA!$D$5:$D$3027,$D515,INP_DATA!$B$5:$B$3027,$B515)</f>
        <v>0</v>
      </c>
    </row>
    <row r="516" spans="1:20" x14ac:dyDescent="0.35">
      <c r="A516" s="3" t="s">
        <v>107</v>
      </c>
      <c r="B516" s="165">
        <v>45200</v>
      </c>
      <c r="C516" s="57" t="str">
        <f>IF($B516="","",YEAR($B516)&amp;"-"&amp;IFERROR(VLOOKUP(MONTH(B516),KEY!$AE$5:$AF$16,2,FALSE),""))</f>
        <v>2023-Q4</v>
      </c>
      <c r="D516" s="3" t="s">
        <v>126</v>
      </c>
      <c r="E516" s="219">
        <v>108</v>
      </c>
      <c r="F516" s="166">
        <v>420</v>
      </c>
      <c r="G516" s="166">
        <v>442</v>
      </c>
      <c r="H516" s="21">
        <v>623</v>
      </c>
      <c r="I516" s="21">
        <v>85</v>
      </c>
      <c r="J516" s="21">
        <v>365</v>
      </c>
      <c r="K516" s="21">
        <v>99</v>
      </c>
      <c r="L516" s="21">
        <v>748</v>
      </c>
      <c r="M516" s="21">
        <v>279</v>
      </c>
      <c r="N516" s="21">
        <v>427</v>
      </c>
      <c r="O516" s="19">
        <v>759</v>
      </c>
      <c r="P516" s="22">
        <v>130</v>
      </c>
      <c r="Q516" s="22">
        <v>91</v>
      </c>
      <c r="R516" s="20" t="s">
        <v>58</v>
      </c>
      <c r="S516" s="234">
        <f>COUNTIFS(INP_DATA!$R$5:$R$3027,S$4,INP_DATA!$D$5:$D$3027,$D516,INP_DATA!$B$5:$B$3027,$B516)</f>
        <v>1</v>
      </c>
      <c r="T516" s="235">
        <f>COUNTIFS(INP_DATA!$R$5:$R$3027,T$4,INP_DATA!$D$5:$D$3027,$D516,INP_DATA!$B$5:$B$3027,$B516)</f>
        <v>0</v>
      </c>
    </row>
    <row r="517" spans="1:20" x14ac:dyDescent="0.35">
      <c r="A517" s="3" t="s">
        <v>107</v>
      </c>
      <c r="B517" s="165">
        <v>45200</v>
      </c>
      <c r="C517" s="57" t="str">
        <f>IF($B517="","",YEAR($B517)&amp;"-"&amp;IFERROR(VLOOKUP(MONTH(B517),KEY!$AE$5:$AF$16,2,FALSE),""))</f>
        <v>2023-Q4</v>
      </c>
      <c r="D517" s="3" t="s">
        <v>127</v>
      </c>
      <c r="E517" s="219">
        <v>15</v>
      </c>
      <c r="F517" s="166">
        <v>60</v>
      </c>
      <c r="G517" s="166">
        <v>74</v>
      </c>
      <c r="H517" s="21">
        <v>121</v>
      </c>
      <c r="I517" s="21">
        <v>19</v>
      </c>
      <c r="J517" s="21">
        <v>42</v>
      </c>
      <c r="K517" s="21">
        <v>6</v>
      </c>
      <c r="L517" s="21">
        <v>79</v>
      </c>
      <c r="M517" s="21">
        <v>40</v>
      </c>
      <c r="N517" s="21">
        <v>63</v>
      </c>
      <c r="O517" s="19">
        <v>92</v>
      </c>
      <c r="P517" s="22">
        <v>12</v>
      </c>
      <c r="Q517" s="22">
        <v>4</v>
      </c>
      <c r="R517" s="20" t="s">
        <v>58</v>
      </c>
      <c r="S517" s="234">
        <f>COUNTIFS(INP_DATA!$R$5:$R$3027,S$4,INP_DATA!$D$5:$D$3027,$D517,INP_DATA!$B$5:$B$3027,$B517)</f>
        <v>1</v>
      </c>
      <c r="T517" s="235">
        <f>COUNTIFS(INP_DATA!$R$5:$R$3027,T$4,INP_DATA!$D$5:$D$3027,$D517,INP_DATA!$B$5:$B$3027,$B517)</f>
        <v>0</v>
      </c>
    </row>
    <row r="518" spans="1:20" x14ac:dyDescent="0.35">
      <c r="A518" s="3" t="s">
        <v>109</v>
      </c>
      <c r="B518" s="165">
        <v>45200</v>
      </c>
      <c r="C518" s="57" t="str">
        <f>IF($B518="","",YEAR($B518)&amp;"-"&amp;IFERROR(VLOOKUP(MONTH(B518),KEY!$AE$5:$AF$16,2,FALSE),""))</f>
        <v>2023-Q4</v>
      </c>
      <c r="D518" s="3" t="s">
        <v>128</v>
      </c>
      <c r="E518" s="219">
        <v>4</v>
      </c>
      <c r="F518" s="166">
        <v>243</v>
      </c>
      <c r="G518" s="166">
        <v>235</v>
      </c>
      <c r="H518" s="21">
        <v>646</v>
      </c>
      <c r="I518" s="21">
        <v>80</v>
      </c>
      <c r="J518" s="21">
        <v>357</v>
      </c>
      <c r="K518" s="21">
        <v>62</v>
      </c>
      <c r="L518" s="21">
        <v>473</v>
      </c>
      <c r="M518" s="21">
        <v>140</v>
      </c>
      <c r="N518" s="21">
        <v>241</v>
      </c>
      <c r="O518" s="19">
        <v>322</v>
      </c>
      <c r="P518" s="22" t="s">
        <v>194</v>
      </c>
      <c r="Q518" s="22" t="s">
        <v>194</v>
      </c>
      <c r="R518" s="20" t="s">
        <v>51</v>
      </c>
      <c r="S518" s="234">
        <f>COUNTIFS(INP_DATA!$R$5:$R$3027,S$4,INP_DATA!$D$5:$D$3027,$D518,INP_DATA!$B$5:$B$3027,$B518)</f>
        <v>0</v>
      </c>
      <c r="T518" s="235">
        <f>COUNTIFS(INP_DATA!$R$5:$R$3027,T$4,INP_DATA!$D$5:$D$3027,$D518,INP_DATA!$B$5:$B$3027,$B518)</f>
        <v>1</v>
      </c>
    </row>
    <row r="519" spans="1:20" x14ac:dyDescent="0.35">
      <c r="A519" s="3" t="s">
        <v>106</v>
      </c>
      <c r="B519" s="165">
        <v>45200</v>
      </c>
      <c r="C519" s="57" t="str">
        <f>IF($B519="","",YEAR($B519)&amp;"-"&amp;IFERROR(VLOOKUP(MONTH(B519),KEY!$AE$5:$AF$16,2,FALSE),""))</f>
        <v>2023-Q4</v>
      </c>
      <c r="D519" s="3" t="s">
        <v>129</v>
      </c>
      <c r="E519" s="219">
        <v>8</v>
      </c>
      <c r="F519" s="166">
        <v>146</v>
      </c>
      <c r="G519" s="166">
        <v>184</v>
      </c>
      <c r="H519" s="21">
        <v>241</v>
      </c>
      <c r="I519" s="21">
        <v>31</v>
      </c>
      <c r="J519" s="21">
        <v>148</v>
      </c>
      <c r="K519" s="21">
        <v>30</v>
      </c>
      <c r="L519" s="21">
        <v>271</v>
      </c>
      <c r="M519" s="21">
        <v>63</v>
      </c>
      <c r="N519" s="21">
        <v>148</v>
      </c>
      <c r="O519" s="19">
        <v>322</v>
      </c>
      <c r="P519" s="22">
        <v>32</v>
      </c>
      <c r="Q519" s="22">
        <v>20</v>
      </c>
      <c r="R519" s="20" t="s">
        <v>58</v>
      </c>
      <c r="S519" s="234">
        <f>COUNTIFS(INP_DATA!$R$5:$R$3027,S$4,INP_DATA!$D$5:$D$3027,$D519,INP_DATA!$B$5:$B$3027,$B519)</f>
        <v>1</v>
      </c>
      <c r="T519" s="235">
        <f>COUNTIFS(INP_DATA!$R$5:$R$3027,T$4,INP_DATA!$D$5:$D$3027,$D519,INP_DATA!$B$5:$B$3027,$B519)</f>
        <v>0</v>
      </c>
    </row>
    <row r="520" spans="1:20" x14ac:dyDescent="0.35">
      <c r="A520" s="3" t="s">
        <v>108</v>
      </c>
      <c r="B520" s="165">
        <v>45200</v>
      </c>
      <c r="C520" s="57" t="str">
        <f>IF($B520="","",YEAR($B520)&amp;"-"&amp;IFERROR(VLOOKUP(MONTH(B520),KEY!$AE$5:$AF$16,2,FALSE),""))</f>
        <v>2023-Q4</v>
      </c>
      <c r="D520" s="3" t="s">
        <v>130</v>
      </c>
      <c r="E520" s="219">
        <v>27</v>
      </c>
      <c r="F520" s="166">
        <v>136</v>
      </c>
      <c r="G520" s="166">
        <v>103</v>
      </c>
      <c r="H520" s="21">
        <v>325</v>
      </c>
      <c r="I520" s="21">
        <v>45</v>
      </c>
      <c r="J520" s="21">
        <v>145</v>
      </c>
      <c r="K520" s="21">
        <v>35</v>
      </c>
      <c r="L520" s="21">
        <v>147</v>
      </c>
      <c r="M520" s="21">
        <v>66</v>
      </c>
      <c r="N520" s="21">
        <v>149</v>
      </c>
      <c r="O520" s="19">
        <v>207</v>
      </c>
      <c r="P520" s="22">
        <v>24</v>
      </c>
      <c r="Q520" s="22">
        <v>16</v>
      </c>
      <c r="R520" s="20" t="s">
        <v>58</v>
      </c>
      <c r="S520" s="234">
        <f>COUNTIFS(INP_DATA!$R$5:$R$3027,S$4,INP_DATA!$D$5:$D$3027,$D520,INP_DATA!$B$5:$B$3027,$B520)</f>
        <v>1</v>
      </c>
      <c r="T520" s="235">
        <f>COUNTIFS(INP_DATA!$R$5:$R$3027,T$4,INP_DATA!$D$5:$D$3027,$D520,INP_DATA!$B$5:$B$3027,$B520)</f>
        <v>0</v>
      </c>
    </row>
    <row r="521" spans="1:20" x14ac:dyDescent="0.35">
      <c r="A521" s="3" t="s">
        <v>109</v>
      </c>
      <c r="B521" s="165">
        <v>45200</v>
      </c>
      <c r="C521" s="57" t="str">
        <f>IF($B521="","",YEAR($B521)&amp;"-"&amp;IFERROR(VLOOKUP(MONTH(B521),KEY!$AE$5:$AF$16,2,FALSE),""))</f>
        <v>2023-Q4</v>
      </c>
      <c r="D521" s="3" t="s">
        <v>131</v>
      </c>
      <c r="E521" s="219">
        <v>41</v>
      </c>
      <c r="F521" s="166">
        <v>150</v>
      </c>
      <c r="G521" s="166">
        <v>128</v>
      </c>
      <c r="H521" s="21">
        <v>123</v>
      </c>
      <c r="I521" s="21">
        <v>13</v>
      </c>
      <c r="J521" s="21">
        <v>152</v>
      </c>
      <c r="K521" s="21">
        <v>33</v>
      </c>
      <c r="L521" s="21">
        <v>326</v>
      </c>
      <c r="M521" s="21">
        <v>55</v>
      </c>
      <c r="N521" s="21">
        <v>153</v>
      </c>
      <c r="O521" s="19">
        <v>345</v>
      </c>
      <c r="P521" s="22">
        <v>10</v>
      </c>
      <c r="Q521" s="22">
        <v>10</v>
      </c>
      <c r="R521" s="20" t="s">
        <v>58</v>
      </c>
      <c r="S521" s="234">
        <f>COUNTIFS(INP_DATA!$R$5:$R$3027,S$4,INP_DATA!$D$5:$D$3027,$D521,INP_DATA!$B$5:$B$3027,$B521)</f>
        <v>1</v>
      </c>
      <c r="T521" s="235">
        <f>COUNTIFS(INP_DATA!$R$5:$R$3027,T$4,INP_DATA!$D$5:$D$3027,$D521,INP_DATA!$B$5:$B$3027,$B521)</f>
        <v>0</v>
      </c>
    </row>
    <row r="522" spans="1:20" x14ac:dyDescent="0.35">
      <c r="A522" s="3" t="s">
        <v>108</v>
      </c>
      <c r="B522" s="165">
        <v>45200</v>
      </c>
      <c r="C522" s="57" t="str">
        <f>IF($B522="","",YEAR($B522)&amp;"-"&amp;IFERROR(VLOOKUP(MONTH(B522),KEY!$AE$5:$AF$16,2,FALSE),""))</f>
        <v>2023-Q4</v>
      </c>
      <c r="D522" s="3" t="s">
        <v>134</v>
      </c>
      <c r="E522" s="219">
        <v>11</v>
      </c>
      <c r="F522" s="166">
        <v>34</v>
      </c>
      <c r="G522" s="166">
        <v>30</v>
      </c>
      <c r="H522" s="21">
        <v>60</v>
      </c>
      <c r="I522" s="21">
        <v>7</v>
      </c>
      <c r="J522" s="21">
        <v>20</v>
      </c>
      <c r="K522" s="21">
        <v>4</v>
      </c>
      <c r="L522" s="21">
        <v>54</v>
      </c>
      <c r="M522" s="21">
        <v>25</v>
      </c>
      <c r="N522" s="21">
        <v>35</v>
      </c>
      <c r="O522" s="19">
        <v>92</v>
      </c>
      <c r="P522" s="22">
        <v>17</v>
      </c>
      <c r="Q522" s="22">
        <v>12</v>
      </c>
      <c r="R522" s="20" t="s">
        <v>51</v>
      </c>
      <c r="S522" s="234">
        <f>COUNTIFS(INP_DATA!$R$5:$R$3027,S$4,INP_DATA!$D$5:$D$3027,$D522,INP_DATA!$B$5:$B$3027,$B522)</f>
        <v>0</v>
      </c>
      <c r="T522" s="235">
        <f>COUNTIFS(INP_DATA!$R$5:$R$3027,T$4,INP_DATA!$D$5:$D$3027,$D522,INP_DATA!$B$5:$B$3027,$B522)</f>
        <v>1</v>
      </c>
    </row>
    <row r="523" spans="1:20" x14ac:dyDescent="0.35">
      <c r="A523" s="3" t="s">
        <v>108</v>
      </c>
      <c r="B523" s="165">
        <v>45200</v>
      </c>
      <c r="C523" s="57" t="str">
        <f>IF($B523="","",YEAR($B523)&amp;"-"&amp;IFERROR(VLOOKUP(MONTH(B523),KEY!$AE$5:$AF$16,2,FALSE),""))</f>
        <v>2023-Q4</v>
      </c>
      <c r="D523" s="3" t="s">
        <v>135</v>
      </c>
      <c r="E523" s="219">
        <v>58</v>
      </c>
      <c r="F523" s="166">
        <v>218</v>
      </c>
      <c r="G523" s="166">
        <v>236</v>
      </c>
      <c r="H523" s="21">
        <v>344</v>
      </c>
      <c r="I523" s="21">
        <v>48</v>
      </c>
      <c r="J523" s="21">
        <v>141</v>
      </c>
      <c r="K523" s="21">
        <v>34</v>
      </c>
      <c r="L523" s="21">
        <v>618</v>
      </c>
      <c r="M523" s="21">
        <v>115</v>
      </c>
      <c r="N523" s="21">
        <v>219</v>
      </c>
      <c r="O523" s="19">
        <v>368</v>
      </c>
      <c r="P523" s="22">
        <v>35</v>
      </c>
      <c r="Q523" s="22">
        <v>23</v>
      </c>
      <c r="R523" s="20" t="s">
        <v>51</v>
      </c>
      <c r="S523" s="234">
        <f>COUNTIFS(INP_DATA!$R$5:$R$3027,S$4,INP_DATA!$D$5:$D$3027,$D523,INP_DATA!$B$5:$B$3027,$B523)</f>
        <v>0</v>
      </c>
      <c r="T523" s="235">
        <f>COUNTIFS(INP_DATA!$R$5:$R$3027,T$4,INP_DATA!$D$5:$D$3027,$D523,INP_DATA!$B$5:$B$3027,$B523)</f>
        <v>1</v>
      </c>
    </row>
    <row r="524" spans="1:20" x14ac:dyDescent="0.35">
      <c r="A524" s="3" t="s">
        <v>16</v>
      </c>
      <c r="B524" s="165">
        <v>45200</v>
      </c>
      <c r="C524" s="57" t="str">
        <f>IF($B524="","",YEAR($B524)&amp;"-"&amp;IFERROR(VLOOKUP(MONTH(B524),KEY!$AE$5:$AF$16,2,FALSE),""))</f>
        <v>2023-Q4</v>
      </c>
      <c r="D524" s="3" t="s">
        <v>196</v>
      </c>
      <c r="E524" s="219">
        <v>4</v>
      </c>
      <c r="F524" s="166">
        <v>39</v>
      </c>
      <c r="G524" s="166">
        <v>55</v>
      </c>
      <c r="H524" s="21">
        <v>72</v>
      </c>
      <c r="I524" s="21">
        <v>19</v>
      </c>
      <c r="J524" s="21">
        <v>60</v>
      </c>
      <c r="K524" s="21">
        <v>13</v>
      </c>
      <c r="L524" s="21">
        <v>67</v>
      </c>
      <c r="M524" s="21">
        <v>32</v>
      </c>
      <c r="N524" s="21">
        <v>39</v>
      </c>
      <c r="O524" s="19">
        <v>115</v>
      </c>
      <c r="P524" s="22">
        <v>12</v>
      </c>
      <c r="Q524" s="22">
        <v>6</v>
      </c>
      <c r="R524" s="20" t="s">
        <v>58</v>
      </c>
      <c r="S524" s="234">
        <f>COUNTIFS(INP_DATA!$R$5:$R$3027,S$4,INP_DATA!$D$5:$D$3027,$D524,INP_DATA!$B$5:$B$3027,$B524)</f>
        <v>1</v>
      </c>
      <c r="T524" s="235">
        <f>COUNTIFS(INP_DATA!$R$5:$R$3027,T$4,INP_DATA!$D$5:$D$3027,$D524,INP_DATA!$B$5:$B$3027,$B524)</f>
        <v>0</v>
      </c>
    </row>
    <row r="525" spans="1:20" x14ac:dyDescent="0.35">
      <c r="A525" s="3" t="s">
        <v>16</v>
      </c>
      <c r="B525" s="165">
        <v>45200</v>
      </c>
      <c r="C525" s="57" t="str">
        <f>IF($B525="","",YEAR($B525)&amp;"-"&amp;IFERROR(VLOOKUP(MONTH(B525),KEY!$AE$5:$AF$16,2,FALSE),""))</f>
        <v>2023-Q4</v>
      </c>
      <c r="D525" s="3" t="s">
        <v>197</v>
      </c>
      <c r="E525" s="219">
        <v>28</v>
      </c>
      <c r="F525" s="166">
        <v>73</v>
      </c>
      <c r="G525" s="166">
        <v>92</v>
      </c>
      <c r="H525" s="21">
        <v>96</v>
      </c>
      <c r="I525" s="21">
        <v>15</v>
      </c>
      <c r="J525" s="21">
        <v>62</v>
      </c>
      <c r="K525" s="21">
        <v>13</v>
      </c>
      <c r="L525" s="21">
        <v>125</v>
      </c>
      <c r="M525" s="21">
        <v>61</v>
      </c>
      <c r="N525" s="21">
        <v>76</v>
      </c>
      <c r="O525" s="19">
        <v>230</v>
      </c>
      <c r="P525" s="22">
        <v>12</v>
      </c>
      <c r="Q525" s="22">
        <v>9</v>
      </c>
      <c r="R525" s="20" t="s">
        <v>58</v>
      </c>
      <c r="S525" s="234">
        <f>COUNTIFS(INP_DATA!$R$5:$R$3027,S$4,INP_DATA!$D$5:$D$3027,$D525,INP_DATA!$B$5:$B$3027,$B525)</f>
        <v>1</v>
      </c>
      <c r="T525" s="235">
        <f>COUNTIFS(INP_DATA!$R$5:$R$3027,T$4,INP_DATA!$D$5:$D$3027,$D525,INP_DATA!$B$5:$B$3027,$B525)</f>
        <v>0</v>
      </c>
    </row>
    <row r="526" spans="1:20" x14ac:dyDescent="0.35">
      <c r="A526" s="3" t="s">
        <v>109</v>
      </c>
      <c r="B526" s="165">
        <v>45200</v>
      </c>
      <c r="C526" s="57" t="str">
        <f>IF($B526="","",YEAR($B526)&amp;"-"&amp;IFERROR(VLOOKUP(MONTH(B526),KEY!$AE$5:$AF$16,2,FALSE),""))</f>
        <v>2023-Q4</v>
      </c>
      <c r="D526" s="3" t="s">
        <v>136</v>
      </c>
      <c r="E526" s="219">
        <v>58</v>
      </c>
      <c r="F526" s="166">
        <v>245</v>
      </c>
      <c r="G526" s="166">
        <v>237</v>
      </c>
      <c r="H526" s="21">
        <v>486</v>
      </c>
      <c r="I526" s="21">
        <v>46</v>
      </c>
      <c r="J526" s="21">
        <v>377</v>
      </c>
      <c r="K526" s="21">
        <v>39</v>
      </c>
      <c r="L526" s="21">
        <v>367</v>
      </c>
      <c r="M526" s="21">
        <v>146</v>
      </c>
      <c r="N526" s="21">
        <v>253</v>
      </c>
      <c r="O526" s="19">
        <v>368</v>
      </c>
      <c r="P526" s="22">
        <v>39</v>
      </c>
      <c r="Q526" s="22">
        <v>34</v>
      </c>
      <c r="R526" s="20" t="s">
        <v>51</v>
      </c>
      <c r="S526" s="234">
        <f>COUNTIFS(INP_DATA!$R$5:$R$3027,S$4,INP_DATA!$D$5:$D$3027,$D526,INP_DATA!$B$5:$B$3027,$B526)</f>
        <v>0</v>
      </c>
      <c r="T526" s="235">
        <f>COUNTIFS(INP_DATA!$R$5:$R$3027,T$4,INP_DATA!$D$5:$D$3027,$D526,INP_DATA!$B$5:$B$3027,$B526)</f>
        <v>1</v>
      </c>
    </row>
    <row r="527" spans="1:20" x14ac:dyDescent="0.35">
      <c r="A527" s="3" t="s">
        <v>16</v>
      </c>
      <c r="B527" s="165">
        <v>45200</v>
      </c>
      <c r="C527" s="57" t="str">
        <f>IF($B527="","",YEAR($B527)&amp;"-"&amp;IFERROR(VLOOKUP(MONTH(B527),KEY!$AE$5:$AF$16,2,FALSE),""))</f>
        <v>2023-Q4</v>
      </c>
      <c r="D527" s="3" t="s">
        <v>137</v>
      </c>
      <c r="E527" s="219">
        <v>21</v>
      </c>
      <c r="F527" s="166">
        <v>81</v>
      </c>
      <c r="G527" s="166">
        <v>66</v>
      </c>
      <c r="H527" s="21">
        <v>175</v>
      </c>
      <c r="I527" s="21">
        <v>21</v>
      </c>
      <c r="J527" s="21">
        <v>143</v>
      </c>
      <c r="K527" s="21">
        <v>31</v>
      </c>
      <c r="L527" s="21">
        <v>148</v>
      </c>
      <c r="M527" s="21">
        <v>66</v>
      </c>
      <c r="N527" s="21">
        <v>83</v>
      </c>
      <c r="O527" s="19">
        <v>207</v>
      </c>
      <c r="P527" s="22">
        <v>17</v>
      </c>
      <c r="Q527" s="22">
        <v>8</v>
      </c>
      <c r="R527" s="20" t="s">
        <v>58</v>
      </c>
      <c r="S527" s="234">
        <f>COUNTIFS(INP_DATA!$R$5:$R$3027,S$4,INP_DATA!$D$5:$D$3027,$D527,INP_DATA!$B$5:$B$3027,$B527)</f>
        <v>1</v>
      </c>
      <c r="T527" s="235">
        <f>COUNTIFS(INP_DATA!$R$5:$R$3027,T$4,INP_DATA!$D$5:$D$3027,$D527,INP_DATA!$B$5:$B$3027,$B527)</f>
        <v>0</v>
      </c>
    </row>
    <row r="528" spans="1:20" x14ac:dyDescent="0.35">
      <c r="A528" s="3" t="s">
        <v>109</v>
      </c>
      <c r="B528" s="165">
        <v>45200</v>
      </c>
      <c r="C528" s="57" t="str">
        <f>IF($B528="","",YEAR($B528)&amp;"-"&amp;IFERROR(VLOOKUP(MONTH(B528),KEY!$AE$5:$AF$16,2,FALSE),""))</f>
        <v>2023-Q4</v>
      </c>
      <c r="D528" s="3" t="s">
        <v>138</v>
      </c>
      <c r="E528" s="219">
        <v>21</v>
      </c>
      <c r="F528" s="166">
        <v>109</v>
      </c>
      <c r="G528" s="166">
        <v>89</v>
      </c>
      <c r="H528" s="21">
        <v>261</v>
      </c>
      <c r="I528" s="21">
        <v>26</v>
      </c>
      <c r="J528" s="21">
        <v>239</v>
      </c>
      <c r="K528" s="21">
        <v>26</v>
      </c>
      <c r="L528" s="21">
        <v>261</v>
      </c>
      <c r="M528" s="21">
        <v>76</v>
      </c>
      <c r="N528" s="21">
        <v>117</v>
      </c>
      <c r="O528" s="19">
        <v>184</v>
      </c>
      <c r="P528" s="22">
        <v>15</v>
      </c>
      <c r="Q528" s="22">
        <v>12</v>
      </c>
      <c r="R528" s="20" t="s">
        <v>51</v>
      </c>
      <c r="S528" s="234">
        <f>COUNTIFS(INP_DATA!$R$5:$R$3027,S$4,INP_DATA!$D$5:$D$3027,$D528,INP_DATA!$B$5:$B$3027,$B528)</f>
        <v>0</v>
      </c>
      <c r="T528" s="235">
        <f>COUNTIFS(INP_DATA!$R$5:$R$3027,T$4,INP_DATA!$D$5:$D$3027,$D528,INP_DATA!$B$5:$B$3027,$B528)</f>
        <v>1</v>
      </c>
    </row>
    <row r="529" spans="1:20" x14ac:dyDescent="0.35">
      <c r="A529" s="3" t="s">
        <v>108</v>
      </c>
      <c r="B529" s="165">
        <v>45200</v>
      </c>
      <c r="C529" s="57" t="str">
        <f>IF($B529="","",YEAR($B529)&amp;"-"&amp;IFERROR(VLOOKUP(MONTH(B529),KEY!$AE$5:$AF$16,2,FALSE),""))</f>
        <v>2023-Q4</v>
      </c>
      <c r="D529" s="3" t="s">
        <v>139</v>
      </c>
      <c r="E529" s="219">
        <v>31</v>
      </c>
      <c r="F529" s="166">
        <v>178</v>
      </c>
      <c r="G529" s="166">
        <v>152</v>
      </c>
      <c r="H529" s="21">
        <v>337</v>
      </c>
      <c r="I529" s="21">
        <v>62</v>
      </c>
      <c r="J529" s="21">
        <v>127</v>
      </c>
      <c r="K529" s="21">
        <v>36</v>
      </c>
      <c r="L529" s="21">
        <v>458</v>
      </c>
      <c r="M529" s="21">
        <v>129</v>
      </c>
      <c r="N529" s="21">
        <v>179</v>
      </c>
      <c r="O529" s="19">
        <v>230</v>
      </c>
      <c r="P529" s="22">
        <v>100</v>
      </c>
      <c r="Q529" s="22">
        <v>77</v>
      </c>
      <c r="R529" s="20" t="s">
        <v>58</v>
      </c>
      <c r="S529" s="234">
        <f>COUNTIFS(INP_DATA!$R$5:$R$3027,S$4,INP_DATA!$D$5:$D$3027,$D529,INP_DATA!$B$5:$B$3027,$B529)</f>
        <v>1</v>
      </c>
      <c r="T529" s="235">
        <f>COUNTIFS(INP_DATA!$R$5:$R$3027,T$4,INP_DATA!$D$5:$D$3027,$D529,INP_DATA!$B$5:$B$3027,$B529)</f>
        <v>0</v>
      </c>
    </row>
    <row r="530" spans="1:20" x14ac:dyDescent="0.35">
      <c r="A530" s="3" t="s">
        <v>107</v>
      </c>
      <c r="B530" s="165">
        <v>45200</v>
      </c>
      <c r="C530" s="57" t="str">
        <f>IF($B530="","",YEAR($B530)&amp;"-"&amp;IFERROR(VLOOKUP(MONTH(B530),KEY!$AE$5:$AF$16,2,FALSE),""))</f>
        <v>2023-Q4</v>
      </c>
      <c r="D530" s="3" t="s">
        <v>140</v>
      </c>
      <c r="E530" s="219">
        <v>9</v>
      </c>
      <c r="F530" s="166">
        <v>47</v>
      </c>
      <c r="G530" s="166">
        <v>33</v>
      </c>
      <c r="H530" s="21">
        <v>70</v>
      </c>
      <c r="I530" s="21">
        <v>18</v>
      </c>
      <c r="J530" s="21">
        <v>39</v>
      </c>
      <c r="K530" s="21">
        <v>12</v>
      </c>
      <c r="L530" s="21">
        <v>65</v>
      </c>
      <c r="M530" s="21">
        <v>42</v>
      </c>
      <c r="N530" s="21">
        <v>47</v>
      </c>
      <c r="O530" s="19">
        <v>69</v>
      </c>
      <c r="P530" s="22">
        <v>17</v>
      </c>
      <c r="Q530" s="22">
        <v>7</v>
      </c>
      <c r="R530" s="20" t="s">
        <v>194</v>
      </c>
      <c r="S530" s="234">
        <f>COUNTIFS(INP_DATA!$R$5:$R$3027,S$4,INP_DATA!$D$5:$D$3027,$D530,INP_DATA!$B$5:$B$3027,$B530)</f>
        <v>0</v>
      </c>
      <c r="T530" s="235">
        <f>COUNTIFS(INP_DATA!$R$5:$R$3027,T$4,INP_DATA!$D$5:$D$3027,$D530,INP_DATA!$B$5:$B$3027,$B530)</f>
        <v>0</v>
      </c>
    </row>
    <row r="531" spans="1:20" x14ac:dyDescent="0.35">
      <c r="A531" s="3" t="s">
        <v>108</v>
      </c>
      <c r="B531" s="165">
        <v>45200</v>
      </c>
      <c r="C531" s="57" t="str">
        <f>IF($B531="","",YEAR($B531)&amp;"-"&amp;IFERROR(VLOOKUP(MONTH(B531),KEY!$AE$5:$AF$16,2,FALSE),""))</f>
        <v>2023-Q4</v>
      </c>
      <c r="D531" s="3" t="s">
        <v>142</v>
      </c>
      <c r="E531" s="219">
        <v>18</v>
      </c>
      <c r="F531" s="166">
        <v>66</v>
      </c>
      <c r="G531" s="166">
        <v>80</v>
      </c>
      <c r="H531" s="21">
        <v>146</v>
      </c>
      <c r="I531" s="21">
        <v>20</v>
      </c>
      <c r="J531" s="21">
        <v>37</v>
      </c>
      <c r="K531" s="21">
        <v>10</v>
      </c>
      <c r="L531" s="21">
        <v>73</v>
      </c>
      <c r="M531" s="21">
        <v>27</v>
      </c>
      <c r="N531" s="21">
        <v>66</v>
      </c>
      <c r="O531" s="19">
        <v>138</v>
      </c>
      <c r="P531" s="22">
        <v>23</v>
      </c>
      <c r="Q531" s="22">
        <v>17</v>
      </c>
      <c r="R531" s="20" t="s">
        <v>51</v>
      </c>
      <c r="S531" s="234">
        <f>COUNTIFS(INP_DATA!$R$5:$R$3027,S$4,INP_DATA!$D$5:$D$3027,$D531,INP_DATA!$B$5:$B$3027,$B531)</f>
        <v>0</v>
      </c>
      <c r="T531" s="235">
        <f>COUNTIFS(INP_DATA!$R$5:$R$3027,T$4,INP_DATA!$D$5:$D$3027,$D531,INP_DATA!$B$5:$B$3027,$B531)</f>
        <v>1</v>
      </c>
    </row>
    <row r="532" spans="1:20" x14ac:dyDescent="0.35">
      <c r="A532" s="3" t="s">
        <v>16</v>
      </c>
      <c r="B532" s="165">
        <v>45200</v>
      </c>
      <c r="C532" s="57" t="str">
        <f>IF($B532="","",YEAR($B532)&amp;"-"&amp;IFERROR(VLOOKUP(MONTH(B532),KEY!$AE$5:$AF$16,2,FALSE),""))</f>
        <v>2023-Q4</v>
      </c>
      <c r="D532" s="3" t="s">
        <v>143</v>
      </c>
      <c r="E532" s="219">
        <v>10</v>
      </c>
      <c r="F532" s="166">
        <v>56</v>
      </c>
      <c r="G532" s="166">
        <v>71</v>
      </c>
      <c r="H532" s="21">
        <v>95</v>
      </c>
      <c r="I532" s="21">
        <v>21</v>
      </c>
      <c r="J532" s="21">
        <v>70</v>
      </c>
      <c r="K532" s="21">
        <v>14</v>
      </c>
      <c r="L532" s="21">
        <v>105</v>
      </c>
      <c r="M532" s="21">
        <v>40</v>
      </c>
      <c r="N532" s="21">
        <v>56</v>
      </c>
      <c r="O532" s="19">
        <v>161</v>
      </c>
      <c r="P532" s="22">
        <v>6</v>
      </c>
      <c r="Q532" s="22">
        <v>3</v>
      </c>
      <c r="R532" s="20" t="s">
        <v>58</v>
      </c>
      <c r="S532" s="234">
        <f>COUNTIFS(INP_DATA!$R$5:$R$3027,S$4,INP_DATA!$D$5:$D$3027,$D532,INP_DATA!$B$5:$B$3027,$B532)</f>
        <v>1</v>
      </c>
      <c r="T532" s="235">
        <f>COUNTIFS(INP_DATA!$R$5:$R$3027,T$4,INP_DATA!$D$5:$D$3027,$D532,INP_DATA!$B$5:$B$3027,$B532)</f>
        <v>0</v>
      </c>
    </row>
    <row r="533" spans="1:20" x14ac:dyDescent="0.35">
      <c r="A533" s="3" t="s">
        <v>16</v>
      </c>
      <c r="B533" s="165">
        <v>45200</v>
      </c>
      <c r="C533" s="57" t="str">
        <f>IF($B533="","",YEAR($B533)&amp;"-"&amp;IFERROR(VLOOKUP(MONTH(B533),KEY!$AE$5:$AF$16,2,FALSE),""))</f>
        <v>2023-Q4</v>
      </c>
      <c r="D533" s="3" t="s">
        <v>144</v>
      </c>
      <c r="E533" s="219">
        <v>50</v>
      </c>
      <c r="F533" s="166">
        <v>166</v>
      </c>
      <c r="G533" s="166">
        <v>194</v>
      </c>
      <c r="H533" s="21">
        <v>247</v>
      </c>
      <c r="I533" s="21">
        <v>37</v>
      </c>
      <c r="J533" s="21">
        <v>102</v>
      </c>
      <c r="K533" s="21">
        <v>19</v>
      </c>
      <c r="L533" s="21">
        <v>293</v>
      </c>
      <c r="M533" s="21">
        <v>99</v>
      </c>
      <c r="N533" s="21">
        <v>170</v>
      </c>
      <c r="O533" s="19">
        <v>368</v>
      </c>
      <c r="P533" s="22">
        <v>21</v>
      </c>
      <c r="Q533" s="22">
        <v>19</v>
      </c>
      <c r="R533" s="20" t="s">
        <v>58</v>
      </c>
      <c r="S533" s="234">
        <f>COUNTIFS(INP_DATA!$R$5:$R$3027,S$4,INP_DATA!$D$5:$D$3027,$D533,INP_DATA!$B$5:$B$3027,$B533)</f>
        <v>1</v>
      </c>
      <c r="T533" s="235">
        <f>COUNTIFS(INP_DATA!$R$5:$R$3027,T$4,INP_DATA!$D$5:$D$3027,$D533,INP_DATA!$B$5:$B$3027,$B533)</f>
        <v>0</v>
      </c>
    </row>
    <row r="534" spans="1:20" x14ac:dyDescent="0.35">
      <c r="A534" s="3" t="s">
        <v>108</v>
      </c>
      <c r="B534" s="165">
        <v>45200</v>
      </c>
      <c r="C534" s="57" t="str">
        <f>IF($B534="","",YEAR($B534)&amp;"-"&amp;IFERROR(VLOOKUP(MONTH(B534),KEY!$AE$5:$AF$16,2,FALSE),""))</f>
        <v>2023-Q4</v>
      </c>
      <c r="D534" s="3" t="s">
        <v>145</v>
      </c>
      <c r="E534" s="219">
        <v>64</v>
      </c>
      <c r="F534" s="166">
        <v>130</v>
      </c>
      <c r="G534" s="166">
        <v>191</v>
      </c>
      <c r="H534" s="21">
        <v>199</v>
      </c>
      <c r="I534" s="21">
        <v>27</v>
      </c>
      <c r="J534" s="21">
        <v>122</v>
      </c>
      <c r="K534" s="21">
        <v>22</v>
      </c>
      <c r="L534" s="21">
        <v>316</v>
      </c>
      <c r="M534" s="21">
        <v>70</v>
      </c>
      <c r="N534" s="21">
        <v>130</v>
      </c>
      <c r="O534" s="19">
        <v>345</v>
      </c>
      <c r="P534" s="22">
        <v>46</v>
      </c>
      <c r="Q534" s="22">
        <v>30</v>
      </c>
      <c r="R534" s="20" t="s">
        <v>51</v>
      </c>
      <c r="S534" s="234">
        <f>COUNTIFS(INP_DATA!$R$5:$R$3027,S$4,INP_DATA!$D$5:$D$3027,$D534,INP_DATA!$B$5:$B$3027,$B534)</f>
        <v>0</v>
      </c>
      <c r="T534" s="235">
        <f>COUNTIFS(INP_DATA!$R$5:$R$3027,T$4,INP_DATA!$D$5:$D$3027,$D534,INP_DATA!$B$5:$B$3027,$B534)</f>
        <v>1</v>
      </c>
    </row>
    <row r="535" spans="1:20" x14ac:dyDescent="0.35">
      <c r="A535" s="3" t="s">
        <v>16</v>
      </c>
      <c r="B535" s="165">
        <v>45200</v>
      </c>
      <c r="C535" s="57" t="str">
        <f>IF($B535="","",YEAR($B535)&amp;"-"&amp;IFERROR(VLOOKUP(MONTH(B535),KEY!$AE$5:$AF$16,2,FALSE),""))</f>
        <v>2023-Q4</v>
      </c>
      <c r="D535" s="3" t="s">
        <v>146</v>
      </c>
      <c r="E535" s="219">
        <v>4</v>
      </c>
      <c r="F535" s="166">
        <v>38</v>
      </c>
      <c r="G535" s="166">
        <v>50</v>
      </c>
      <c r="H535" s="21">
        <v>103</v>
      </c>
      <c r="I535" s="21">
        <v>17</v>
      </c>
      <c r="J535" s="21">
        <v>25</v>
      </c>
      <c r="K535" s="21">
        <v>7</v>
      </c>
      <c r="L535" s="21">
        <v>68</v>
      </c>
      <c r="M535" s="21">
        <v>28</v>
      </c>
      <c r="N535" s="21">
        <v>38</v>
      </c>
      <c r="O535" s="19">
        <v>92</v>
      </c>
      <c r="P535" s="22">
        <v>4</v>
      </c>
      <c r="Q535" s="22">
        <v>3</v>
      </c>
      <c r="R535" s="20" t="s">
        <v>58</v>
      </c>
      <c r="S535" s="234">
        <f>COUNTIFS(INP_DATA!$R$5:$R$3027,S$4,INP_DATA!$D$5:$D$3027,$D535,INP_DATA!$B$5:$B$3027,$B535)</f>
        <v>1</v>
      </c>
      <c r="T535" s="235">
        <f>COUNTIFS(INP_DATA!$R$5:$R$3027,T$4,INP_DATA!$D$5:$D$3027,$D535,INP_DATA!$B$5:$B$3027,$B535)</f>
        <v>0</v>
      </c>
    </row>
    <row r="536" spans="1:20" x14ac:dyDescent="0.35">
      <c r="A536" s="3" t="s">
        <v>109</v>
      </c>
      <c r="B536" s="165">
        <v>45200</v>
      </c>
      <c r="C536" s="57" t="str">
        <f>IF($B536="","",YEAR($B536)&amp;"-"&amp;IFERROR(VLOOKUP(MONTH(B536),KEY!$AE$5:$AF$16,2,FALSE),""))</f>
        <v>2023-Q4</v>
      </c>
      <c r="D536" s="3" t="s">
        <v>147</v>
      </c>
      <c r="E536" s="219">
        <v>5</v>
      </c>
      <c r="F536" s="166">
        <v>59</v>
      </c>
      <c r="G536" s="166">
        <v>61</v>
      </c>
      <c r="H536" s="21">
        <v>111</v>
      </c>
      <c r="I536" s="21">
        <v>18</v>
      </c>
      <c r="J536" s="21">
        <v>41</v>
      </c>
      <c r="K536" s="21">
        <v>11</v>
      </c>
      <c r="L536" s="21">
        <v>75</v>
      </c>
      <c r="M536" s="21">
        <v>50</v>
      </c>
      <c r="N536" s="21">
        <v>62</v>
      </c>
      <c r="O536" s="19">
        <v>92</v>
      </c>
      <c r="P536" s="22">
        <v>8</v>
      </c>
      <c r="Q536" s="22">
        <v>7</v>
      </c>
      <c r="R536" s="20" t="s">
        <v>58</v>
      </c>
      <c r="S536" s="234">
        <f>COUNTIFS(INP_DATA!$R$5:$R$3027,S$4,INP_DATA!$D$5:$D$3027,$D536,INP_DATA!$B$5:$B$3027,$B536)</f>
        <v>1</v>
      </c>
      <c r="T536" s="235">
        <f>COUNTIFS(INP_DATA!$R$5:$R$3027,T$4,INP_DATA!$D$5:$D$3027,$D536,INP_DATA!$B$5:$B$3027,$B536)</f>
        <v>0</v>
      </c>
    </row>
    <row r="537" spans="1:20" x14ac:dyDescent="0.35">
      <c r="A537" s="3" t="s">
        <v>106</v>
      </c>
      <c r="B537" s="165">
        <v>45200</v>
      </c>
      <c r="C537" s="57" t="str">
        <f>IF($B537="","",YEAR($B537)&amp;"-"&amp;IFERROR(VLOOKUP(MONTH(B537),KEY!$AE$5:$AF$16,2,FALSE),""))</f>
        <v>2023-Q4</v>
      </c>
      <c r="D537" s="3" t="s">
        <v>148</v>
      </c>
      <c r="E537" s="219">
        <v>15</v>
      </c>
      <c r="F537" s="166">
        <v>47</v>
      </c>
      <c r="G537" s="166">
        <v>67</v>
      </c>
      <c r="H537" s="21">
        <v>117</v>
      </c>
      <c r="I537" s="21">
        <v>18</v>
      </c>
      <c r="J537" s="21">
        <v>75</v>
      </c>
      <c r="K537" s="21">
        <v>7</v>
      </c>
      <c r="L537" s="21">
        <v>113</v>
      </c>
      <c r="M537" s="21">
        <v>44</v>
      </c>
      <c r="N537" s="21">
        <v>47</v>
      </c>
      <c r="O537" s="19">
        <v>92</v>
      </c>
      <c r="P537" s="22">
        <v>13</v>
      </c>
      <c r="Q537" s="22">
        <v>8</v>
      </c>
      <c r="R537" s="20" t="s">
        <v>58</v>
      </c>
      <c r="S537" s="234">
        <f>COUNTIFS(INP_DATA!$R$5:$R$3027,S$4,INP_DATA!$D$5:$D$3027,$D537,INP_DATA!$B$5:$B$3027,$B537)</f>
        <v>1</v>
      </c>
      <c r="T537" s="235">
        <f>COUNTIFS(INP_DATA!$R$5:$R$3027,T$4,INP_DATA!$D$5:$D$3027,$D537,INP_DATA!$B$5:$B$3027,$B537)</f>
        <v>0</v>
      </c>
    </row>
    <row r="538" spans="1:20" x14ac:dyDescent="0.35">
      <c r="A538" s="3" t="s">
        <v>107</v>
      </c>
      <c r="B538" s="165">
        <v>45200</v>
      </c>
      <c r="C538" s="57" t="str">
        <f>IF($B538="","",YEAR($B538)&amp;"-"&amp;IFERROR(VLOOKUP(MONTH(B538),KEY!$AE$5:$AF$16,2,FALSE),""))</f>
        <v>2023-Q4</v>
      </c>
      <c r="D538" s="3" t="s">
        <v>149</v>
      </c>
      <c r="E538" s="219">
        <v>9</v>
      </c>
      <c r="F538" s="166">
        <v>23</v>
      </c>
      <c r="G538" s="166">
        <v>29</v>
      </c>
      <c r="H538" s="21">
        <v>72</v>
      </c>
      <c r="I538" s="21">
        <v>6</v>
      </c>
      <c r="J538" s="21">
        <v>19</v>
      </c>
      <c r="K538" s="21">
        <v>3</v>
      </c>
      <c r="L538" s="21">
        <v>46</v>
      </c>
      <c r="M538" s="21">
        <v>16</v>
      </c>
      <c r="N538" s="21">
        <v>29</v>
      </c>
      <c r="O538" s="19">
        <v>69</v>
      </c>
      <c r="P538" s="22">
        <v>4</v>
      </c>
      <c r="Q538" s="22">
        <v>1</v>
      </c>
      <c r="R538" s="20" t="s">
        <v>58</v>
      </c>
      <c r="S538" s="234">
        <f>COUNTIFS(INP_DATA!$R$5:$R$3027,S$4,INP_DATA!$D$5:$D$3027,$D538,INP_DATA!$B$5:$B$3027,$B538)</f>
        <v>1</v>
      </c>
      <c r="T538" s="235">
        <f>COUNTIFS(INP_DATA!$R$5:$R$3027,T$4,INP_DATA!$D$5:$D$3027,$D538,INP_DATA!$B$5:$B$3027,$B538)</f>
        <v>0</v>
      </c>
    </row>
    <row r="539" spans="1:20" x14ac:dyDescent="0.35">
      <c r="A539" s="3" t="s">
        <v>108</v>
      </c>
      <c r="B539" s="165">
        <v>45200</v>
      </c>
      <c r="C539" s="57" t="str">
        <f>IF($B539="","",YEAR($B539)&amp;"-"&amp;IFERROR(VLOOKUP(MONTH(B539),KEY!$AE$5:$AF$16,2,FALSE),""))</f>
        <v>2023-Q4</v>
      </c>
      <c r="D539" s="3" t="s">
        <v>150</v>
      </c>
      <c r="E539" s="219">
        <v>6</v>
      </c>
      <c r="F539" s="166">
        <v>37</v>
      </c>
      <c r="G539" s="166">
        <v>65</v>
      </c>
      <c r="H539" s="21">
        <v>91</v>
      </c>
      <c r="I539" s="21">
        <v>9</v>
      </c>
      <c r="J539" s="21">
        <v>18</v>
      </c>
      <c r="K539" s="21">
        <v>3</v>
      </c>
      <c r="L539" s="21">
        <v>38</v>
      </c>
      <c r="M539" s="21">
        <v>23</v>
      </c>
      <c r="N539" s="21">
        <v>38</v>
      </c>
      <c r="O539" s="19">
        <v>69</v>
      </c>
      <c r="P539" s="22">
        <v>12</v>
      </c>
      <c r="Q539" s="22">
        <v>5</v>
      </c>
      <c r="R539" s="20" t="s">
        <v>58</v>
      </c>
      <c r="S539" s="234">
        <f>COUNTIFS(INP_DATA!$R$5:$R$3027,S$4,INP_DATA!$D$5:$D$3027,$D539,INP_DATA!$B$5:$B$3027,$B539)</f>
        <v>1</v>
      </c>
      <c r="T539" s="235">
        <f>COUNTIFS(INP_DATA!$R$5:$R$3027,T$4,INP_DATA!$D$5:$D$3027,$D539,INP_DATA!$B$5:$B$3027,$B539)</f>
        <v>0</v>
      </c>
    </row>
    <row r="540" spans="1:20" x14ac:dyDescent="0.35">
      <c r="A540" s="3" t="s">
        <v>16</v>
      </c>
      <c r="B540" s="165">
        <v>45200</v>
      </c>
      <c r="C540" s="57" t="str">
        <f>IF($B540="","",YEAR($B540)&amp;"-"&amp;IFERROR(VLOOKUP(MONTH(B540),KEY!$AE$5:$AF$16,2,FALSE),""))</f>
        <v>2023-Q4</v>
      </c>
      <c r="D540" s="3" t="s">
        <v>151</v>
      </c>
      <c r="E540" s="219">
        <v>5</v>
      </c>
      <c r="F540" s="166">
        <v>39</v>
      </c>
      <c r="G540" s="166">
        <v>24</v>
      </c>
      <c r="H540" s="21">
        <v>107</v>
      </c>
      <c r="I540" s="21">
        <v>15</v>
      </c>
      <c r="J540" s="21">
        <v>24</v>
      </c>
      <c r="K540" s="21">
        <v>8</v>
      </c>
      <c r="L540" s="21">
        <v>54</v>
      </c>
      <c r="M540" s="21">
        <v>21</v>
      </c>
      <c r="N540" s="21">
        <v>39</v>
      </c>
      <c r="O540" s="19">
        <v>92</v>
      </c>
      <c r="P540" s="22">
        <v>2</v>
      </c>
      <c r="Q540" s="22">
        <v>0</v>
      </c>
      <c r="R540" s="20" t="s">
        <v>58</v>
      </c>
      <c r="S540" s="234">
        <f>COUNTIFS(INP_DATA!$R$5:$R$3027,S$4,INP_DATA!$D$5:$D$3027,$D540,INP_DATA!$B$5:$B$3027,$B540)</f>
        <v>1</v>
      </c>
      <c r="T540" s="235">
        <f>COUNTIFS(INP_DATA!$R$5:$R$3027,T$4,INP_DATA!$D$5:$D$3027,$D540,INP_DATA!$B$5:$B$3027,$B540)</f>
        <v>0</v>
      </c>
    </row>
    <row r="541" spans="1:20" x14ac:dyDescent="0.35">
      <c r="A541" s="3" t="s">
        <v>106</v>
      </c>
      <c r="B541" s="165">
        <v>45200</v>
      </c>
      <c r="C541" s="57" t="str">
        <f>IF($B541="","",YEAR($B541)&amp;"-"&amp;IFERROR(VLOOKUP(MONTH(B541),KEY!$AE$5:$AF$16,2,FALSE),""))</f>
        <v>2023-Q4</v>
      </c>
      <c r="D541" s="3" t="s">
        <v>152</v>
      </c>
      <c r="E541" s="219">
        <v>54</v>
      </c>
      <c r="F541" s="166">
        <v>200</v>
      </c>
      <c r="G541" s="166">
        <v>212</v>
      </c>
      <c r="H541" s="21">
        <v>629</v>
      </c>
      <c r="I541" s="21">
        <v>85</v>
      </c>
      <c r="J541" s="21">
        <v>116</v>
      </c>
      <c r="K541" s="21">
        <v>35</v>
      </c>
      <c r="L541" s="21">
        <v>393</v>
      </c>
      <c r="M541" s="21">
        <v>166</v>
      </c>
      <c r="N541" s="21">
        <v>200</v>
      </c>
      <c r="O541" s="19">
        <v>299</v>
      </c>
      <c r="P541" s="22">
        <v>54</v>
      </c>
      <c r="Q541" s="22">
        <v>34</v>
      </c>
      <c r="R541" s="20" t="s">
        <v>58</v>
      </c>
      <c r="S541" s="234">
        <f>COUNTIFS(INP_DATA!$R$5:$R$3027,S$4,INP_DATA!$D$5:$D$3027,$D541,INP_DATA!$B$5:$B$3027,$B541)</f>
        <v>1</v>
      </c>
      <c r="T541" s="235">
        <f>COUNTIFS(INP_DATA!$R$5:$R$3027,T$4,INP_DATA!$D$5:$D$3027,$D541,INP_DATA!$B$5:$B$3027,$B541)</f>
        <v>0</v>
      </c>
    </row>
    <row r="542" spans="1:20" x14ac:dyDescent="0.35">
      <c r="A542" s="3" t="s">
        <v>16</v>
      </c>
      <c r="B542" s="165">
        <v>45200</v>
      </c>
      <c r="C542" s="57" t="str">
        <f>IF($B542="","",YEAR($B542)&amp;"-"&amp;IFERROR(VLOOKUP(MONTH(B542),KEY!$AE$5:$AF$16,2,FALSE),""))</f>
        <v>2023-Q4</v>
      </c>
      <c r="D542" s="3" t="s">
        <v>153</v>
      </c>
      <c r="E542" s="219">
        <v>40</v>
      </c>
      <c r="F542" s="166">
        <v>92</v>
      </c>
      <c r="G542" s="166">
        <v>115</v>
      </c>
      <c r="H542" s="21">
        <v>203</v>
      </c>
      <c r="I542" s="21">
        <v>11</v>
      </c>
      <c r="J542" s="21">
        <v>89</v>
      </c>
      <c r="K542" s="21">
        <v>5</v>
      </c>
      <c r="L542" s="21">
        <v>320</v>
      </c>
      <c r="M542" s="21">
        <v>49</v>
      </c>
      <c r="N542" s="21">
        <v>90</v>
      </c>
      <c r="O542" s="19">
        <v>299</v>
      </c>
      <c r="P542" s="22">
        <v>4</v>
      </c>
      <c r="Q542" s="22">
        <v>3</v>
      </c>
      <c r="R542" s="20" t="s">
        <v>194</v>
      </c>
      <c r="S542" s="234">
        <f>COUNTIFS(INP_DATA!$R$5:$R$3027,S$4,INP_DATA!$D$5:$D$3027,$D542,INP_DATA!$B$5:$B$3027,$B542)</f>
        <v>0</v>
      </c>
      <c r="T542" s="235">
        <f>COUNTIFS(INP_DATA!$R$5:$R$3027,T$4,INP_DATA!$D$5:$D$3027,$D542,INP_DATA!$B$5:$B$3027,$B542)</f>
        <v>0</v>
      </c>
    </row>
    <row r="543" spans="1:20" x14ac:dyDescent="0.35">
      <c r="A543" s="3" t="s">
        <v>106</v>
      </c>
      <c r="B543" s="165">
        <v>45200</v>
      </c>
      <c r="C543" s="57" t="str">
        <f>IF($B543="","",YEAR($B543)&amp;"-"&amp;IFERROR(VLOOKUP(MONTH(B543),KEY!$AE$5:$AF$16,2,FALSE),""))</f>
        <v>2023-Q4</v>
      </c>
      <c r="D543" s="3" t="s">
        <v>154</v>
      </c>
      <c r="E543" s="219">
        <v>9</v>
      </c>
      <c r="F543" s="166">
        <v>50</v>
      </c>
      <c r="G543" s="166">
        <v>56</v>
      </c>
      <c r="H543" s="21">
        <v>208</v>
      </c>
      <c r="I543" s="21">
        <v>23</v>
      </c>
      <c r="J543" s="21">
        <v>92</v>
      </c>
      <c r="K543" s="21">
        <v>4</v>
      </c>
      <c r="L543" s="21">
        <v>173</v>
      </c>
      <c r="M543" s="21">
        <v>34</v>
      </c>
      <c r="N543" s="21">
        <v>50</v>
      </c>
      <c r="O543" s="19">
        <v>138</v>
      </c>
      <c r="P543" s="22">
        <v>9</v>
      </c>
      <c r="Q543" s="22">
        <v>5</v>
      </c>
      <c r="R543" s="20" t="s">
        <v>194</v>
      </c>
      <c r="S543" s="234">
        <f>COUNTIFS(INP_DATA!$R$5:$R$3027,S$4,INP_DATA!$D$5:$D$3027,$D543,INP_DATA!$B$5:$B$3027,$B543)</f>
        <v>0</v>
      </c>
      <c r="T543" s="235">
        <f>COUNTIFS(INP_DATA!$R$5:$R$3027,T$4,INP_DATA!$D$5:$D$3027,$D543,INP_DATA!$B$5:$B$3027,$B543)</f>
        <v>0</v>
      </c>
    </row>
    <row r="544" spans="1:20" x14ac:dyDescent="0.35">
      <c r="A544" s="3" t="s">
        <v>109</v>
      </c>
      <c r="B544" s="165">
        <v>45200</v>
      </c>
      <c r="C544" s="57" t="str">
        <f>IF($B544="","",YEAR($B544)&amp;"-"&amp;IFERROR(VLOOKUP(MONTH(B544),KEY!$AE$5:$AF$16,2,FALSE),""))</f>
        <v>2023-Q4</v>
      </c>
      <c r="D544" s="3" t="s">
        <v>155</v>
      </c>
      <c r="E544" s="219">
        <v>66</v>
      </c>
      <c r="F544" s="166">
        <v>297</v>
      </c>
      <c r="G544" s="166">
        <v>220</v>
      </c>
      <c r="H544" s="21">
        <v>753</v>
      </c>
      <c r="I544" s="21">
        <v>81</v>
      </c>
      <c r="J544" s="21">
        <v>239</v>
      </c>
      <c r="K544" s="21">
        <v>38</v>
      </c>
      <c r="L544" s="21">
        <v>317</v>
      </c>
      <c r="M544" s="21">
        <v>122</v>
      </c>
      <c r="N544" s="21">
        <v>298</v>
      </c>
      <c r="O544" s="19">
        <v>506</v>
      </c>
      <c r="P544" s="22">
        <v>41</v>
      </c>
      <c r="Q544" s="22">
        <v>21</v>
      </c>
      <c r="R544" s="20" t="s">
        <v>51</v>
      </c>
      <c r="S544" s="234">
        <f>COUNTIFS(INP_DATA!$R$5:$R$3027,S$4,INP_DATA!$D$5:$D$3027,$D544,INP_DATA!$B$5:$B$3027,$B544)</f>
        <v>0</v>
      </c>
      <c r="T544" s="235">
        <f>COUNTIFS(INP_DATA!$R$5:$R$3027,T$4,INP_DATA!$D$5:$D$3027,$D544,INP_DATA!$B$5:$B$3027,$B544)</f>
        <v>1</v>
      </c>
    </row>
    <row r="545" spans="1:20" x14ac:dyDescent="0.35">
      <c r="A545" s="3" t="s">
        <v>109</v>
      </c>
      <c r="B545" s="165">
        <v>45200</v>
      </c>
      <c r="C545" s="57" t="str">
        <f>IF($B545="","",YEAR($B545)&amp;"-"&amp;IFERROR(VLOOKUP(MONTH(B545),KEY!$AE$5:$AF$16,2,FALSE),""))</f>
        <v>2023-Q4</v>
      </c>
      <c r="D545" s="3" t="s">
        <v>156</v>
      </c>
      <c r="E545" s="219">
        <v>87</v>
      </c>
      <c r="F545" s="166">
        <v>251</v>
      </c>
      <c r="G545" s="166">
        <v>277</v>
      </c>
      <c r="H545" s="21">
        <v>500</v>
      </c>
      <c r="I545" s="21">
        <v>57</v>
      </c>
      <c r="J545" s="21">
        <v>249</v>
      </c>
      <c r="K545" s="21">
        <v>36</v>
      </c>
      <c r="L545" s="21">
        <v>421</v>
      </c>
      <c r="M545" s="21">
        <v>116</v>
      </c>
      <c r="N545" s="21">
        <v>252</v>
      </c>
      <c r="O545" s="19">
        <v>460</v>
      </c>
      <c r="P545" s="22">
        <v>4</v>
      </c>
      <c r="Q545" s="22">
        <v>0</v>
      </c>
      <c r="R545" s="20" t="s">
        <v>51</v>
      </c>
      <c r="S545" s="234">
        <f>COUNTIFS(INP_DATA!$R$5:$R$3027,S$4,INP_DATA!$D$5:$D$3027,$D545,INP_DATA!$B$5:$B$3027,$B545)</f>
        <v>0</v>
      </c>
      <c r="T545" s="235">
        <f>COUNTIFS(INP_DATA!$R$5:$R$3027,T$4,INP_DATA!$D$5:$D$3027,$D545,INP_DATA!$B$5:$B$3027,$B545)</f>
        <v>1</v>
      </c>
    </row>
    <row r="546" spans="1:20" x14ac:dyDescent="0.35">
      <c r="A546" s="3" t="s">
        <v>109</v>
      </c>
      <c r="B546" s="165">
        <v>45200</v>
      </c>
      <c r="C546" s="57" t="str">
        <f>IF($B546="","",YEAR($B546)&amp;"-"&amp;IFERROR(VLOOKUP(MONTH(B546),KEY!$AE$5:$AF$16,2,FALSE),""))</f>
        <v>2023-Q4</v>
      </c>
      <c r="D546" s="3" t="s">
        <v>157</v>
      </c>
      <c r="E546" s="219">
        <v>4</v>
      </c>
      <c r="F546" s="166">
        <v>318</v>
      </c>
      <c r="G546" s="166">
        <v>246</v>
      </c>
      <c r="H546" s="21">
        <v>950</v>
      </c>
      <c r="I546" s="21">
        <v>61</v>
      </c>
      <c r="J546" s="21">
        <v>606</v>
      </c>
      <c r="K546" s="21">
        <v>50</v>
      </c>
      <c r="L546" s="21">
        <v>612</v>
      </c>
      <c r="M546" s="21">
        <v>134</v>
      </c>
      <c r="N546" s="21">
        <v>329</v>
      </c>
      <c r="O546" s="19">
        <v>483</v>
      </c>
      <c r="P546" s="22">
        <v>24</v>
      </c>
      <c r="Q546" s="22">
        <v>17</v>
      </c>
      <c r="R546" s="20" t="s">
        <v>51</v>
      </c>
      <c r="S546" s="234">
        <f>COUNTIFS(INP_DATA!$R$5:$R$3027,S$4,INP_DATA!$D$5:$D$3027,$D546,INP_DATA!$B$5:$B$3027,$B546)</f>
        <v>0</v>
      </c>
      <c r="T546" s="235">
        <f>COUNTIFS(INP_DATA!$R$5:$R$3027,T$4,INP_DATA!$D$5:$D$3027,$D546,INP_DATA!$B$5:$B$3027,$B546)</f>
        <v>1</v>
      </c>
    </row>
    <row r="547" spans="1:20" x14ac:dyDescent="0.35">
      <c r="A547" s="3" t="s">
        <v>16</v>
      </c>
      <c r="B547" s="165">
        <v>45200</v>
      </c>
      <c r="C547" s="57" t="str">
        <f>IF($B547="","",YEAR($B547)&amp;"-"&amp;IFERROR(VLOOKUP(MONTH(B547),KEY!$AE$5:$AF$16,2,FALSE),""))</f>
        <v>2023-Q4</v>
      </c>
      <c r="D547" s="3" t="s">
        <v>158</v>
      </c>
      <c r="E547" s="219">
        <v>3</v>
      </c>
      <c r="F547" s="166">
        <v>24</v>
      </c>
      <c r="G547" s="166">
        <v>34</v>
      </c>
      <c r="H547" s="21">
        <v>123</v>
      </c>
      <c r="I547" s="21">
        <v>2</v>
      </c>
      <c r="J547" s="21">
        <v>35</v>
      </c>
      <c r="K547" s="21">
        <v>2</v>
      </c>
      <c r="L547" s="21">
        <v>57</v>
      </c>
      <c r="M547" s="21">
        <v>10</v>
      </c>
      <c r="N547" s="21">
        <v>24</v>
      </c>
      <c r="O547" s="19">
        <v>115</v>
      </c>
      <c r="P547" s="22">
        <v>4</v>
      </c>
      <c r="Q547" s="22">
        <v>0</v>
      </c>
      <c r="R547" s="20" t="s">
        <v>194</v>
      </c>
      <c r="S547" s="234">
        <f>COUNTIFS(INP_DATA!$R$5:$R$3027,S$4,INP_DATA!$D$5:$D$3027,$D547,INP_DATA!$B$5:$B$3027,$B547)</f>
        <v>0</v>
      </c>
      <c r="T547" s="235">
        <f>COUNTIFS(INP_DATA!$R$5:$R$3027,T$4,INP_DATA!$D$5:$D$3027,$D547,INP_DATA!$B$5:$B$3027,$B547)</f>
        <v>0</v>
      </c>
    </row>
    <row r="548" spans="1:20" x14ac:dyDescent="0.35">
      <c r="A548" s="3" t="s">
        <v>107</v>
      </c>
      <c r="B548" s="165">
        <v>45200</v>
      </c>
      <c r="C548" s="57" t="str">
        <f>IF($B548="","",YEAR($B548)&amp;"-"&amp;IFERROR(VLOOKUP(MONTH(B548),KEY!$AE$5:$AF$16,2,FALSE),""))</f>
        <v>2023-Q4</v>
      </c>
      <c r="D548" s="3" t="s">
        <v>159</v>
      </c>
      <c r="E548" s="219">
        <v>20</v>
      </c>
      <c r="F548" s="166">
        <v>88</v>
      </c>
      <c r="G548" s="166">
        <v>94</v>
      </c>
      <c r="H548" s="21">
        <v>196</v>
      </c>
      <c r="I548" s="21">
        <v>26</v>
      </c>
      <c r="J548" s="21">
        <v>60</v>
      </c>
      <c r="K548" s="21">
        <v>11</v>
      </c>
      <c r="L548" s="21">
        <v>164</v>
      </c>
      <c r="M548" s="21">
        <v>63</v>
      </c>
      <c r="N548" s="21">
        <v>89</v>
      </c>
      <c r="O548" s="19">
        <v>184</v>
      </c>
      <c r="P548" s="22">
        <v>14</v>
      </c>
      <c r="Q548" s="22">
        <v>10</v>
      </c>
      <c r="R548" s="20" t="s">
        <v>194</v>
      </c>
      <c r="S548" s="234">
        <f>COUNTIFS(INP_DATA!$R$5:$R$3027,S$4,INP_DATA!$D$5:$D$3027,$D548,INP_DATA!$B$5:$B$3027,$B548)</f>
        <v>0</v>
      </c>
      <c r="T548" s="235">
        <f>COUNTIFS(INP_DATA!$R$5:$R$3027,T$4,INP_DATA!$D$5:$D$3027,$D548,INP_DATA!$B$5:$B$3027,$B548)</f>
        <v>0</v>
      </c>
    </row>
    <row r="549" spans="1:20" x14ac:dyDescent="0.35">
      <c r="A549" s="3" t="s">
        <v>16</v>
      </c>
      <c r="B549" s="165">
        <v>45200</v>
      </c>
      <c r="C549" s="57" t="str">
        <f>IF($B549="","",YEAR($B549)&amp;"-"&amp;IFERROR(VLOOKUP(MONTH(B549),KEY!$AE$5:$AF$16,2,FALSE),""))</f>
        <v>2023-Q4</v>
      </c>
      <c r="D549" s="3" t="s">
        <v>160</v>
      </c>
      <c r="E549" s="219">
        <v>109</v>
      </c>
      <c r="F549" s="166">
        <v>331</v>
      </c>
      <c r="G549" s="166">
        <v>321</v>
      </c>
      <c r="H549" s="21">
        <v>592</v>
      </c>
      <c r="I549" s="21">
        <v>93</v>
      </c>
      <c r="J549" s="21">
        <v>201</v>
      </c>
      <c r="K549" s="21">
        <v>35</v>
      </c>
      <c r="L549" s="21">
        <v>460</v>
      </c>
      <c r="M549" s="21">
        <v>193</v>
      </c>
      <c r="N549" s="21">
        <v>337</v>
      </c>
      <c r="O549" s="19">
        <v>575</v>
      </c>
      <c r="P549" s="22">
        <v>37</v>
      </c>
      <c r="Q549" s="22">
        <v>24</v>
      </c>
      <c r="R549" s="20" t="s">
        <v>51</v>
      </c>
      <c r="S549" s="234">
        <f>COUNTIFS(INP_DATA!$R$5:$R$3027,S$4,INP_DATA!$D$5:$D$3027,$D549,INP_DATA!$B$5:$B$3027,$B549)</f>
        <v>0</v>
      </c>
      <c r="T549" s="235">
        <f>COUNTIFS(INP_DATA!$R$5:$R$3027,T$4,INP_DATA!$D$5:$D$3027,$D549,INP_DATA!$B$5:$B$3027,$B549)</f>
        <v>1</v>
      </c>
    </row>
    <row r="550" spans="1:20" x14ac:dyDescent="0.35">
      <c r="A550" s="3" t="s">
        <v>106</v>
      </c>
      <c r="B550" s="165">
        <v>45200</v>
      </c>
      <c r="C550" s="57" t="str">
        <f>IF($B550="","",YEAR($B550)&amp;"-"&amp;IFERROR(VLOOKUP(MONTH(B550),KEY!$AE$5:$AF$16,2,FALSE),""))</f>
        <v>2023-Q4</v>
      </c>
      <c r="D550" s="3" t="s">
        <v>161</v>
      </c>
      <c r="E550" s="219">
        <v>31</v>
      </c>
      <c r="F550" s="166">
        <v>296</v>
      </c>
      <c r="G550" s="166">
        <v>282</v>
      </c>
      <c r="H550" s="21">
        <v>591</v>
      </c>
      <c r="I550" s="21">
        <v>98</v>
      </c>
      <c r="J550" s="21">
        <v>221</v>
      </c>
      <c r="K550" s="21">
        <v>47</v>
      </c>
      <c r="L550" s="21">
        <v>361</v>
      </c>
      <c r="M550" s="21">
        <v>129</v>
      </c>
      <c r="N550" s="21">
        <v>307</v>
      </c>
      <c r="O550" s="19">
        <v>483</v>
      </c>
      <c r="P550" s="22">
        <v>15</v>
      </c>
      <c r="Q550" s="22">
        <v>10</v>
      </c>
      <c r="R550" s="20" t="s">
        <v>58</v>
      </c>
      <c r="S550" s="234">
        <f>COUNTIFS(INP_DATA!$R$5:$R$3027,S$4,INP_DATA!$D$5:$D$3027,$D550,INP_DATA!$B$5:$B$3027,$B550)</f>
        <v>1</v>
      </c>
      <c r="T550" s="235">
        <f>COUNTIFS(INP_DATA!$R$5:$R$3027,T$4,INP_DATA!$D$5:$D$3027,$D550,INP_DATA!$B$5:$B$3027,$B550)</f>
        <v>0</v>
      </c>
    </row>
    <row r="551" spans="1:20" x14ac:dyDescent="0.35">
      <c r="A551" s="3" t="s">
        <v>109</v>
      </c>
      <c r="B551" s="165">
        <v>45200</v>
      </c>
      <c r="C551" s="57" t="str">
        <f>IF($B551="","",YEAR($B551)&amp;"-"&amp;IFERROR(VLOOKUP(MONTH(B551),KEY!$AE$5:$AF$16,2,FALSE),""))</f>
        <v>2023-Q4</v>
      </c>
      <c r="D551" s="3" t="s">
        <v>162</v>
      </c>
      <c r="E551" s="219">
        <v>76</v>
      </c>
      <c r="F551" s="166">
        <v>426</v>
      </c>
      <c r="G551" s="166">
        <v>444</v>
      </c>
      <c r="H551" s="21">
        <v>551</v>
      </c>
      <c r="I551" s="21">
        <v>89</v>
      </c>
      <c r="J551" s="21">
        <v>488</v>
      </c>
      <c r="K551" s="21">
        <v>94</v>
      </c>
      <c r="L551" s="21">
        <v>785</v>
      </c>
      <c r="M551" s="21">
        <v>150</v>
      </c>
      <c r="N551" s="21">
        <v>433</v>
      </c>
      <c r="O551" s="19">
        <v>690</v>
      </c>
      <c r="P551" s="22">
        <v>26</v>
      </c>
      <c r="Q551" s="22">
        <v>19</v>
      </c>
      <c r="R551" s="20" t="s">
        <v>58</v>
      </c>
      <c r="S551" s="234">
        <f>COUNTIFS(INP_DATA!$R$5:$R$3027,S$4,INP_DATA!$D$5:$D$3027,$D551,INP_DATA!$B$5:$B$3027,$B551)</f>
        <v>1</v>
      </c>
      <c r="T551" s="235">
        <f>COUNTIFS(INP_DATA!$R$5:$R$3027,T$4,INP_DATA!$D$5:$D$3027,$D551,INP_DATA!$B$5:$B$3027,$B551)</f>
        <v>0</v>
      </c>
    </row>
    <row r="552" spans="1:20" x14ac:dyDescent="0.35">
      <c r="A552" s="3" t="s">
        <v>16</v>
      </c>
      <c r="B552" s="165">
        <v>45200</v>
      </c>
      <c r="C552" s="57" t="str">
        <f>IF($B552="","",YEAR($B552)&amp;"-"&amp;IFERROR(VLOOKUP(MONTH(B552),KEY!$AE$5:$AF$16,2,FALSE),""))</f>
        <v>2023-Q4</v>
      </c>
      <c r="D552" s="3" t="s">
        <v>163</v>
      </c>
      <c r="E552" s="219">
        <v>61</v>
      </c>
      <c r="F552" s="166">
        <v>282</v>
      </c>
      <c r="G552" s="166">
        <v>248</v>
      </c>
      <c r="H552" s="21">
        <v>356</v>
      </c>
      <c r="I552" s="21">
        <v>74</v>
      </c>
      <c r="J552" s="21">
        <v>197</v>
      </c>
      <c r="K552" s="21">
        <v>67</v>
      </c>
      <c r="L552" s="21">
        <v>399</v>
      </c>
      <c r="M552" s="21">
        <v>171</v>
      </c>
      <c r="N552" s="21">
        <v>286</v>
      </c>
      <c r="O552" s="19">
        <v>391</v>
      </c>
      <c r="P552" s="22">
        <v>14</v>
      </c>
      <c r="Q552" s="22">
        <v>12</v>
      </c>
      <c r="R552" s="20" t="s">
        <v>51</v>
      </c>
      <c r="S552" s="234">
        <f>COUNTIFS(INP_DATA!$R$5:$R$3027,S$4,INP_DATA!$D$5:$D$3027,$D552,INP_DATA!$B$5:$B$3027,$B552)</f>
        <v>0</v>
      </c>
      <c r="T552" s="235">
        <f>COUNTIFS(INP_DATA!$R$5:$R$3027,T$4,INP_DATA!$D$5:$D$3027,$D552,INP_DATA!$B$5:$B$3027,$B552)</f>
        <v>1</v>
      </c>
    </row>
    <row r="553" spans="1:20" x14ac:dyDescent="0.35">
      <c r="A553" s="3" t="s">
        <v>16</v>
      </c>
      <c r="B553" s="165">
        <v>45200</v>
      </c>
      <c r="C553" s="57" t="str">
        <f>IF($B553="","",YEAR($B553)&amp;"-"&amp;IFERROR(VLOOKUP(MONTH(B553),KEY!$AE$5:$AF$16,2,FALSE),""))</f>
        <v>2023-Q4</v>
      </c>
      <c r="D553" s="3" t="s">
        <v>164</v>
      </c>
      <c r="E553" s="219">
        <v>11</v>
      </c>
      <c r="F553" s="166">
        <v>87</v>
      </c>
      <c r="G553" s="166">
        <v>76</v>
      </c>
      <c r="H553" s="21">
        <v>251</v>
      </c>
      <c r="I553" s="21">
        <v>28</v>
      </c>
      <c r="J553" s="21">
        <v>121</v>
      </c>
      <c r="K553" s="21">
        <v>14</v>
      </c>
      <c r="L553" s="21">
        <v>126</v>
      </c>
      <c r="M553" s="21">
        <v>56</v>
      </c>
      <c r="N553" s="21">
        <v>88</v>
      </c>
      <c r="O553" s="19">
        <v>207</v>
      </c>
      <c r="P553" s="22">
        <v>10</v>
      </c>
      <c r="Q553" s="22">
        <v>1</v>
      </c>
      <c r="R553" s="20" t="s">
        <v>194</v>
      </c>
      <c r="S553" s="234">
        <f>COUNTIFS(INP_DATA!$R$5:$R$3027,S$4,INP_DATA!$D$5:$D$3027,$D553,INP_DATA!$B$5:$B$3027,$B553)</f>
        <v>0</v>
      </c>
      <c r="T553" s="235">
        <f>COUNTIFS(INP_DATA!$R$5:$R$3027,T$4,INP_DATA!$D$5:$D$3027,$D553,INP_DATA!$B$5:$B$3027,$B553)</f>
        <v>0</v>
      </c>
    </row>
    <row r="554" spans="1:20" x14ac:dyDescent="0.35">
      <c r="A554" s="3" t="s">
        <v>107</v>
      </c>
      <c r="B554" s="165">
        <v>45200</v>
      </c>
      <c r="C554" s="57" t="str">
        <f>IF($B554="","",YEAR($B554)&amp;"-"&amp;IFERROR(VLOOKUP(MONTH(B554),KEY!$AE$5:$AF$16,2,FALSE),""))</f>
        <v>2023-Q4</v>
      </c>
      <c r="D554" s="3" t="s">
        <v>165</v>
      </c>
      <c r="E554" s="219">
        <v>20</v>
      </c>
      <c r="F554" s="166">
        <v>106</v>
      </c>
      <c r="G554" s="166">
        <v>90</v>
      </c>
      <c r="H554" s="21">
        <v>264</v>
      </c>
      <c r="I554" s="21">
        <v>38</v>
      </c>
      <c r="J554" s="21">
        <v>59</v>
      </c>
      <c r="K554" s="21">
        <v>12</v>
      </c>
      <c r="L554" s="21">
        <v>139</v>
      </c>
      <c r="M554" s="21">
        <v>51</v>
      </c>
      <c r="N554" s="21">
        <v>110</v>
      </c>
      <c r="O554" s="19">
        <v>138</v>
      </c>
      <c r="P554" s="22">
        <v>31</v>
      </c>
      <c r="Q554" s="22">
        <v>14</v>
      </c>
      <c r="R554" s="20" t="s">
        <v>58</v>
      </c>
      <c r="S554" s="234">
        <f>COUNTIFS(INP_DATA!$R$5:$R$3027,S$4,INP_DATA!$D$5:$D$3027,$D554,INP_DATA!$B$5:$B$3027,$B554)</f>
        <v>1</v>
      </c>
      <c r="T554" s="235">
        <f>COUNTIFS(INP_DATA!$R$5:$R$3027,T$4,INP_DATA!$D$5:$D$3027,$D554,INP_DATA!$B$5:$B$3027,$B554)</f>
        <v>0</v>
      </c>
    </row>
    <row r="555" spans="1:20" x14ac:dyDescent="0.35">
      <c r="A555" s="3" t="s">
        <v>16</v>
      </c>
      <c r="B555" s="165">
        <v>45231</v>
      </c>
      <c r="C555" s="57" t="str">
        <f>IF($B555="","",YEAR($B555)&amp;"-"&amp;IFERROR(VLOOKUP(MONTH(B555),KEY!$AE$5:$AF$16,2,FALSE),""))</f>
        <v>2023-Q4</v>
      </c>
      <c r="D555" s="3" t="s">
        <v>111</v>
      </c>
      <c r="E555" s="219">
        <v>17</v>
      </c>
      <c r="F555" s="166">
        <v>76</v>
      </c>
      <c r="G555" s="166">
        <v>63</v>
      </c>
      <c r="H555" s="21">
        <v>122</v>
      </c>
      <c r="I555" s="21">
        <v>23</v>
      </c>
      <c r="J555" s="21">
        <v>72</v>
      </c>
      <c r="K555" s="21">
        <v>12</v>
      </c>
      <c r="L555" s="21">
        <v>168</v>
      </c>
      <c r="M555" s="21">
        <v>50</v>
      </c>
      <c r="N555" s="21">
        <v>79</v>
      </c>
      <c r="O555" s="19">
        <v>198</v>
      </c>
      <c r="P555" s="22">
        <v>16</v>
      </c>
      <c r="Q555" s="22">
        <v>10</v>
      </c>
      <c r="R555" s="20" t="s">
        <v>58</v>
      </c>
      <c r="S555" s="234">
        <f>COUNTIFS(INP_DATA!$R$5:$R$3027,S$4,INP_DATA!$D$5:$D$3027,$D555,INP_DATA!$B$5:$B$3027,$B555)</f>
        <v>1</v>
      </c>
      <c r="T555" s="235">
        <f>COUNTIFS(INP_DATA!$R$5:$R$3027,T$4,INP_DATA!$D$5:$D$3027,$D555,INP_DATA!$B$5:$B$3027,$B555)</f>
        <v>0</v>
      </c>
    </row>
    <row r="556" spans="1:20" x14ac:dyDescent="0.35">
      <c r="A556" s="3" t="s">
        <v>108</v>
      </c>
      <c r="B556" s="165">
        <v>45231</v>
      </c>
      <c r="C556" s="57" t="str">
        <f>IF($B556="","",YEAR($B556)&amp;"-"&amp;IFERROR(VLOOKUP(MONTH(B556),KEY!$AE$5:$AF$16,2,FALSE),""))</f>
        <v>2023-Q4</v>
      </c>
      <c r="D556" s="3" t="s">
        <v>112</v>
      </c>
      <c r="E556" s="219">
        <v>9</v>
      </c>
      <c r="F556" s="166">
        <v>32</v>
      </c>
      <c r="G556" s="166">
        <v>42</v>
      </c>
      <c r="H556" s="21">
        <v>65</v>
      </c>
      <c r="I556" s="21">
        <v>7</v>
      </c>
      <c r="J556" s="21">
        <v>21</v>
      </c>
      <c r="K556" s="21">
        <v>2</v>
      </c>
      <c r="L556" s="21">
        <v>62</v>
      </c>
      <c r="M556" s="21">
        <v>22</v>
      </c>
      <c r="N556" s="21">
        <v>32</v>
      </c>
      <c r="O556" s="19">
        <v>88</v>
      </c>
      <c r="P556" s="22">
        <v>8</v>
      </c>
      <c r="Q556" s="22">
        <v>4</v>
      </c>
      <c r="R556" s="20" t="s">
        <v>51</v>
      </c>
      <c r="S556" s="234">
        <f>COUNTIFS(INP_DATA!$R$5:$R$3027,S$4,INP_DATA!$D$5:$D$3027,$D556,INP_DATA!$B$5:$B$3027,$B556)</f>
        <v>0</v>
      </c>
      <c r="T556" s="235">
        <f>COUNTIFS(INP_DATA!$R$5:$R$3027,T$4,INP_DATA!$D$5:$D$3027,$D556,INP_DATA!$B$5:$B$3027,$B556)</f>
        <v>1</v>
      </c>
    </row>
    <row r="557" spans="1:20" x14ac:dyDescent="0.35">
      <c r="A557" s="3" t="s">
        <v>16</v>
      </c>
      <c r="B557" s="165">
        <v>45231</v>
      </c>
      <c r="C557" s="57" t="str">
        <f>IF($B557="","",YEAR($B557)&amp;"-"&amp;IFERROR(VLOOKUP(MONTH(B557),KEY!$AE$5:$AF$16,2,FALSE),""))</f>
        <v>2023-Q4</v>
      </c>
      <c r="D557" s="3" t="s">
        <v>113</v>
      </c>
      <c r="E557" s="219">
        <v>13</v>
      </c>
      <c r="F557" s="166">
        <v>72</v>
      </c>
      <c r="G557" s="166">
        <v>75</v>
      </c>
      <c r="H557" s="21">
        <v>175</v>
      </c>
      <c r="I557" s="21">
        <v>24</v>
      </c>
      <c r="J557" s="21">
        <v>55</v>
      </c>
      <c r="K557" s="21">
        <v>15</v>
      </c>
      <c r="L557" s="21">
        <v>81</v>
      </c>
      <c r="M557" s="21">
        <v>38</v>
      </c>
      <c r="N557" s="21">
        <v>71</v>
      </c>
      <c r="O557" s="19">
        <v>176</v>
      </c>
      <c r="P557" s="22">
        <v>13</v>
      </c>
      <c r="Q557" s="22">
        <v>7</v>
      </c>
      <c r="R557" s="20" t="s">
        <v>58</v>
      </c>
      <c r="S557" s="234">
        <f>COUNTIFS(INP_DATA!$R$5:$R$3027,S$4,INP_DATA!$D$5:$D$3027,$D557,INP_DATA!$B$5:$B$3027,$B557)</f>
        <v>1</v>
      </c>
      <c r="T557" s="235">
        <f>COUNTIFS(INP_DATA!$R$5:$R$3027,T$4,INP_DATA!$D$5:$D$3027,$D557,INP_DATA!$B$5:$B$3027,$B557)</f>
        <v>0</v>
      </c>
    </row>
    <row r="558" spans="1:20" x14ac:dyDescent="0.35">
      <c r="A558" s="3" t="s">
        <v>108</v>
      </c>
      <c r="B558" s="165">
        <v>45231</v>
      </c>
      <c r="C558" s="57" t="str">
        <f>IF($B558="","",YEAR($B558)&amp;"-"&amp;IFERROR(VLOOKUP(MONTH(B558),KEY!$AE$5:$AF$16,2,FALSE),""))</f>
        <v>2023-Q4</v>
      </c>
      <c r="D558" s="3" t="s">
        <v>114</v>
      </c>
      <c r="E558" s="219">
        <v>26</v>
      </c>
      <c r="F558" s="166">
        <v>65</v>
      </c>
      <c r="G558" s="166">
        <v>55</v>
      </c>
      <c r="H558" s="21">
        <v>129</v>
      </c>
      <c r="I558" s="21">
        <v>17</v>
      </c>
      <c r="J558" s="21">
        <v>52</v>
      </c>
      <c r="K558" s="21">
        <v>9</v>
      </c>
      <c r="L558" s="21">
        <v>102</v>
      </c>
      <c r="M558" s="21">
        <v>39</v>
      </c>
      <c r="N558" s="21">
        <v>67</v>
      </c>
      <c r="O558" s="19">
        <v>154</v>
      </c>
      <c r="P558" s="22">
        <v>16</v>
      </c>
      <c r="Q558" s="22">
        <v>11</v>
      </c>
      <c r="R558" s="20" t="s">
        <v>51</v>
      </c>
      <c r="S558" s="234">
        <f>COUNTIFS(INP_DATA!$R$5:$R$3027,S$4,INP_DATA!$D$5:$D$3027,$D558,INP_DATA!$B$5:$B$3027,$B558)</f>
        <v>0</v>
      </c>
      <c r="T558" s="235">
        <f>COUNTIFS(INP_DATA!$R$5:$R$3027,T$4,INP_DATA!$D$5:$D$3027,$D558,INP_DATA!$B$5:$B$3027,$B558)</f>
        <v>1</v>
      </c>
    </row>
    <row r="559" spans="1:20" x14ac:dyDescent="0.35">
      <c r="A559" s="3" t="s">
        <v>107</v>
      </c>
      <c r="B559" s="165">
        <v>45231</v>
      </c>
      <c r="C559" s="57" t="str">
        <f>IF($B559="","",YEAR($B559)&amp;"-"&amp;IFERROR(VLOOKUP(MONTH(B559),KEY!$AE$5:$AF$16,2,FALSE),""))</f>
        <v>2023-Q4</v>
      </c>
      <c r="D559" s="3" t="s">
        <v>115</v>
      </c>
      <c r="E559" s="219">
        <v>3</v>
      </c>
      <c r="F559" s="166">
        <v>46</v>
      </c>
      <c r="G559" s="166">
        <v>60</v>
      </c>
      <c r="H559" s="21">
        <v>89</v>
      </c>
      <c r="I559" s="21">
        <v>19</v>
      </c>
      <c r="J559" s="21">
        <v>37</v>
      </c>
      <c r="K559" s="21">
        <v>12</v>
      </c>
      <c r="L559" s="21">
        <v>64</v>
      </c>
      <c r="M559" s="21">
        <v>29</v>
      </c>
      <c r="N559" s="21">
        <v>47</v>
      </c>
      <c r="O559" s="19">
        <v>110</v>
      </c>
      <c r="P559" s="22" t="s">
        <v>194</v>
      </c>
      <c r="Q559" s="22" t="s">
        <v>194</v>
      </c>
      <c r="R559" s="20" t="s">
        <v>51</v>
      </c>
      <c r="S559" s="234">
        <f>COUNTIFS(INP_DATA!$R$5:$R$3027,S$4,INP_DATA!$D$5:$D$3027,$D559,INP_DATA!$B$5:$B$3027,$B559)</f>
        <v>0</v>
      </c>
      <c r="T559" s="235">
        <f>COUNTIFS(INP_DATA!$R$5:$R$3027,T$4,INP_DATA!$D$5:$D$3027,$D559,INP_DATA!$B$5:$B$3027,$B559)</f>
        <v>1</v>
      </c>
    </row>
    <row r="560" spans="1:20" x14ac:dyDescent="0.35">
      <c r="A560" s="3" t="s">
        <v>16</v>
      </c>
      <c r="B560" s="165">
        <v>45231</v>
      </c>
      <c r="C560" s="57" t="str">
        <f>IF($B560="","",YEAR($B560)&amp;"-"&amp;IFERROR(VLOOKUP(MONTH(B560),KEY!$AE$5:$AF$16,2,FALSE),""))</f>
        <v>2023-Q4</v>
      </c>
      <c r="D560" s="3" t="s">
        <v>116</v>
      </c>
      <c r="E560" s="219">
        <v>24</v>
      </c>
      <c r="F560" s="166">
        <v>141</v>
      </c>
      <c r="G560" s="166">
        <v>137</v>
      </c>
      <c r="H560" s="21">
        <v>227</v>
      </c>
      <c r="I560" s="21">
        <v>29</v>
      </c>
      <c r="J560" s="21">
        <v>114</v>
      </c>
      <c r="K560" s="21">
        <v>11</v>
      </c>
      <c r="L560" s="21">
        <v>194</v>
      </c>
      <c r="M560" s="21">
        <v>64</v>
      </c>
      <c r="N560" s="21">
        <v>143</v>
      </c>
      <c r="O560" s="19">
        <v>286</v>
      </c>
      <c r="P560" s="22">
        <v>25</v>
      </c>
      <c r="Q560" s="22">
        <v>6</v>
      </c>
      <c r="R560" s="20" t="s">
        <v>51</v>
      </c>
      <c r="S560" s="234">
        <f>COUNTIFS(INP_DATA!$R$5:$R$3027,S$4,INP_DATA!$D$5:$D$3027,$D560,INP_DATA!$B$5:$B$3027,$B560)</f>
        <v>0</v>
      </c>
      <c r="T560" s="235">
        <f>COUNTIFS(INP_DATA!$R$5:$R$3027,T$4,INP_DATA!$D$5:$D$3027,$D560,INP_DATA!$B$5:$B$3027,$B560)</f>
        <v>1</v>
      </c>
    </row>
    <row r="561" spans="1:20" x14ac:dyDescent="0.35">
      <c r="A561" s="3" t="s">
        <v>107</v>
      </c>
      <c r="B561" s="165">
        <v>45231</v>
      </c>
      <c r="C561" s="57" t="str">
        <f>IF($B561="","",YEAR($B561)&amp;"-"&amp;IFERROR(VLOOKUP(MONTH(B561),KEY!$AE$5:$AF$16,2,FALSE),""))</f>
        <v>2023-Q4</v>
      </c>
      <c r="D561" s="3" t="s">
        <v>117</v>
      </c>
      <c r="E561" s="219">
        <v>13</v>
      </c>
      <c r="F561" s="166">
        <v>100</v>
      </c>
      <c r="G561" s="166">
        <v>153</v>
      </c>
      <c r="H561" s="21">
        <v>164</v>
      </c>
      <c r="I561" s="21">
        <v>25</v>
      </c>
      <c r="J561" s="21">
        <v>108</v>
      </c>
      <c r="K561" s="21">
        <v>20</v>
      </c>
      <c r="L561" s="21">
        <v>186</v>
      </c>
      <c r="M561" s="21">
        <v>60</v>
      </c>
      <c r="N561" s="21">
        <v>104</v>
      </c>
      <c r="O561" s="19">
        <v>242</v>
      </c>
      <c r="P561" s="22">
        <v>52</v>
      </c>
      <c r="Q561" s="22">
        <v>24</v>
      </c>
      <c r="R561" s="20" t="s">
        <v>51</v>
      </c>
      <c r="S561" s="234">
        <f>COUNTIFS(INP_DATA!$R$5:$R$3027,S$4,INP_DATA!$D$5:$D$3027,$D561,INP_DATA!$B$5:$B$3027,$B561)</f>
        <v>0</v>
      </c>
      <c r="T561" s="235">
        <f>COUNTIFS(INP_DATA!$R$5:$R$3027,T$4,INP_DATA!$D$5:$D$3027,$D561,INP_DATA!$B$5:$B$3027,$B561)</f>
        <v>1</v>
      </c>
    </row>
    <row r="562" spans="1:20" x14ac:dyDescent="0.35">
      <c r="A562" s="3" t="s">
        <v>106</v>
      </c>
      <c r="B562" s="165">
        <v>45231</v>
      </c>
      <c r="C562" s="57" t="str">
        <f>IF($B562="","",YEAR($B562)&amp;"-"&amp;IFERROR(VLOOKUP(MONTH(B562),KEY!$AE$5:$AF$16,2,FALSE),""))</f>
        <v>2023-Q4</v>
      </c>
      <c r="D562" s="3" t="s">
        <v>118</v>
      </c>
      <c r="E562" s="219">
        <v>30</v>
      </c>
      <c r="F562" s="166">
        <v>172</v>
      </c>
      <c r="G562" s="166">
        <v>198</v>
      </c>
      <c r="H562" s="21">
        <v>503</v>
      </c>
      <c r="I562" s="21">
        <v>43</v>
      </c>
      <c r="J562" s="21">
        <v>166</v>
      </c>
      <c r="K562" s="21">
        <v>25</v>
      </c>
      <c r="L562" s="21">
        <v>298</v>
      </c>
      <c r="M562" s="21">
        <v>92</v>
      </c>
      <c r="N562" s="21">
        <v>173</v>
      </c>
      <c r="O562" s="19">
        <v>264</v>
      </c>
      <c r="P562" s="22">
        <v>57</v>
      </c>
      <c r="Q562" s="22">
        <v>46</v>
      </c>
      <c r="R562" s="20" t="s">
        <v>51</v>
      </c>
      <c r="S562" s="234">
        <f>COUNTIFS(INP_DATA!$R$5:$R$3027,S$4,INP_DATA!$D$5:$D$3027,$D562,INP_DATA!$B$5:$B$3027,$B562)</f>
        <v>0</v>
      </c>
      <c r="T562" s="235">
        <f>COUNTIFS(INP_DATA!$R$5:$R$3027,T$4,INP_DATA!$D$5:$D$3027,$D562,INP_DATA!$B$5:$B$3027,$B562)</f>
        <v>1</v>
      </c>
    </row>
    <row r="563" spans="1:20" x14ac:dyDescent="0.35">
      <c r="A563" s="3" t="s">
        <v>16</v>
      </c>
      <c r="B563" s="165">
        <v>45231</v>
      </c>
      <c r="C563" s="57" t="str">
        <f>IF($B563="","",YEAR($B563)&amp;"-"&amp;IFERROR(VLOOKUP(MONTH(B563),KEY!$AE$5:$AF$16,2,FALSE),""))</f>
        <v>2023-Q4</v>
      </c>
      <c r="D563" s="3" t="s">
        <v>119</v>
      </c>
      <c r="E563" s="219">
        <v>8</v>
      </c>
      <c r="F563" s="166">
        <v>18</v>
      </c>
      <c r="G563" s="166">
        <v>15</v>
      </c>
      <c r="H563" s="21">
        <v>26</v>
      </c>
      <c r="I563" s="21">
        <v>2</v>
      </c>
      <c r="J563" s="21">
        <v>24</v>
      </c>
      <c r="K563" s="21">
        <v>6</v>
      </c>
      <c r="L563" s="21">
        <v>113</v>
      </c>
      <c r="M563" s="21">
        <v>14</v>
      </c>
      <c r="N563" s="21">
        <v>17</v>
      </c>
      <c r="O563" s="19">
        <v>88</v>
      </c>
      <c r="P563" s="22">
        <v>1</v>
      </c>
      <c r="Q563" s="22">
        <v>1</v>
      </c>
      <c r="R563" s="20" t="s">
        <v>194</v>
      </c>
      <c r="S563" s="234">
        <f>COUNTIFS(INP_DATA!$R$5:$R$3027,S$4,INP_DATA!$D$5:$D$3027,$D563,INP_DATA!$B$5:$B$3027,$B563)</f>
        <v>0</v>
      </c>
      <c r="T563" s="235">
        <f>COUNTIFS(INP_DATA!$R$5:$R$3027,T$4,INP_DATA!$D$5:$D$3027,$D563,INP_DATA!$B$5:$B$3027,$B563)</f>
        <v>0</v>
      </c>
    </row>
    <row r="564" spans="1:20" x14ac:dyDescent="0.35">
      <c r="A564" s="3" t="s">
        <v>16</v>
      </c>
      <c r="B564" s="165">
        <v>45231</v>
      </c>
      <c r="C564" s="57" t="str">
        <f>IF($B564="","",YEAR($B564)&amp;"-"&amp;IFERROR(VLOOKUP(MONTH(B564),KEY!$AE$5:$AF$16,2,FALSE),""))</f>
        <v>2023-Q4</v>
      </c>
      <c r="D564" s="3" t="s">
        <v>120</v>
      </c>
      <c r="E564" s="219">
        <v>67</v>
      </c>
      <c r="F564" s="166">
        <v>340</v>
      </c>
      <c r="G564" s="166">
        <v>355</v>
      </c>
      <c r="H564" s="21">
        <v>689</v>
      </c>
      <c r="I564" s="21">
        <v>73</v>
      </c>
      <c r="J564" s="21">
        <v>232</v>
      </c>
      <c r="K564" s="21">
        <v>30</v>
      </c>
      <c r="L564" s="21">
        <v>477</v>
      </c>
      <c r="M564" s="21">
        <v>192</v>
      </c>
      <c r="N564" s="21">
        <v>343</v>
      </c>
      <c r="O564" s="19">
        <v>572</v>
      </c>
      <c r="P564" s="22">
        <v>77</v>
      </c>
      <c r="Q564" s="22">
        <v>52</v>
      </c>
      <c r="R564" s="20" t="s">
        <v>58</v>
      </c>
      <c r="S564" s="234">
        <f>COUNTIFS(INP_DATA!$R$5:$R$3027,S$4,INP_DATA!$D$5:$D$3027,$D564,INP_DATA!$B$5:$B$3027,$B564)</f>
        <v>1</v>
      </c>
      <c r="T564" s="235">
        <f>COUNTIFS(INP_DATA!$R$5:$R$3027,T$4,INP_DATA!$D$5:$D$3027,$D564,INP_DATA!$B$5:$B$3027,$B564)</f>
        <v>0</v>
      </c>
    </row>
    <row r="565" spans="1:20" x14ac:dyDescent="0.35">
      <c r="A565" s="3" t="s">
        <v>109</v>
      </c>
      <c r="B565" s="165">
        <v>45231</v>
      </c>
      <c r="C565" s="57" t="str">
        <f>IF($B565="","",YEAR($B565)&amp;"-"&amp;IFERROR(VLOOKUP(MONTH(B565),KEY!$AE$5:$AF$16,2,FALSE),""))</f>
        <v>2023-Q4</v>
      </c>
      <c r="D565" s="3" t="s">
        <v>121</v>
      </c>
      <c r="E565" s="219">
        <v>87</v>
      </c>
      <c r="F565" s="166">
        <v>225</v>
      </c>
      <c r="G565" s="166">
        <v>288</v>
      </c>
      <c r="H565" s="21">
        <v>487</v>
      </c>
      <c r="I565" s="21">
        <v>54</v>
      </c>
      <c r="J565" s="21">
        <v>188</v>
      </c>
      <c r="K565" s="21">
        <v>36</v>
      </c>
      <c r="L565" s="21">
        <v>504</v>
      </c>
      <c r="M565" s="21">
        <v>207</v>
      </c>
      <c r="N565" s="21">
        <v>229</v>
      </c>
      <c r="O565" s="19">
        <v>462</v>
      </c>
      <c r="P565" s="22">
        <v>25</v>
      </c>
      <c r="Q565" s="22">
        <v>21</v>
      </c>
      <c r="R565" s="20" t="s">
        <v>58</v>
      </c>
      <c r="S565" s="234">
        <f>COUNTIFS(INP_DATA!$R$5:$R$3027,S$4,INP_DATA!$D$5:$D$3027,$D565,INP_DATA!$B$5:$B$3027,$B565)</f>
        <v>1</v>
      </c>
      <c r="T565" s="235">
        <f>COUNTIFS(INP_DATA!$R$5:$R$3027,T$4,INP_DATA!$D$5:$D$3027,$D565,INP_DATA!$B$5:$B$3027,$B565)</f>
        <v>0</v>
      </c>
    </row>
    <row r="566" spans="1:20" x14ac:dyDescent="0.35">
      <c r="A566" s="3" t="s">
        <v>108</v>
      </c>
      <c r="B566" s="165">
        <v>45231</v>
      </c>
      <c r="C566" s="57" t="str">
        <f>IF($B566="","",YEAR($B566)&amp;"-"&amp;IFERROR(VLOOKUP(MONTH(B566),KEY!$AE$5:$AF$16,2,FALSE),""))</f>
        <v>2023-Q4</v>
      </c>
      <c r="D566" s="3" t="s">
        <v>122</v>
      </c>
      <c r="E566" s="219">
        <v>16</v>
      </c>
      <c r="F566" s="166">
        <v>98</v>
      </c>
      <c r="G566" s="166">
        <v>127</v>
      </c>
      <c r="H566" s="21">
        <v>252</v>
      </c>
      <c r="I566" s="21">
        <v>32</v>
      </c>
      <c r="J566" s="21">
        <v>107</v>
      </c>
      <c r="K566" s="21">
        <v>19</v>
      </c>
      <c r="L566" s="21">
        <v>226</v>
      </c>
      <c r="M566" s="21">
        <v>70</v>
      </c>
      <c r="N566" s="21">
        <v>102</v>
      </c>
      <c r="O566" s="19">
        <v>176</v>
      </c>
      <c r="P566" s="22" t="s">
        <v>194</v>
      </c>
      <c r="Q566" s="22" t="s">
        <v>194</v>
      </c>
      <c r="R566" s="20" t="s">
        <v>58</v>
      </c>
      <c r="S566" s="234">
        <f>COUNTIFS(INP_DATA!$R$5:$R$3027,S$4,INP_DATA!$D$5:$D$3027,$D566,INP_DATA!$B$5:$B$3027,$B566)</f>
        <v>1</v>
      </c>
      <c r="T566" s="235">
        <f>COUNTIFS(INP_DATA!$R$5:$R$3027,T$4,INP_DATA!$D$5:$D$3027,$D566,INP_DATA!$B$5:$B$3027,$B566)</f>
        <v>0</v>
      </c>
    </row>
    <row r="567" spans="1:20" x14ac:dyDescent="0.35">
      <c r="A567" s="3" t="s">
        <v>107</v>
      </c>
      <c r="B567" s="165">
        <v>45231</v>
      </c>
      <c r="C567" s="57" t="str">
        <f>IF($B567="","",YEAR($B567)&amp;"-"&amp;IFERROR(VLOOKUP(MONTH(B567),KEY!$AE$5:$AF$16,2,FALSE),""))</f>
        <v>2023-Q4</v>
      </c>
      <c r="D567" s="3" t="s">
        <v>123</v>
      </c>
      <c r="E567" s="219">
        <v>56</v>
      </c>
      <c r="F567" s="166">
        <v>224</v>
      </c>
      <c r="G567" s="166">
        <v>200</v>
      </c>
      <c r="H567" s="21">
        <v>312</v>
      </c>
      <c r="I567" s="21">
        <v>53</v>
      </c>
      <c r="J567" s="21">
        <v>99</v>
      </c>
      <c r="K567" s="21">
        <v>24</v>
      </c>
      <c r="L567" s="21">
        <v>414</v>
      </c>
      <c r="M567" s="21">
        <v>161</v>
      </c>
      <c r="N567" s="21">
        <v>227</v>
      </c>
      <c r="O567" s="19">
        <v>352</v>
      </c>
      <c r="P567" s="22">
        <v>40</v>
      </c>
      <c r="Q567" s="22">
        <v>27</v>
      </c>
      <c r="R567" s="20" t="s">
        <v>58</v>
      </c>
      <c r="S567" s="234">
        <f>COUNTIFS(INP_DATA!$R$5:$R$3027,S$4,INP_DATA!$D$5:$D$3027,$D567,INP_DATA!$B$5:$B$3027,$B567)</f>
        <v>1</v>
      </c>
      <c r="T567" s="235">
        <f>COUNTIFS(INP_DATA!$R$5:$R$3027,T$4,INP_DATA!$D$5:$D$3027,$D567,INP_DATA!$B$5:$B$3027,$B567)</f>
        <v>0</v>
      </c>
    </row>
    <row r="568" spans="1:20" x14ac:dyDescent="0.35">
      <c r="A568" s="3" t="s">
        <v>108</v>
      </c>
      <c r="B568" s="165">
        <v>45231</v>
      </c>
      <c r="C568" s="57" t="str">
        <f>IF($B568="","",YEAR($B568)&amp;"-"&amp;IFERROR(VLOOKUP(MONTH(B568),KEY!$AE$5:$AF$16,2,FALSE),""))</f>
        <v>2023-Q4</v>
      </c>
      <c r="D568" s="3" t="s">
        <v>124</v>
      </c>
      <c r="E568" s="219">
        <v>87</v>
      </c>
      <c r="F568" s="166">
        <v>221</v>
      </c>
      <c r="G568" s="166">
        <v>264</v>
      </c>
      <c r="H568" s="21">
        <v>330</v>
      </c>
      <c r="I568" s="21">
        <v>61</v>
      </c>
      <c r="J568" s="21">
        <v>163</v>
      </c>
      <c r="K568" s="21">
        <v>24</v>
      </c>
      <c r="L568" s="21">
        <v>377</v>
      </c>
      <c r="M568" s="21">
        <v>144</v>
      </c>
      <c r="N568" s="21">
        <v>220</v>
      </c>
      <c r="O568" s="19">
        <v>462</v>
      </c>
      <c r="P568" s="22">
        <v>57</v>
      </c>
      <c r="Q568" s="22">
        <v>40</v>
      </c>
      <c r="R568" s="20" t="s">
        <v>58</v>
      </c>
      <c r="S568" s="234">
        <f>COUNTIFS(INP_DATA!$R$5:$R$3027,S$4,INP_DATA!$D$5:$D$3027,$D568,INP_DATA!$B$5:$B$3027,$B568)</f>
        <v>1</v>
      </c>
      <c r="T568" s="235">
        <f>COUNTIFS(INP_DATA!$R$5:$R$3027,T$4,INP_DATA!$D$5:$D$3027,$D568,INP_DATA!$B$5:$B$3027,$B568)</f>
        <v>0</v>
      </c>
    </row>
    <row r="569" spans="1:20" x14ac:dyDescent="0.35">
      <c r="A569" s="3" t="s">
        <v>106</v>
      </c>
      <c r="B569" s="165">
        <v>45231</v>
      </c>
      <c r="C569" s="57" t="str">
        <f>IF($B569="","",YEAR($B569)&amp;"-"&amp;IFERROR(VLOOKUP(MONTH(B569),KEY!$AE$5:$AF$16,2,FALSE),""))</f>
        <v>2023-Q4</v>
      </c>
      <c r="D569" s="3" t="s">
        <v>195</v>
      </c>
      <c r="E569" s="219">
        <v>14</v>
      </c>
      <c r="F569" s="166">
        <v>37</v>
      </c>
      <c r="G569" s="166">
        <v>29</v>
      </c>
      <c r="H569" s="21">
        <v>120</v>
      </c>
      <c r="I569" s="21">
        <v>13</v>
      </c>
      <c r="J569" s="21">
        <v>32</v>
      </c>
      <c r="K569" s="21">
        <v>8</v>
      </c>
      <c r="L569" s="21">
        <v>83</v>
      </c>
      <c r="M569" s="21">
        <v>22</v>
      </c>
      <c r="N569" s="21">
        <v>38</v>
      </c>
      <c r="O569" s="19">
        <v>132</v>
      </c>
      <c r="P569" s="22">
        <v>11</v>
      </c>
      <c r="Q569" s="22">
        <v>10</v>
      </c>
      <c r="R569" s="20" t="s">
        <v>51</v>
      </c>
      <c r="S569" s="234">
        <f>COUNTIFS(INP_DATA!$R$5:$R$3027,S$4,INP_DATA!$D$5:$D$3027,$D569,INP_DATA!$B$5:$B$3027,$B569)</f>
        <v>0</v>
      </c>
      <c r="T569" s="235">
        <f>COUNTIFS(INP_DATA!$R$5:$R$3027,T$4,INP_DATA!$D$5:$D$3027,$D569,INP_DATA!$B$5:$B$3027,$B569)</f>
        <v>1</v>
      </c>
    </row>
    <row r="570" spans="1:20" x14ac:dyDescent="0.35">
      <c r="A570" s="3" t="s">
        <v>106</v>
      </c>
      <c r="B570" s="165">
        <v>45231</v>
      </c>
      <c r="C570" s="57" t="str">
        <f>IF($B570="","",YEAR($B570)&amp;"-"&amp;IFERROR(VLOOKUP(MONTH(B570),KEY!$AE$5:$AF$16,2,FALSE),""))</f>
        <v>2023-Q4</v>
      </c>
      <c r="D570" s="3" t="s">
        <v>125</v>
      </c>
      <c r="E570" s="219">
        <v>42</v>
      </c>
      <c r="F570" s="166">
        <v>227</v>
      </c>
      <c r="G570" s="166">
        <v>193</v>
      </c>
      <c r="H570" s="21">
        <v>382</v>
      </c>
      <c r="I570" s="21">
        <v>52</v>
      </c>
      <c r="J570" s="21">
        <v>132</v>
      </c>
      <c r="K570" s="21">
        <v>36</v>
      </c>
      <c r="L570" s="21">
        <v>417</v>
      </c>
      <c r="M570" s="21">
        <v>99</v>
      </c>
      <c r="N570" s="21">
        <v>234</v>
      </c>
      <c r="O570" s="19">
        <v>440</v>
      </c>
      <c r="P570" s="22">
        <v>28</v>
      </c>
      <c r="Q570" s="22">
        <v>19</v>
      </c>
      <c r="R570" s="20" t="s">
        <v>58</v>
      </c>
      <c r="S570" s="234">
        <f>COUNTIFS(INP_DATA!$R$5:$R$3027,S$4,INP_DATA!$D$5:$D$3027,$D570,INP_DATA!$B$5:$B$3027,$B570)</f>
        <v>1</v>
      </c>
      <c r="T570" s="235">
        <f>COUNTIFS(INP_DATA!$R$5:$R$3027,T$4,INP_DATA!$D$5:$D$3027,$D570,INP_DATA!$B$5:$B$3027,$B570)</f>
        <v>0</v>
      </c>
    </row>
    <row r="571" spans="1:20" x14ac:dyDescent="0.35">
      <c r="A571" s="3" t="s">
        <v>107</v>
      </c>
      <c r="B571" s="165">
        <v>45231</v>
      </c>
      <c r="C571" s="57" t="str">
        <f>IF($B571="","",YEAR($B571)&amp;"-"&amp;IFERROR(VLOOKUP(MONTH(B571),KEY!$AE$5:$AF$16,2,FALSE),""))</f>
        <v>2023-Q4</v>
      </c>
      <c r="D571" s="3" t="s">
        <v>126</v>
      </c>
      <c r="E571" s="219">
        <v>120</v>
      </c>
      <c r="F571" s="166">
        <v>554</v>
      </c>
      <c r="G571" s="166">
        <v>567</v>
      </c>
      <c r="H571" s="21">
        <v>699</v>
      </c>
      <c r="I571" s="21">
        <v>139</v>
      </c>
      <c r="J571" s="21">
        <v>463</v>
      </c>
      <c r="K571" s="21">
        <v>115</v>
      </c>
      <c r="L571" s="21">
        <v>821</v>
      </c>
      <c r="M571" s="21">
        <v>330</v>
      </c>
      <c r="N571" s="21">
        <v>558</v>
      </c>
      <c r="O571" s="19">
        <v>792</v>
      </c>
      <c r="P571" s="22">
        <v>177</v>
      </c>
      <c r="Q571" s="22">
        <v>121</v>
      </c>
      <c r="R571" s="20" t="s">
        <v>58</v>
      </c>
      <c r="S571" s="234">
        <f>COUNTIFS(INP_DATA!$R$5:$R$3027,S$4,INP_DATA!$D$5:$D$3027,$D571,INP_DATA!$B$5:$B$3027,$B571)</f>
        <v>1</v>
      </c>
      <c r="T571" s="235">
        <f>COUNTIFS(INP_DATA!$R$5:$R$3027,T$4,INP_DATA!$D$5:$D$3027,$D571,INP_DATA!$B$5:$B$3027,$B571)</f>
        <v>0</v>
      </c>
    </row>
    <row r="572" spans="1:20" x14ac:dyDescent="0.35">
      <c r="A572" s="3" t="s">
        <v>107</v>
      </c>
      <c r="B572" s="165">
        <v>45231</v>
      </c>
      <c r="C572" s="57" t="str">
        <f>IF($B572="","",YEAR($B572)&amp;"-"&amp;IFERROR(VLOOKUP(MONTH(B572),KEY!$AE$5:$AF$16,2,FALSE),""))</f>
        <v>2023-Q4</v>
      </c>
      <c r="D572" s="3" t="s">
        <v>127</v>
      </c>
      <c r="E572" s="219">
        <v>16</v>
      </c>
      <c r="F572" s="166">
        <v>60</v>
      </c>
      <c r="G572" s="166">
        <v>74</v>
      </c>
      <c r="H572" s="21">
        <v>133</v>
      </c>
      <c r="I572" s="21">
        <v>14</v>
      </c>
      <c r="J572" s="21">
        <v>51</v>
      </c>
      <c r="K572" s="21">
        <v>8</v>
      </c>
      <c r="L572" s="21">
        <v>90</v>
      </c>
      <c r="M572" s="21">
        <v>48</v>
      </c>
      <c r="N572" s="21">
        <v>61</v>
      </c>
      <c r="O572" s="19">
        <v>88</v>
      </c>
      <c r="P572" s="22">
        <v>13</v>
      </c>
      <c r="Q572" s="22">
        <v>3</v>
      </c>
      <c r="R572" s="20" t="s">
        <v>58</v>
      </c>
      <c r="S572" s="234">
        <f>COUNTIFS(INP_DATA!$R$5:$R$3027,S$4,INP_DATA!$D$5:$D$3027,$D572,INP_DATA!$B$5:$B$3027,$B572)</f>
        <v>1</v>
      </c>
      <c r="T572" s="235">
        <f>COUNTIFS(INP_DATA!$R$5:$R$3027,T$4,INP_DATA!$D$5:$D$3027,$D572,INP_DATA!$B$5:$B$3027,$B572)</f>
        <v>0</v>
      </c>
    </row>
    <row r="573" spans="1:20" x14ac:dyDescent="0.35">
      <c r="A573" s="3" t="s">
        <v>109</v>
      </c>
      <c r="B573" s="165">
        <v>45231</v>
      </c>
      <c r="C573" s="57" t="str">
        <f>IF($B573="","",YEAR($B573)&amp;"-"&amp;IFERROR(VLOOKUP(MONTH(B573),KEY!$AE$5:$AF$16,2,FALSE),""))</f>
        <v>2023-Q4</v>
      </c>
      <c r="D573" s="3" t="s">
        <v>128</v>
      </c>
      <c r="E573" s="219">
        <v>0</v>
      </c>
      <c r="F573" s="166">
        <v>236</v>
      </c>
      <c r="G573" s="166">
        <v>216</v>
      </c>
      <c r="H573" s="21">
        <v>517</v>
      </c>
      <c r="I573" s="21">
        <v>60</v>
      </c>
      <c r="J573" s="21">
        <v>279</v>
      </c>
      <c r="K573" s="21">
        <v>70</v>
      </c>
      <c r="L573" s="21">
        <v>418</v>
      </c>
      <c r="M573" s="21">
        <v>135</v>
      </c>
      <c r="N573" s="21">
        <v>237</v>
      </c>
      <c r="O573" s="19">
        <v>308</v>
      </c>
      <c r="P573" s="22" t="s">
        <v>194</v>
      </c>
      <c r="Q573" s="22" t="s">
        <v>194</v>
      </c>
      <c r="R573" s="20" t="s">
        <v>51</v>
      </c>
      <c r="S573" s="234">
        <f>COUNTIFS(INP_DATA!$R$5:$R$3027,S$4,INP_DATA!$D$5:$D$3027,$D573,INP_DATA!$B$5:$B$3027,$B573)</f>
        <v>0</v>
      </c>
      <c r="T573" s="235">
        <f>COUNTIFS(INP_DATA!$R$5:$R$3027,T$4,INP_DATA!$D$5:$D$3027,$D573,INP_DATA!$B$5:$B$3027,$B573)</f>
        <v>1</v>
      </c>
    </row>
    <row r="574" spans="1:20" x14ac:dyDescent="0.35">
      <c r="A574" s="3" t="s">
        <v>106</v>
      </c>
      <c r="B574" s="165">
        <v>45231</v>
      </c>
      <c r="C574" s="57" t="str">
        <f>IF($B574="","",YEAR($B574)&amp;"-"&amp;IFERROR(VLOOKUP(MONTH(B574),KEY!$AE$5:$AF$16,2,FALSE),""))</f>
        <v>2023-Q4</v>
      </c>
      <c r="D574" s="3" t="s">
        <v>129</v>
      </c>
      <c r="E574" s="219">
        <v>10</v>
      </c>
      <c r="F574" s="166">
        <v>165</v>
      </c>
      <c r="G574" s="166">
        <v>125</v>
      </c>
      <c r="H574" s="21">
        <v>253</v>
      </c>
      <c r="I574" s="21">
        <v>36</v>
      </c>
      <c r="J574" s="21">
        <v>133</v>
      </c>
      <c r="K574" s="21">
        <v>32</v>
      </c>
      <c r="L574" s="21">
        <v>231</v>
      </c>
      <c r="M574" s="21">
        <v>78</v>
      </c>
      <c r="N574" s="21">
        <v>165</v>
      </c>
      <c r="O574" s="19">
        <v>308</v>
      </c>
      <c r="P574" s="22">
        <v>35</v>
      </c>
      <c r="Q574" s="22">
        <v>25</v>
      </c>
      <c r="R574" s="20" t="s">
        <v>58</v>
      </c>
      <c r="S574" s="234">
        <f>COUNTIFS(INP_DATA!$R$5:$R$3027,S$4,INP_DATA!$D$5:$D$3027,$D574,INP_DATA!$B$5:$B$3027,$B574)</f>
        <v>1</v>
      </c>
      <c r="T574" s="235">
        <f>COUNTIFS(INP_DATA!$R$5:$R$3027,T$4,INP_DATA!$D$5:$D$3027,$D574,INP_DATA!$B$5:$B$3027,$B574)</f>
        <v>0</v>
      </c>
    </row>
    <row r="575" spans="1:20" x14ac:dyDescent="0.35">
      <c r="A575" s="3" t="s">
        <v>108</v>
      </c>
      <c r="B575" s="165">
        <v>45231</v>
      </c>
      <c r="C575" s="57" t="str">
        <f>IF($B575="","",YEAR($B575)&amp;"-"&amp;IFERROR(VLOOKUP(MONTH(B575),KEY!$AE$5:$AF$16,2,FALSE),""))</f>
        <v>2023-Q4</v>
      </c>
      <c r="D575" s="3" t="s">
        <v>130</v>
      </c>
      <c r="E575" s="219">
        <v>25</v>
      </c>
      <c r="F575" s="166">
        <v>168</v>
      </c>
      <c r="G575" s="166">
        <v>123</v>
      </c>
      <c r="H575" s="21">
        <v>377</v>
      </c>
      <c r="I575" s="21">
        <v>49</v>
      </c>
      <c r="J575" s="21">
        <v>158</v>
      </c>
      <c r="K575" s="21">
        <v>42</v>
      </c>
      <c r="L575" s="21">
        <v>170</v>
      </c>
      <c r="M575" s="21">
        <v>62</v>
      </c>
      <c r="N575" s="21">
        <v>171</v>
      </c>
      <c r="O575" s="19">
        <v>176</v>
      </c>
      <c r="P575" s="22">
        <v>28</v>
      </c>
      <c r="Q575" s="22">
        <v>17</v>
      </c>
      <c r="R575" s="20" t="s">
        <v>58</v>
      </c>
      <c r="S575" s="234">
        <f>COUNTIFS(INP_DATA!$R$5:$R$3027,S$4,INP_DATA!$D$5:$D$3027,$D575,INP_DATA!$B$5:$B$3027,$B575)</f>
        <v>1</v>
      </c>
      <c r="T575" s="235">
        <f>COUNTIFS(INP_DATA!$R$5:$R$3027,T$4,INP_DATA!$D$5:$D$3027,$D575,INP_DATA!$B$5:$B$3027,$B575)</f>
        <v>0</v>
      </c>
    </row>
    <row r="576" spans="1:20" x14ac:dyDescent="0.35">
      <c r="A576" s="3" t="s">
        <v>109</v>
      </c>
      <c r="B576" s="165">
        <v>45231</v>
      </c>
      <c r="C576" s="57" t="str">
        <f>IF($B576="","",YEAR($B576)&amp;"-"&amp;IFERROR(VLOOKUP(MONTH(B576),KEY!$AE$5:$AF$16,2,FALSE),""))</f>
        <v>2023-Q4</v>
      </c>
      <c r="D576" s="3" t="s">
        <v>131</v>
      </c>
      <c r="E576" s="219">
        <v>48</v>
      </c>
      <c r="F576" s="166">
        <v>147</v>
      </c>
      <c r="G576" s="166">
        <v>148</v>
      </c>
      <c r="H576" s="21">
        <v>153</v>
      </c>
      <c r="I576" s="21">
        <v>12</v>
      </c>
      <c r="J576" s="21">
        <v>149</v>
      </c>
      <c r="K576" s="21">
        <v>28</v>
      </c>
      <c r="L576" s="21">
        <v>326</v>
      </c>
      <c r="M576" s="21">
        <v>45</v>
      </c>
      <c r="N576" s="21">
        <v>156</v>
      </c>
      <c r="O576" s="19">
        <v>330</v>
      </c>
      <c r="P576" s="22">
        <v>6</v>
      </c>
      <c r="Q576" s="22">
        <v>4</v>
      </c>
      <c r="R576" s="20" t="s">
        <v>58</v>
      </c>
      <c r="S576" s="234">
        <f>COUNTIFS(INP_DATA!$R$5:$R$3027,S$4,INP_DATA!$D$5:$D$3027,$D576,INP_DATA!$B$5:$B$3027,$B576)</f>
        <v>1</v>
      </c>
      <c r="T576" s="235">
        <f>COUNTIFS(INP_DATA!$R$5:$R$3027,T$4,INP_DATA!$D$5:$D$3027,$D576,INP_DATA!$B$5:$B$3027,$B576)</f>
        <v>0</v>
      </c>
    </row>
    <row r="577" spans="1:20" x14ac:dyDescent="0.35">
      <c r="A577" s="3" t="s">
        <v>16</v>
      </c>
      <c r="B577" s="165">
        <v>45231</v>
      </c>
      <c r="C577" s="57" t="str">
        <f>IF($B577="","",YEAR($B577)&amp;"-"&amp;IFERROR(VLOOKUP(MONTH(B577),KEY!$AE$5:$AF$16,2,FALSE),""))</f>
        <v>2023-Q4</v>
      </c>
      <c r="D577" s="3" t="s">
        <v>196</v>
      </c>
      <c r="E577" s="219">
        <v>6</v>
      </c>
      <c r="F577" s="166">
        <v>25</v>
      </c>
      <c r="G577" s="166">
        <v>50</v>
      </c>
      <c r="H577" s="21">
        <v>58</v>
      </c>
      <c r="I577" s="21">
        <v>10</v>
      </c>
      <c r="J577" s="21">
        <v>48</v>
      </c>
      <c r="K577" s="21">
        <v>10</v>
      </c>
      <c r="L577" s="21">
        <v>73</v>
      </c>
      <c r="M577" s="21">
        <v>23</v>
      </c>
      <c r="N577" s="21">
        <v>26</v>
      </c>
      <c r="O577" s="19">
        <v>110</v>
      </c>
      <c r="P577" s="22">
        <v>4</v>
      </c>
      <c r="Q577" s="22">
        <v>3</v>
      </c>
      <c r="R577" s="20" t="s">
        <v>58</v>
      </c>
      <c r="S577" s="234">
        <f>COUNTIFS(INP_DATA!$R$5:$R$3027,S$4,INP_DATA!$D$5:$D$3027,$D577,INP_DATA!$B$5:$B$3027,$B577)</f>
        <v>1</v>
      </c>
      <c r="T577" s="235">
        <f>COUNTIFS(INP_DATA!$R$5:$R$3027,T$4,INP_DATA!$D$5:$D$3027,$D577,INP_DATA!$B$5:$B$3027,$B577)</f>
        <v>0</v>
      </c>
    </row>
    <row r="578" spans="1:20" x14ac:dyDescent="0.35">
      <c r="A578" s="3" t="s">
        <v>16</v>
      </c>
      <c r="B578" s="165">
        <v>45231</v>
      </c>
      <c r="C578" s="57" t="str">
        <f>IF($B578="","",YEAR($B578)&amp;"-"&amp;IFERROR(VLOOKUP(MONTH(B578),KEY!$AE$5:$AF$16,2,FALSE),""))</f>
        <v>2023-Q4</v>
      </c>
      <c r="D578" s="3" t="s">
        <v>197</v>
      </c>
      <c r="E578" s="219">
        <v>17</v>
      </c>
      <c r="F578" s="166">
        <v>86</v>
      </c>
      <c r="G578" s="166">
        <v>74</v>
      </c>
      <c r="H578" s="21">
        <v>94</v>
      </c>
      <c r="I578" s="21">
        <v>18</v>
      </c>
      <c r="J578" s="21">
        <v>66</v>
      </c>
      <c r="K578" s="21">
        <v>17</v>
      </c>
      <c r="L578" s="21">
        <v>138</v>
      </c>
      <c r="M578" s="21">
        <v>64</v>
      </c>
      <c r="N578" s="21">
        <v>89</v>
      </c>
      <c r="O578" s="19">
        <v>220</v>
      </c>
      <c r="P578" s="22">
        <v>14</v>
      </c>
      <c r="Q578" s="22">
        <v>10</v>
      </c>
      <c r="R578" s="20" t="s">
        <v>58</v>
      </c>
      <c r="S578" s="234">
        <f>COUNTIFS(INP_DATA!$R$5:$R$3027,S$4,INP_DATA!$D$5:$D$3027,$D578,INP_DATA!$B$5:$B$3027,$B578)</f>
        <v>1</v>
      </c>
      <c r="T578" s="235">
        <f>COUNTIFS(INP_DATA!$R$5:$R$3027,T$4,INP_DATA!$D$5:$D$3027,$D578,INP_DATA!$B$5:$B$3027,$B578)</f>
        <v>0</v>
      </c>
    </row>
    <row r="579" spans="1:20" x14ac:dyDescent="0.35">
      <c r="A579" s="3" t="s">
        <v>108</v>
      </c>
      <c r="B579" s="165">
        <v>45231</v>
      </c>
      <c r="C579" s="57" t="str">
        <f>IF($B579="","",YEAR($B579)&amp;"-"&amp;IFERROR(VLOOKUP(MONTH(B579),KEY!$AE$5:$AF$16,2,FALSE),""))</f>
        <v>2023-Q4</v>
      </c>
      <c r="D579" s="3" t="s">
        <v>134</v>
      </c>
      <c r="E579" s="219">
        <v>11</v>
      </c>
      <c r="F579" s="166">
        <v>34</v>
      </c>
      <c r="G579" s="166">
        <v>37</v>
      </c>
      <c r="H579" s="21">
        <v>60</v>
      </c>
      <c r="I579" s="21">
        <v>8</v>
      </c>
      <c r="J579" s="21">
        <v>38</v>
      </c>
      <c r="K579" s="21">
        <v>6</v>
      </c>
      <c r="L579" s="21">
        <v>45</v>
      </c>
      <c r="M579" s="21">
        <v>17</v>
      </c>
      <c r="N579" s="21">
        <v>34</v>
      </c>
      <c r="O579" s="19">
        <v>88</v>
      </c>
      <c r="P579" s="22">
        <v>18</v>
      </c>
      <c r="Q579" s="22">
        <v>14</v>
      </c>
      <c r="R579" s="20" t="s">
        <v>51</v>
      </c>
      <c r="S579" s="234">
        <f>COUNTIFS(INP_DATA!$R$5:$R$3027,S$4,INP_DATA!$D$5:$D$3027,$D579,INP_DATA!$B$5:$B$3027,$B579)</f>
        <v>0</v>
      </c>
      <c r="T579" s="235">
        <f>COUNTIFS(INP_DATA!$R$5:$R$3027,T$4,INP_DATA!$D$5:$D$3027,$D579,INP_DATA!$B$5:$B$3027,$B579)</f>
        <v>1</v>
      </c>
    </row>
    <row r="580" spans="1:20" x14ac:dyDescent="0.35">
      <c r="A580" s="3" t="s">
        <v>108</v>
      </c>
      <c r="B580" s="165">
        <v>45231</v>
      </c>
      <c r="C580" s="57" t="str">
        <f>IF($B580="","",YEAR($B580)&amp;"-"&amp;IFERROR(VLOOKUP(MONTH(B580),KEY!$AE$5:$AF$16,2,FALSE),""))</f>
        <v>2023-Q4</v>
      </c>
      <c r="D580" s="3" t="s">
        <v>135</v>
      </c>
      <c r="E580" s="219">
        <v>58</v>
      </c>
      <c r="F580" s="166">
        <v>259</v>
      </c>
      <c r="G580" s="166">
        <v>206</v>
      </c>
      <c r="H580" s="21">
        <v>486</v>
      </c>
      <c r="I580" s="21">
        <v>66</v>
      </c>
      <c r="J580" s="21">
        <v>148</v>
      </c>
      <c r="K580" s="21">
        <v>35</v>
      </c>
      <c r="L580" s="21">
        <v>622</v>
      </c>
      <c r="M580" s="21">
        <v>144</v>
      </c>
      <c r="N580" s="21">
        <v>260</v>
      </c>
      <c r="O580" s="19">
        <v>374</v>
      </c>
      <c r="P580" s="22">
        <v>28</v>
      </c>
      <c r="Q580" s="22">
        <v>20</v>
      </c>
      <c r="R580" s="20" t="s">
        <v>51</v>
      </c>
      <c r="S580" s="234">
        <f>COUNTIFS(INP_DATA!$R$5:$R$3027,S$4,INP_DATA!$D$5:$D$3027,$D580,INP_DATA!$B$5:$B$3027,$B580)</f>
        <v>0</v>
      </c>
      <c r="T580" s="235">
        <f>COUNTIFS(INP_DATA!$R$5:$R$3027,T$4,INP_DATA!$D$5:$D$3027,$D580,INP_DATA!$B$5:$B$3027,$B580)</f>
        <v>1</v>
      </c>
    </row>
    <row r="581" spans="1:20" x14ac:dyDescent="0.35">
      <c r="A581" s="3" t="s">
        <v>109</v>
      </c>
      <c r="B581" s="165">
        <v>45231</v>
      </c>
      <c r="C581" s="57" t="str">
        <f>IF($B581="","",YEAR($B581)&amp;"-"&amp;IFERROR(VLOOKUP(MONTH(B581),KEY!$AE$5:$AF$16,2,FALSE),""))</f>
        <v>2023-Q4</v>
      </c>
      <c r="D581" s="3" t="s">
        <v>136</v>
      </c>
      <c r="E581" s="219">
        <v>75</v>
      </c>
      <c r="F581" s="166">
        <v>253</v>
      </c>
      <c r="G581" s="166">
        <v>190</v>
      </c>
      <c r="H581" s="21">
        <v>567</v>
      </c>
      <c r="I581" s="21">
        <v>40</v>
      </c>
      <c r="J581" s="21">
        <v>362</v>
      </c>
      <c r="K581" s="21">
        <v>26</v>
      </c>
      <c r="L581" s="21">
        <v>311</v>
      </c>
      <c r="M581" s="21">
        <v>138</v>
      </c>
      <c r="N581" s="21">
        <v>260</v>
      </c>
      <c r="O581" s="19">
        <v>352</v>
      </c>
      <c r="P581" s="22">
        <v>46</v>
      </c>
      <c r="Q581" s="22">
        <v>36</v>
      </c>
      <c r="R581" s="20" t="s">
        <v>58</v>
      </c>
      <c r="S581" s="234">
        <f>COUNTIFS(INP_DATA!$R$5:$R$3027,S$4,INP_DATA!$D$5:$D$3027,$D581,INP_DATA!$B$5:$B$3027,$B581)</f>
        <v>1</v>
      </c>
      <c r="T581" s="235">
        <f>COUNTIFS(INP_DATA!$R$5:$R$3027,T$4,INP_DATA!$D$5:$D$3027,$D581,INP_DATA!$B$5:$B$3027,$B581)</f>
        <v>0</v>
      </c>
    </row>
    <row r="582" spans="1:20" x14ac:dyDescent="0.35">
      <c r="A582" s="3" t="s">
        <v>16</v>
      </c>
      <c r="B582" s="165">
        <v>45231</v>
      </c>
      <c r="C582" s="57" t="str">
        <f>IF($B582="","",YEAR($B582)&amp;"-"&amp;IFERROR(VLOOKUP(MONTH(B582),KEY!$AE$5:$AF$16,2,FALSE),""))</f>
        <v>2023-Q4</v>
      </c>
      <c r="D582" s="3" t="s">
        <v>137</v>
      </c>
      <c r="E582" s="219">
        <v>20</v>
      </c>
      <c r="F582" s="166">
        <v>95</v>
      </c>
      <c r="G582" s="166">
        <v>61</v>
      </c>
      <c r="H582" s="21">
        <v>220</v>
      </c>
      <c r="I582" s="21">
        <v>32</v>
      </c>
      <c r="J582" s="21">
        <v>147</v>
      </c>
      <c r="K582" s="21">
        <v>36</v>
      </c>
      <c r="L582" s="21">
        <v>146</v>
      </c>
      <c r="M582" s="21">
        <v>78</v>
      </c>
      <c r="N582" s="21">
        <v>96</v>
      </c>
      <c r="O582" s="19">
        <v>198</v>
      </c>
      <c r="P582" s="22">
        <v>14</v>
      </c>
      <c r="Q582" s="22">
        <v>6</v>
      </c>
      <c r="R582" s="20" t="s">
        <v>58</v>
      </c>
      <c r="S582" s="234">
        <f>COUNTIFS(INP_DATA!$R$5:$R$3027,S$4,INP_DATA!$D$5:$D$3027,$D582,INP_DATA!$B$5:$B$3027,$B582)</f>
        <v>1</v>
      </c>
      <c r="T582" s="235">
        <f>COUNTIFS(INP_DATA!$R$5:$R$3027,T$4,INP_DATA!$D$5:$D$3027,$D582,INP_DATA!$B$5:$B$3027,$B582)</f>
        <v>0</v>
      </c>
    </row>
    <row r="583" spans="1:20" x14ac:dyDescent="0.35">
      <c r="A583" s="3" t="s">
        <v>109</v>
      </c>
      <c r="B583" s="165">
        <v>45231</v>
      </c>
      <c r="C583" s="57" t="str">
        <f>IF($B583="","",YEAR($B583)&amp;"-"&amp;IFERROR(VLOOKUP(MONTH(B583),KEY!$AE$5:$AF$16,2,FALSE),""))</f>
        <v>2023-Q4</v>
      </c>
      <c r="D583" s="3" t="s">
        <v>138</v>
      </c>
      <c r="E583" s="219">
        <v>27</v>
      </c>
      <c r="F583" s="166">
        <v>150</v>
      </c>
      <c r="G583" s="166">
        <v>93</v>
      </c>
      <c r="H583" s="21">
        <v>317</v>
      </c>
      <c r="I583" s="21">
        <v>30</v>
      </c>
      <c r="J583" s="21">
        <v>232</v>
      </c>
      <c r="K583" s="21">
        <v>36</v>
      </c>
      <c r="L583" s="21">
        <v>259</v>
      </c>
      <c r="M583" s="21">
        <v>97</v>
      </c>
      <c r="N583" s="21">
        <v>149</v>
      </c>
      <c r="O583" s="19">
        <v>176</v>
      </c>
      <c r="P583" s="22">
        <v>30</v>
      </c>
      <c r="Q583" s="22">
        <v>22</v>
      </c>
      <c r="R583" s="20" t="s">
        <v>58</v>
      </c>
      <c r="S583" s="234">
        <f>COUNTIFS(INP_DATA!$R$5:$R$3027,S$4,INP_DATA!$D$5:$D$3027,$D583,INP_DATA!$B$5:$B$3027,$B583)</f>
        <v>1</v>
      </c>
      <c r="T583" s="235">
        <f>COUNTIFS(INP_DATA!$R$5:$R$3027,T$4,INP_DATA!$D$5:$D$3027,$D583,INP_DATA!$B$5:$B$3027,$B583)</f>
        <v>0</v>
      </c>
    </row>
    <row r="584" spans="1:20" x14ac:dyDescent="0.35">
      <c r="A584" s="3" t="s">
        <v>108</v>
      </c>
      <c r="B584" s="165">
        <v>45231</v>
      </c>
      <c r="C584" s="57" t="str">
        <f>IF($B584="","",YEAR($B584)&amp;"-"&amp;IFERROR(VLOOKUP(MONTH(B584),KEY!$AE$5:$AF$16,2,FALSE),""))</f>
        <v>2023-Q4</v>
      </c>
      <c r="D584" s="3" t="s">
        <v>139</v>
      </c>
      <c r="E584" s="219">
        <v>34</v>
      </c>
      <c r="F584" s="166">
        <v>185</v>
      </c>
      <c r="G584" s="166">
        <v>149</v>
      </c>
      <c r="H584" s="21">
        <v>390</v>
      </c>
      <c r="I584" s="21">
        <v>56</v>
      </c>
      <c r="J584" s="21">
        <v>107</v>
      </c>
      <c r="K584" s="21">
        <v>31</v>
      </c>
      <c r="L584" s="21">
        <v>544</v>
      </c>
      <c r="M584" s="21">
        <v>135</v>
      </c>
      <c r="N584" s="21">
        <v>190</v>
      </c>
      <c r="O584" s="19">
        <v>264</v>
      </c>
      <c r="P584" s="22">
        <v>83</v>
      </c>
      <c r="Q584" s="22">
        <v>65</v>
      </c>
      <c r="R584" s="20" t="s">
        <v>58</v>
      </c>
      <c r="S584" s="234">
        <f>COUNTIFS(INP_DATA!$R$5:$R$3027,S$4,INP_DATA!$D$5:$D$3027,$D584,INP_DATA!$B$5:$B$3027,$B584)</f>
        <v>1</v>
      </c>
      <c r="T584" s="235">
        <f>COUNTIFS(INP_DATA!$R$5:$R$3027,T$4,INP_DATA!$D$5:$D$3027,$D584,INP_DATA!$B$5:$B$3027,$B584)</f>
        <v>0</v>
      </c>
    </row>
    <row r="585" spans="1:20" x14ac:dyDescent="0.35">
      <c r="A585" s="3" t="s">
        <v>107</v>
      </c>
      <c r="B585" s="165">
        <v>45231</v>
      </c>
      <c r="C585" s="57" t="str">
        <f>IF($B585="","",YEAR($B585)&amp;"-"&amp;IFERROR(VLOOKUP(MONTH(B585),KEY!$AE$5:$AF$16,2,FALSE),""))</f>
        <v>2023-Q4</v>
      </c>
      <c r="D585" s="3" t="s">
        <v>140</v>
      </c>
      <c r="E585" s="219">
        <v>5</v>
      </c>
      <c r="F585" s="166">
        <v>24</v>
      </c>
      <c r="G585" s="166">
        <v>33</v>
      </c>
      <c r="H585" s="21">
        <v>78</v>
      </c>
      <c r="I585" s="21">
        <v>8</v>
      </c>
      <c r="J585" s="21">
        <v>40</v>
      </c>
      <c r="K585" s="21">
        <v>4</v>
      </c>
      <c r="L585" s="21">
        <v>47</v>
      </c>
      <c r="M585" s="21">
        <v>18</v>
      </c>
      <c r="N585" s="21">
        <v>25</v>
      </c>
      <c r="O585" s="19">
        <v>66</v>
      </c>
      <c r="P585" s="22">
        <v>11</v>
      </c>
      <c r="Q585" s="22">
        <v>8</v>
      </c>
      <c r="R585" s="20" t="s">
        <v>194</v>
      </c>
      <c r="S585" s="234">
        <f>COUNTIFS(INP_DATA!$R$5:$R$3027,S$4,INP_DATA!$D$5:$D$3027,$D585,INP_DATA!$B$5:$B$3027,$B585)</f>
        <v>0</v>
      </c>
      <c r="T585" s="235">
        <f>COUNTIFS(INP_DATA!$R$5:$R$3027,T$4,INP_DATA!$D$5:$D$3027,$D585,INP_DATA!$B$5:$B$3027,$B585)</f>
        <v>0</v>
      </c>
    </row>
    <row r="586" spans="1:20" x14ac:dyDescent="0.35">
      <c r="A586" s="3" t="s">
        <v>108</v>
      </c>
      <c r="B586" s="165">
        <v>45231</v>
      </c>
      <c r="C586" s="57" t="str">
        <f>IF($B586="","",YEAR($B586)&amp;"-"&amp;IFERROR(VLOOKUP(MONTH(B586),KEY!$AE$5:$AF$16,2,FALSE),""))</f>
        <v>2023-Q4</v>
      </c>
      <c r="D586" s="3" t="s">
        <v>142</v>
      </c>
      <c r="E586" s="219">
        <v>10</v>
      </c>
      <c r="F586" s="166">
        <v>47</v>
      </c>
      <c r="G586" s="166">
        <v>56</v>
      </c>
      <c r="H586" s="21">
        <v>154</v>
      </c>
      <c r="I586" s="21">
        <v>15</v>
      </c>
      <c r="J586" s="21">
        <v>35</v>
      </c>
      <c r="K586" s="21">
        <v>7</v>
      </c>
      <c r="L586" s="21">
        <v>78</v>
      </c>
      <c r="M586" s="21">
        <v>24</v>
      </c>
      <c r="N586" s="21">
        <v>48</v>
      </c>
      <c r="O586" s="19">
        <v>132</v>
      </c>
      <c r="P586" s="22">
        <v>19</v>
      </c>
      <c r="Q586" s="22">
        <v>14</v>
      </c>
      <c r="R586" s="20" t="s">
        <v>51</v>
      </c>
      <c r="S586" s="234">
        <f>COUNTIFS(INP_DATA!$R$5:$R$3027,S$4,INP_DATA!$D$5:$D$3027,$D586,INP_DATA!$B$5:$B$3027,$B586)</f>
        <v>0</v>
      </c>
      <c r="T586" s="235">
        <f>COUNTIFS(INP_DATA!$R$5:$R$3027,T$4,INP_DATA!$D$5:$D$3027,$D586,INP_DATA!$B$5:$B$3027,$B586)</f>
        <v>1</v>
      </c>
    </row>
    <row r="587" spans="1:20" x14ac:dyDescent="0.35">
      <c r="A587" s="3" t="s">
        <v>16</v>
      </c>
      <c r="B587" s="165">
        <v>45231</v>
      </c>
      <c r="C587" s="57" t="str">
        <f>IF($B587="","",YEAR($B587)&amp;"-"&amp;IFERROR(VLOOKUP(MONTH(B587),KEY!$AE$5:$AF$16,2,FALSE),""))</f>
        <v>2023-Q4</v>
      </c>
      <c r="D587" s="3" t="s">
        <v>143</v>
      </c>
      <c r="E587" s="219">
        <v>14</v>
      </c>
      <c r="F587" s="166">
        <v>63</v>
      </c>
      <c r="G587" s="166">
        <v>62</v>
      </c>
      <c r="H587" s="21">
        <v>128</v>
      </c>
      <c r="I587" s="21">
        <v>17</v>
      </c>
      <c r="J587" s="21">
        <v>55</v>
      </c>
      <c r="K587" s="21">
        <v>14</v>
      </c>
      <c r="L587" s="21">
        <v>144</v>
      </c>
      <c r="M587" s="21">
        <v>46</v>
      </c>
      <c r="N587" s="21">
        <v>64</v>
      </c>
      <c r="O587" s="19">
        <v>154</v>
      </c>
      <c r="P587" s="22">
        <v>13</v>
      </c>
      <c r="Q587" s="22">
        <v>6</v>
      </c>
      <c r="R587" s="20" t="s">
        <v>58</v>
      </c>
      <c r="S587" s="234">
        <f>COUNTIFS(INP_DATA!$R$5:$R$3027,S$4,INP_DATA!$D$5:$D$3027,$D587,INP_DATA!$B$5:$B$3027,$B587)</f>
        <v>1</v>
      </c>
      <c r="T587" s="235">
        <f>COUNTIFS(INP_DATA!$R$5:$R$3027,T$4,INP_DATA!$D$5:$D$3027,$D587,INP_DATA!$B$5:$B$3027,$B587)</f>
        <v>0</v>
      </c>
    </row>
    <row r="588" spans="1:20" x14ac:dyDescent="0.35">
      <c r="A588" s="3" t="s">
        <v>16</v>
      </c>
      <c r="B588" s="165">
        <v>45231</v>
      </c>
      <c r="C588" s="57" t="str">
        <f>IF($B588="","",YEAR($B588)&amp;"-"&amp;IFERROR(VLOOKUP(MONTH(B588),KEY!$AE$5:$AF$16,2,FALSE),""))</f>
        <v>2023-Q4</v>
      </c>
      <c r="D588" s="3" t="s">
        <v>144</v>
      </c>
      <c r="E588" s="219">
        <v>47</v>
      </c>
      <c r="F588" s="166">
        <v>186</v>
      </c>
      <c r="G588" s="166">
        <v>187</v>
      </c>
      <c r="H588" s="21">
        <v>228</v>
      </c>
      <c r="I588" s="21">
        <v>35</v>
      </c>
      <c r="J588" s="21">
        <v>95</v>
      </c>
      <c r="K588" s="21">
        <v>19</v>
      </c>
      <c r="L588" s="21">
        <v>302</v>
      </c>
      <c r="M588" s="21">
        <v>106</v>
      </c>
      <c r="N588" s="21">
        <v>188</v>
      </c>
      <c r="O588" s="19">
        <v>352</v>
      </c>
      <c r="P588" s="22">
        <v>22</v>
      </c>
      <c r="Q588" s="22">
        <v>19</v>
      </c>
      <c r="R588" s="20" t="s">
        <v>58</v>
      </c>
      <c r="S588" s="234">
        <f>COUNTIFS(INP_DATA!$R$5:$R$3027,S$4,INP_DATA!$D$5:$D$3027,$D588,INP_DATA!$B$5:$B$3027,$B588)</f>
        <v>1</v>
      </c>
      <c r="T588" s="235">
        <f>COUNTIFS(INP_DATA!$R$5:$R$3027,T$4,INP_DATA!$D$5:$D$3027,$D588,INP_DATA!$B$5:$B$3027,$B588)</f>
        <v>0</v>
      </c>
    </row>
    <row r="589" spans="1:20" x14ac:dyDescent="0.35">
      <c r="A589" s="3" t="s">
        <v>108</v>
      </c>
      <c r="B589" s="165">
        <v>45231</v>
      </c>
      <c r="C589" s="57" t="str">
        <f>IF($B589="","",YEAR($B589)&amp;"-"&amp;IFERROR(VLOOKUP(MONTH(B589),KEY!$AE$5:$AF$16,2,FALSE),""))</f>
        <v>2023-Q4</v>
      </c>
      <c r="D589" s="3" t="s">
        <v>145</v>
      </c>
      <c r="E589" s="219">
        <v>64</v>
      </c>
      <c r="F589" s="166">
        <v>136</v>
      </c>
      <c r="G589" s="166">
        <v>201</v>
      </c>
      <c r="H589" s="21">
        <v>216</v>
      </c>
      <c r="I589" s="21">
        <v>29</v>
      </c>
      <c r="J589" s="21">
        <v>128</v>
      </c>
      <c r="K589" s="21">
        <v>21</v>
      </c>
      <c r="L589" s="21">
        <v>319</v>
      </c>
      <c r="M589" s="21">
        <v>79</v>
      </c>
      <c r="N589" s="21">
        <v>136</v>
      </c>
      <c r="O589" s="19">
        <v>308</v>
      </c>
      <c r="P589" s="22">
        <v>41</v>
      </c>
      <c r="Q589" s="22">
        <v>25</v>
      </c>
      <c r="R589" s="20" t="s">
        <v>51</v>
      </c>
      <c r="S589" s="234">
        <f>COUNTIFS(INP_DATA!$R$5:$R$3027,S$4,INP_DATA!$D$5:$D$3027,$D589,INP_DATA!$B$5:$B$3027,$B589)</f>
        <v>0</v>
      </c>
      <c r="T589" s="235">
        <f>COUNTIFS(INP_DATA!$R$5:$R$3027,T$4,INP_DATA!$D$5:$D$3027,$D589,INP_DATA!$B$5:$B$3027,$B589)</f>
        <v>1</v>
      </c>
    </row>
    <row r="590" spans="1:20" x14ac:dyDescent="0.35">
      <c r="A590" s="3" t="s">
        <v>16</v>
      </c>
      <c r="B590" s="165">
        <v>45231</v>
      </c>
      <c r="C590" s="57" t="str">
        <f>IF($B590="","",YEAR($B590)&amp;"-"&amp;IFERROR(VLOOKUP(MONTH(B590),KEY!$AE$5:$AF$16,2,FALSE),""))</f>
        <v>2023-Q4</v>
      </c>
      <c r="D590" s="3" t="s">
        <v>146</v>
      </c>
      <c r="E590" s="219">
        <v>4</v>
      </c>
      <c r="F590" s="166">
        <v>34</v>
      </c>
      <c r="G590" s="166">
        <v>48</v>
      </c>
      <c r="H590" s="21">
        <v>109</v>
      </c>
      <c r="I590" s="21">
        <v>8</v>
      </c>
      <c r="J590" s="21">
        <v>39</v>
      </c>
      <c r="K590" s="21">
        <v>6</v>
      </c>
      <c r="L590" s="21">
        <v>52</v>
      </c>
      <c r="M590" s="21">
        <v>22</v>
      </c>
      <c r="N590" s="21">
        <v>34</v>
      </c>
      <c r="O590" s="19">
        <v>88</v>
      </c>
      <c r="P590" s="22">
        <v>7</v>
      </c>
      <c r="Q590" s="22">
        <v>2</v>
      </c>
      <c r="R590" s="20" t="s">
        <v>58</v>
      </c>
      <c r="S590" s="234">
        <f>COUNTIFS(INP_DATA!$R$5:$R$3027,S$4,INP_DATA!$D$5:$D$3027,$D590,INP_DATA!$B$5:$B$3027,$B590)</f>
        <v>1</v>
      </c>
      <c r="T590" s="235">
        <f>COUNTIFS(INP_DATA!$R$5:$R$3027,T$4,INP_DATA!$D$5:$D$3027,$D590,INP_DATA!$B$5:$B$3027,$B590)</f>
        <v>0</v>
      </c>
    </row>
    <row r="591" spans="1:20" x14ac:dyDescent="0.35">
      <c r="A591" s="3" t="s">
        <v>109</v>
      </c>
      <c r="B591" s="165">
        <v>45231</v>
      </c>
      <c r="C591" s="57" t="str">
        <f>IF($B591="","",YEAR($B591)&amp;"-"&amp;IFERROR(VLOOKUP(MONTH(B591),KEY!$AE$5:$AF$16,2,FALSE),""))</f>
        <v>2023-Q4</v>
      </c>
      <c r="D591" s="3" t="s">
        <v>147</v>
      </c>
      <c r="E591" s="219">
        <v>5</v>
      </c>
      <c r="F591" s="166">
        <v>38</v>
      </c>
      <c r="G591" s="166">
        <v>71</v>
      </c>
      <c r="H591" s="21">
        <v>90</v>
      </c>
      <c r="I591" s="21">
        <v>8</v>
      </c>
      <c r="J591" s="21">
        <v>40</v>
      </c>
      <c r="K591" s="21">
        <v>3</v>
      </c>
      <c r="L591" s="21">
        <v>55</v>
      </c>
      <c r="M591" s="21">
        <v>28</v>
      </c>
      <c r="N591" s="21">
        <v>38</v>
      </c>
      <c r="O591" s="19">
        <v>88</v>
      </c>
      <c r="P591" s="22">
        <v>7</v>
      </c>
      <c r="Q591" s="22">
        <v>5</v>
      </c>
      <c r="R591" s="20" t="s">
        <v>58</v>
      </c>
      <c r="S591" s="234">
        <f>COUNTIFS(INP_DATA!$R$5:$R$3027,S$4,INP_DATA!$D$5:$D$3027,$D591,INP_DATA!$B$5:$B$3027,$B591)</f>
        <v>1</v>
      </c>
      <c r="T591" s="235">
        <f>COUNTIFS(INP_DATA!$R$5:$R$3027,T$4,INP_DATA!$D$5:$D$3027,$D591,INP_DATA!$B$5:$B$3027,$B591)</f>
        <v>0</v>
      </c>
    </row>
    <row r="592" spans="1:20" x14ac:dyDescent="0.35">
      <c r="A592" s="3" t="s">
        <v>106</v>
      </c>
      <c r="B592" s="165">
        <v>45231</v>
      </c>
      <c r="C592" s="57" t="str">
        <f>IF($B592="","",YEAR($B592)&amp;"-"&amp;IFERROR(VLOOKUP(MONTH(B592),KEY!$AE$5:$AF$16,2,FALSE),""))</f>
        <v>2023-Q4</v>
      </c>
      <c r="D592" s="3" t="s">
        <v>148</v>
      </c>
      <c r="E592" s="219">
        <v>14</v>
      </c>
      <c r="F592" s="166">
        <v>35</v>
      </c>
      <c r="G592" s="166">
        <v>58</v>
      </c>
      <c r="H592" s="21">
        <v>122</v>
      </c>
      <c r="I592" s="21">
        <v>9</v>
      </c>
      <c r="J592" s="21">
        <v>56</v>
      </c>
      <c r="K592" s="21">
        <v>4</v>
      </c>
      <c r="L592" s="21">
        <v>89</v>
      </c>
      <c r="M592" s="21">
        <v>30</v>
      </c>
      <c r="N592" s="21">
        <v>35</v>
      </c>
      <c r="O592" s="19">
        <v>88</v>
      </c>
      <c r="P592" s="22">
        <v>9</v>
      </c>
      <c r="Q592" s="22">
        <v>6</v>
      </c>
      <c r="R592" s="20" t="s">
        <v>58</v>
      </c>
      <c r="S592" s="234">
        <f>COUNTIFS(INP_DATA!$R$5:$R$3027,S$4,INP_DATA!$D$5:$D$3027,$D592,INP_DATA!$B$5:$B$3027,$B592)</f>
        <v>1</v>
      </c>
      <c r="T592" s="235">
        <f>COUNTIFS(INP_DATA!$R$5:$R$3027,T$4,INP_DATA!$D$5:$D$3027,$D592,INP_DATA!$B$5:$B$3027,$B592)</f>
        <v>0</v>
      </c>
    </row>
    <row r="593" spans="1:20" x14ac:dyDescent="0.35">
      <c r="A593" s="3" t="s">
        <v>107</v>
      </c>
      <c r="B593" s="165">
        <v>45231</v>
      </c>
      <c r="C593" s="57" t="str">
        <f>IF($B593="","",YEAR($B593)&amp;"-"&amp;IFERROR(VLOOKUP(MONTH(B593),KEY!$AE$5:$AF$16,2,FALSE),""))</f>
        <v>2023-Q4</v>
      </c>
      <c r="D593" s="3" t="s">
        <v>149</v>
      </c>
      <c r="E593" s="219">
        <v>4</v>
      </c>
      <c r="F593" s="166">
        <v>25</v>
      </c>
      <c r="G593" s="166">
        <v>27</v>
      </c>
      <c r="H593" s="21">
        <v>77</v>
      </c>
      <c r="I593" s="21">
        <v>8</v>
      </c>
      <c r="J593" s="21">
        <v>32</v>
      </c>
      <c r="K593" s="21">
        <v>5</v>
      </c>
      <c r="L593" s="21">
        <v>35</v>
      </c>
      <c r="M593" s="21">
        <v>12</v>
      </c>
      <c r="N593" s="21">
        <v>26</v>
      </c>
      <c r="O593" s="19">
        <v>66</v>
      </c>
      <c r="P593" s="22">
        <v>3</v>
      </c>
      <c r="Q593" s="22">
        <v>2</v>
      </c>
      <c r="R593" s="20" t="s">
        <v>58</v>
      </c>
      <c r="S593" s="234">
        <f>COUNTIFS(INP_DATA!$R$5:$R$3027,S$4,INP_DATA!$D$5:$D$3027,$D593,INP_DATA!$B$5:$B$3027,$B593)</f>
        <v>1</v>
      </c>
      <c r="T593" s="235">
        <f>COUNTIFS(INP_DATA!$R$5:$R$3027,T$4,INP_DATA!$D$5:$D$3027,$D593,INP_DATA!$B$5:$B$3027,$B593)</f>
        <v>0</v>
      </c>
    </row>
    <row r="594" spans="1:20" x14ac:dyDescent="0.35">
      <c r="A594" s="3" t="s">
        <v>108</v>
      </c>
      <c r="B594" s="165">
        <v>45231</v>
      </c>
      <c r="C594" s="57" t="str">
        <f>IF($B594="","",YEAR($B594)&amp;"-"&amp;IFERROR(VLOOKUP(MONTH(B594),KEY!$AE$5:$AF$16,2,FALSE),""))</f>
        <v>2023-Q4</v>
      </c>
      <c r="D594" s="3" t="s">
        <v>150</v>
      </c>
      <c r="E594" s="219">
        <v>4</v>
      </c>
      <c r="F594" s="166">
        <v>37</v>
      </c>
      <c r="G594" s="166">
        <v>59</v>
      </c>
      <c r="H594" s="21">
        <v>61</v>
      </c>
      <c r="I594" s="21">
        <v>10</v>
      </c>
      <c r="J594" s="21">
        <v>12</v>
      </c>
      <c r="K594" s="21">
        <v>3</v>
      </c>
      <c r="L594" s="21">
        <v>60</v>
      </c>
      <c r="M594" s="21">
        <v>26</v>
      </c>
      <c r="N594" s="21">
        <v>37</v>
      </c>
      <c r="O594" s="19">
        <v>66</v>
      </c>
      <c r="P594" s="22">
        <v>10</v>
      </c>
      <c r="Q594" s="22">
        <v>6</v>
      </c>
      <c r="R594" s="20" t="s">
        <v>58</v>
      </c>
      <c r="S594" s="234">
        <f>COUNTIFS(INP_DATA!$R$5:$R$3027,S$4,INP_DATA!$D$5:$D$3027,$D594,INP_DATA!$B$5:$B$3027,$B594)</f>
        <v>1</v>
      </c>
      <c r="T594" s="235">
        <f>COUNTIFS(INP_DATA!$R$5:$R$3027,T$4,INP_DATA!$D$5:$D$3027,$D594,INP_DATA!$B$5:$B$3027,$B594)</f>
        <v>0</v>
      </c>
    </row>
    <row r="595" spans="1:20" x14ac:dyDescent="0.35">
      <c r="A595" s="3" t="s">
        <v>16</v>
      </c>
      <c r="B595" s="165">
        <v>45231</v>
      </c>
      <c r="C595" s="57" t="str">
        <f>IF($B595="","",YEAR($B595)&amp;"-"&amp;IFERROR(VLOOKUP(MONTH(B595),KEY!$AE$5:$AF$16,2,FALSE),""))</f>
        <v>2023-Q4</v>
      </c>
      <c r="D595" s="3" t="s">
        <v>151</v>
      </c>
      <c r="E595" s="219">
        <v>6</v>
      </c>
      <c r="F595" s="166">
        <v>30</v>
      </c>
      <c r="G595" s="166">
        <v>34</v>
      </c>
      <c r="H595" s="21">
        <v>91</v>
      </c>
      <c r="I595" s="21">
        <v>8</v>
      </c>
      <c r="J595" s="21">
        <v>18</v>
      </c>
      <c r="K595" s="21">
        <v>4</v>
      </c>
      <c r="L595" s="21">
        <v>50</v>
      </c>
      <c r="M595" s="21">
        <v>18</v>
      </c>
      <c r="N595" s="21">
        <v>30</v>
      </c>
      <c r="O595" s="19">
        <v>88</v>
      </c>
      <c r="P595" s="22">
        <v>4</v>
      </c>
      <c r="Q595" s="22">
        <v>2</v>
      </c>
      <c r="R595" s="20" t="s">
        <v>58</v>
      </c>
      <c r="S595" s="234">
        <f>COUNTIFS(INP_DATA!$R$5:$R$3027,S$4,INP_DATA!$D$5:$D$3027,$D595,INP_DATA!$B$5:$B$3027,$B595)</f>
        <v>1</v>
      </c>
      <c r="T595" s="235">
        <f>COUNTIFS(INP_DATA!$R$5:$R$3027,T$4,INP_DATA!$D$5:$D$3027,$D595,INP_DATA!$B$5:$B$3027,$B595)</f>
        <v>0</v>
      </c>
    </row>
    <row r="596" spans="1:20" x14ac:dyDescent="0.35">
      <c r="A596" s="3" t="s">
        <v>106</v>
      </c>
      <c r="B596" s="165">
        <v>45231</v>
      </c>
      <c r="C596" s="57" t="str">
        <f>IF($B596="","",YEAR($B596)&amp;"-"&amp;IFERROR(VLOOKUP(MONTH(B596),KEY!$AE$5:$AF$16,2,FALSE),""))</f>
        <v>2023-Q4</v>
      </c>
      <c r="D596" s="3" t="s">
        <v>152</v>
      </c>
      <c r="E596" s="219">
        <v>45</v>
      </c>
      <c r="F596" s="166">
        <v>226</v>
      </c>
      <c r="G596" s="166">
        <v>228</v>
      </c>
      <c r="H596" s="21">
        <v>494</v>
      </c>
      <c r="I596" s="21">
        <v>88</v>
      </c>
      <c r="J596" s="21">
        <v>118</v>
      </c>
      <c r="K596" s="21">
        <v>33</v>
      </c>
      <c r="L596" s="21">
        <v>396</v>
      </c>
      <c r="M596" s="21">
        <v>194</v>
      </c>
      <c r="N596" s="21">
        <v>225</v>
      </c>
      <c r="O596" s="19">
        <v>286</v>
      </c>
      <c r="P596" s="22">
        <v>54</v>
      </c>
      <c r="Q596" s="22">
        <v>39</v>
      </c>
      <c r="R596" s="20" t="s">
        <v>58</v>
      </c>
      <c r="S596" s="234">
        <f>COUNTIFS(INP_DATA!$R$5:$R$3027,S$4,INP_DATA!$D$5:$D$3027,$D596,INP_DATA!$B$5:$B$3027,$B596)</f>
        <v>1</v>
      </c>
      <c r="T596" s="235">
        <f>COUNTIFS(INP_DATA!$R$5:$R$3027,T$4,INP_DATA!$D$5:$D$3027,$D596,INP_DATA!$B$5:$B$3027,$B596)</f>
        <v>0</v>
      </c>
    </row>
    <row r="597" spans="1:20" x14ac:dyDescent="0.35">
      <c r="A597" s="3" t="s">
        <v>16</v>
      </c>
      <c r="B597" s="165">
        <v>45231</v>
      </c>
      <c r="C597" s="57" t="str">
        <f>IF($B597="","",YEAR($B597)&amp;"-"&amp;IFERROR(VLOOKUP(MONTH(B597),KEY!$AE$5:$AF$16,2,FALSE),""))</f>
        <v>2023-Q4</v>
      </c>
      <c r="D597" s="3" t="s">
        <v>153</v>
      </c>
      <c r="E597" s="219">
        <v>37</v>
      </c>
      <c r="F597" s="166">
        <v>97</v>
      </c>
      <c r="G597" s="166">
        <v>101</v>
      </c>
      <c r="H597" s="21">
        <v>237</v>
      </c>
      <c r="I597" s="21">
        <v>15</v>
      </c>
      <c r="J597" s="21">
        <v>110</v>
      </c>
      <c r="K597" s="21">
        <v>9</v>
      </c>
      <c r="L597" s="21">
        <v>352</v>
      </c>
      <c r="M597" s="21">
        <v>61</v>
      </c>
      <c r="N597" s="21">
        <v>97</v>
      </c>
      <c r="O597" s="19">
        <v>286</v>
      </c>
      <c r="P597" s="22">
        <v>10</v>
      </c>
      <c r="Q597" s="22">
        <v>6</v>
      </c>
      <c r="R597" s="20" t="s">
        <v>194</v>
      </c>
      <c r="S597" s="234">
        <f>COUNTIFS(INP_DATA!$R$5:$R$3027,S$4,INP_DATA!$D$5:$D$3027,$D597,INP_DATA!$B$5:$B$3027,$B597)</f>
        <v>0</v>
      </c>
      <c r="T597" s="235">
        <f>COUNTIFS(INP_DATA!$R$5:$R$3027,T$4,INP_DATA!$D$5:$D$3027,$D597,INP_DATA!$B$5:$B$3027,$B597)</f>
        <v>0</v>
      </c>
    </row>
    <row r="598" spans="1:20" x14ac:dyDescent="0.35">
      <c r="A598" s="3" t="s">
        <v>106</v>
      </c>
      <c r="B598" s="165">
        <v>45231</v>
      </c>
      <c r="C598" s="57" t="str">
        <f>IF($B598="","",YEAR($B598)&amp;"-"&amp;IFERROR(VLOOKUP(MONTH(B598),KEY!$AE$5:$AF$16,2,FALSE),""))</f>
        <v>2023-Q4</v>
      </c>
      <c r="D598" s="3" t="s">
        <v>154</v>
      </c>
      <c r="E598" s="219">
        <v>23</v>
      </c>
      <c r="F598" s="166">
        <v>80</v>
      </c>
      <c r="G598" s="166">
        <v>69</v>
      </c>
      <c r="H598" s="21">
        <v>206</v>
      </c>
      <c r="I598" s="21">
        <v>27</v>
      </c>
      <c r="J598" s="21">
        <v>124</v>
      </c>
      <c r="K598" s="21">
        <v>11</v>
      </c>
      <c r="L598" s="21">
        <v>172</v>
      </c>
      <c r="M598" s="21">
        <v>48</v>
      </c>
      <c r="N598" s="21">
        <v>79</v>
      </c>
      <c r="O598" s="19">
        <v>132</v>
      </c>
      <c r="P598" s="22">
        <v>11</v>
      </c>
      <c r="Q598" s="22">
        <v>7</v>
      </c>
      <c r="R598" s="20" t="s">
        <v>194</v>
      </c>
      <c r="S598" s="234">
        <f>COUNTIFS(INP_DATA!$R$5:$R$3027,S$4,INP_DATA!$D$5:$D$3027,$D598,INP_DATA!$B$5:$B$3027,$B598)</f>
        <v>0</v>
      </c>
      <c r="T598" s="235">
        <f>COUNTIFS(INP_DATA!$R$5:$R$3027,T$4,INP_DATA!$D$5:$D$3027,$D598,INP_DATA!$B$5:$B$3027,$B598)</f>
        <v>0</v>
      </c>
    </row>
    <row r="599" spans="1:20" x14ac:dyDescent="0.35">
      <c r="A599" s="3" t="s">
        <v>109</v>
      </c>
      <c r="B599" s="165">
        <v>45231</v>
      </c>
      <c r="C599" s="57" t="str">
        <f>IF($B599="","",YEAR($B599)&amp;"-"&amp;IFERROR(VLOOKUP(MONTH(B599),KEY!$AE$5:$AF$16,2,FALSE),""))</f>
        <v>2023-Q4</v>
      </c>
      <c r="D599" s="3" t="s">
        <v>155</v>
      </c>
      <c r="E599" s="219">
        <v>79</v>
      </c>
      <c r="F599" s="166">
        <v>319</v>
      </c>
      <c r="G599" s="166">
        <v>274</v>
      </c>
      <c r="H599" s="21">
        <v>751</v>
      </c>
      <c r="I599" s="21">
        <v>82</v>
      </c>
      <c r="J599" s="21">
        <v>254</v>
      </c>
      <c r="K599" s="21">
        <v>50</v>
      </c>
      <c r="L599" s="21">
        <v>445</v>
      </c>
      <c r="M599" s="21">
        <v>187</v>
      </c>
      <c r="N599" s="21">
        <v>320</v>
      </c>
      <c r="O599" s="19">
        <v>506</v>
      </c>
      <c r="P599" s="22">
        <v>32</v>
      </c>
      <c r="Q599" s="22">
        <v>20</v>
      </c>
      <c r="R599" s="20" t="s">
        <v>51</v>
      </c>
      <c r="S599" s="234">
        <f>COUNTIFS(INP_DATA!$R$5:$R$3027,S$4,INP_DATA!$D$5:$D$3027,$D599,INP_DATA!$B$5:$B$3027,$B599)</f>
        <v>0</v>
      </c>
      <c r="T599" s="235">
        <f>COUNTIFS(INP_DATA!$R$5:$R$3027,T$4,INP_DATA!$D$5:$D$3027,$D599,INP_DATA!$B$5:$B$3027,$B599)</f>
        <v>1</v>
      </c>
    </row>
    <row r="600" spans="1:20" x14ac:dyDescent="0.35">
      <c r="A600" s="3" t="s">
        <v>109</v>
      </c>
      <c r="B600" s="165">
        <v>45231</v>
      </c>
      <c r="C600" s="57" t="str">
        <f>IF($B600="","",YEAR($B600)&amp;"-"&amp;IFERROR(VLOOKUP(MONTH(B600),KEY!$AE$5:$AF$16,2,FALSE),""))</f>
        <v>2023-Q4</v>
      </c>
      <c r="D600" s="3" t="s">
        <v>156</v>
      </c>
      <c r="E600" s="219">
        <v>83</v>
      </c>
      <c r="F600" s="166">
        <v>288</v>
      </c>
      <c r="G600" s="166">
        <v>307</v>
      </c>
      <c r="H600" s="21">
        <v>530</v>
      </c>
      <c r="I600" s="21">
        <v>90</v>
      </c>
      <c r="J600" s="21">
        <v>229</v>
      </c>
      <c r="K600" s="21">
        <v>35</v>
      </c>
      <c r="L600" s="21">
        <v>504</v>
      </c>
      <c r="M600" s="21">
        <v>154</v>
      </c>
      <c r="N600" s="21">
        <v>291</v>
      </c>
      <c r="O600" s="19">
        <v>440</v>
      </c>
      <c r="P600" s="22">
        <v>7</v>
      </c>
      <c r="Q600" s="22">
        <v>1</v>
      </c>
      <c r="R600" s="20" t="s">
        <v>51</v>
      </c>
      <c r="S600" s="234">
        <f>COUNTIFS(INP_DATA!$R$5:$R$3027,S$4,INP_DATA!$D$5:$D$3027,$D600,INP_DATA!$B$5:$B$3027,$B600)</f>
        <v>0</v>
      </c>
      <c r="T600" s="235">
        <f>COUNTIFS(INP_DATA!$R$5:$R$3027,T$4,INP_DATA!$D$5:$D$3027,$D600,INP_DATA!$B$5:$B$3027,$B600)</f>
        <v>1</v>
      </c>
    </row>
    <row r="601" spans="1:20" x14ac:dyDescent="0.35">
      <c r="A601" s="3" t="s">
        <v>109</v>
      </c>
      <c r="B601" s="165">
        <v>45231</v>
      </c>
      <c r="C601" s="57" t="str">
        <f>IF($B601="","",YEAR($B601)&amp;"-"&amp;IFERROR(VLOOKUP(MONTH(B601),KEY!$AE$5:$AF$16,2,FALSE),""))</f>
        <v>2023-Q4</v>
      </c>
      <c r="D601" s="3" t="s">
        <v>157</v>
      </c>
      <c r="E601" s="219">
        <v>2</v>
      </c>
      <c r="F601" s="166">
        <v>351</v>
      </c>
      <c r="G601" s="166">
        <v>226</v>
      </c>
      <c r="H601" s="21">
        <v>849</v>
      </c>
      <c r="I601" s="21">
        <v>69</v>
      </c>
      <c r="J601" s="21">
        <v>442</v>
      </c>
      <c r="K601" s="21">
        <v>60</v>
      </c>
      <c r="L601" s="21">
        <v>701</v>
      </c>
      <c r="M601" s="21">
        <v>147</v>
      </c>
      <c r="N601" s="21">
        <v>367</v>
      </c>
      <c r="O601" s="19">
        <v>484</v>
      </c>
      <c r="P601" s="22">
        <v>14</v>
      </c>
      <c r="Q601" s="22">
        <v>9</v>
      </c>
      <c r="R601" s="20" t="s">
        <v>51</v>
      </c>
      <c r="S601" s="234">
        <f>COUNTIFS(INP_DATA!$R$5:$R$3027,S$4,INP_DATA!$D$5:$D$3027,$D601,INP_DATA!$B$5:$B$3027,$B601)</f>
        <v>0</v>
      </c>
      <c r="T601" s="235">
        <f>COUNTIFS(INP_DATA!$R$5:$R$3027,T$4,INP_DATA!$D$5:$D$3027,$D601,INP_DATA!$B$5:$B$3027,$B601)</f>
        <v>1</v>
      </c>
    </row>
    <row r="602" spans="1:20" x14ac:dyDescent="0.35">
      <c r="A602" s="3" t="s">
        <v>16</v>
      </c>
      <c r="B602" s="165">
        <v>45231</v>
      </c>
      <c r="C602" s="57" t="str">
        <f>IF($B602="","",YEAR($B602)&amp;"-"&amp;IFERROR(VLOOKUP(MONTH(B602),KEY!$AE$5:$AF$16,2,FALSE),""))</f>
        <v>2023-Q4</v>
      </c>
      <c r="D602" s="3" t="s">
        <v>158</v>
      </c>
      <c r="E602" s="219">
        <v>5</v>
      </c>
      <c r="F602" s="166">
        <v>33</v>
      </c>
      <c r="G602" s="166">
        <v>24</v>
      </c>
      <c r="H602" s="21">
        <v>146</v>
      </c>
      <c r="I602" s="21">
        <v>8</v>
      </c>
      <c r="J602" s="21">
        <v>44</v>
      </c>
      <c r="K602" s="21">
        <v>2</v>
      </c>
      <c r="L602" s="21">
        <v>57</v>
      </c>
      <c r="M602" s="21">
        <v>11</v>
      </c>
      <c r="N602" s="21">
        <v>33</v>
      </c>
      <c r="O602" s="19">
        <v>132</v>
      </c>
      <c r="P602" s="22">
        <v>7</v>
      </c>
      <c r="Q602" s="22">
        <v>0</v>
      </c>
      <c r="R602" s="20" t="s">
        <v>194</v>
      </c>
      <c r="S602" s="234">
        <f>COUNTIFS(INP_DATA!$R$5:$R$3027,S$4,INP_DATA!$D$5:$D$3027,$D602,INP_DATA!$B$5:$B$3027,$B602)</f>
        <v>0</v>
      </c>
      <c r="T602" s="235">
        <f>COUNTIFS(INP_DATA!$R$5:$R$3027,T$4,INP_DATA!$D$5:$D$3027,$D602,INP_DATA!$B$5:$B$3027,$B602)</f>
        <v>0</v>
      </c>
    </row>
    <row r="603" spans="1:20" x14ac:dyDescent="0.35">
      <c r="A603" s="3" t="s">
        <v>107</v>
      </c>
      <c r="B603" s="165">
        <v>45231</v>
      </c>
      <c r="C603" s="57" t="str">
        <f>IF($B603="","",YEAR($B603)&amp;"-"&amp;IFERROR(VLOOKUP(MONTH(B603),KEY!$AE$5:$AF$16,2,FALSE),""))</f>
        <v>2023-Q4</v>
      </c>
      <c r="D603" s="3" t="s">
        <v>159</v>
      </c>
      <c r="E603" s="219">
        <v>24</v>
      </c>
      <c r="F603" s="166">
        <v>103</v>
      </c>
      <c r="G603" s="166">
        <v>99</v>
      </c>
      <c r="H603" s="21">
        <v>198</v>
      </c>
      <c r="I603" s="21">
        <v>34</v>
      </c>
      <c r="J603" s="21">
        <v>68</v>
      </c>
      <c r="K603" s="21">
        <v>19</v>
      </c>
      <c r="L603" s="21">
        <v>172</v>
      </c>
      <c r="M603" s="21">
        <v>72</v>
      </c>
      <c r="N603" s="21">
        <v>115</v>
      </c>
      <c r="O603" s="19">
        <v>176</v>
      </c>
      <c r="P603" s="22">
        <v>35</v>
      </c>
      <c r="Q603" s="22">
        <v>29</v>
      </c>
      <c r="R603" s="20" t="s">
        <v>194</v>
      </c>
      <c r="S603" s="234">
        <f>COUNTIFS(INP_DATA!$R$5:$R$3027,S$4,INP_DATA!$D$5:$D$3027,$D603,INP_DATA!$B$5:$B$3027,$B603)</f>
        <v>0</v>
      </c>
      <c r="T603" s="235">
        <f>COUNTIFS(INP_DATA!$R$5:$R$3027,T$4,INP_DATA!$D$5:$D$3027,$D603,INP_DATA!$B$5:$B$3027,$B603)</f>
        <v>0</v>
      </c>
    </row>
    <row r="604" spans="1:20" x14ac:dyDescent="0.35">
      <c r="A604" s="3" t="s">
        <v>16</v>
      </c>
      <c r="B604" s="165">
        <v>45231</v>
      </c>
      <c r="C604" s="57" t="str">
        <f>IF($B604="","",YEAR($B604)&amp;"-"&amp;IFERROR(VLOOKUP(MONTH(B604),KEY!$AE$5:$AF$16,2,FALSE),""))</f>
        <v>2023-Q4</v>
      </c>
      <c r="D604" s="3" t="s">
        <v>160</v>
      </c>
      <c r="E604" s="219">
        <v>96</v>
      </c>
      <c r="F604" s="166">
        <v>326</v>
      </c>
      <c r="G604" s="166">
        <v>292</v>
      </c>
      <c r="H604" s="21">
        <v>536</v>
      </c>
      <c r="I604" s="21">
        <v>92</v>
      </c>
      <c r="J604" s="21">
        <v>157</v>
      </c>
      <c r="K604" s="21">
        <v>29</v>
      </c>
      <c r="L604" s="21">
        <v>399</v>
      </c>
      <c r="M604" s="21">
        <v>185</v>
      </c>
      <c r="N604" s="21">
        <v>327</v>
      </c>
      <c r="O604" s="19">
        <v>528</v>
      </c>
      <c r="P604" s="22">
        <v>33</v>
      </c>
      <c r="Q604" s="22">
        <v>23</v>
      </c>
      <c r="R604" s="20" t="s">
        <v>51</v>
      </c>
      <c r="S604" s="234">
        <f>COUNTIFS(INP_DATA!$R$5:$R$3027,S$4,INP_DATA!$D$5:$D$3027,$D604,INP_DATA!$B$5:$B$3027,$B604)</f>
        <v>0</v>
      </c>
      <c r="T604" s="235">
        <f>COUNTIFS(INP_DATA!$R$5:$R$3027,T$4,INP_DATA!$D$5:$D$3027,$D604,INP_DATA!$B$5:$B$3027,$B604)</f>
        <v>1</v>
      </c>
    </row>
    <row r="605" spans="1:20" x14ac:dyDescent="0.35">
      <c r="A605" s="3" t="s">
        <v>106</v>
      </c>
      <c r="B605" s="165">
        <v>45231</v>
      </c>
      <c r="C605" s="57" t="str">
        <f>IF($B605="","",YEAR($B605)&amp;"-"&amp;IFERROR(VLOOKUP(MONTH(B605),KEY!$AE$5:$AF$16,2,FALSE),""))</f>
        <v>2023-Q4</v>
      </c>
      <c r="D605" s="3" t="s">
        <v>161</v>
      </c>
      <c r="E605" s="219">
        <v>26</v>
      </c>
      <c r="F605" s="166">
        <v>313</v>
      </c>
      <c r="G605" s="166">
        <v>224</v>
      </c>
      <c r="H605" s="21">
        <v>676</v>
      </c>
      <c r="I605" s="21">
        <v>123</v>
      </c>
      <c r="J605" s="21">
        <v>226</v>
      </c>
      <c r="K605" s="21">
        <v>48</v>
      </c>
      <c r="L605" s="21">
        <v>351</v>
      </c>
      <c r="M605" s="21">
        <v>113</v>
      </c>
      <c r="N605" s="21">
        <v>315</v>
      </c>
      <c r="O605" s="19">
        <v>440</v>
      </c>
      <c r="P605" s="22">
        <v>18</v>
      </c>
      <c r="Q605" s="22">
        <v>12</v>
      </c>
      <c r="R605" s="20" t="s">
        <v>51</v>
      </c>
      <c r="S605" s="234">
        <f>COUNTIFS(INP_DATA!$R$5:$R$3027,S$4,INP_DATA!$D$5:$D$3027,$D605,INP_DATA!$B$5:$B$3027,$B605)</f>
        <v>0</v>
      </c>
      <c r="T605" s="235">
        <f>COUNTIFS(INP_DATA!$R$5:$R$3027,T$4,INP_DATA!$D$5:$D$3027,$D605,INP_DATA!$B$5:$B$3027,$B605)</f>
        <v>1</v>
      </c>
    </row>
    <row r="606" spans="1:20" x14ac:dyDescent="0.35">
      <c r="A606" s="3" t="s">
        <v>109</v>
      </c>
      <c r="B606" s="165">
        <v>45231</v>
      </c>
      <c r="C606" s="57" t="str">
        <f>IF($B606="","",YEAR($B606)&amp;"-"&amp;IFERROR(VLOOKUP(MONTH(B606),KEY!$AE$5:$AF$16,2,FALSE),""))</f>
        <v>2023-Q4</v>
      </c>
      <c r="D606" s="3" t="s">
        <v>162</v>
      </c>
      <c r="E606" s="219">
        <v>76</v>
      </c>
      <c r="F606" s="166">
        <v>430</v>
      </c>
      <c r="G606" s="166">
        <v>435</v>
      </c>
      <c r="H606" s="21">
        <v>627</v>
      </c>
      <c r="I606" s="21">
        <v>87</v>
      </c>
      <c r="J606" s="21">
        <v>448</v>
      </c>
      <c r="K606" s="21">
        <v>100</v>
      </c>
      <c r="L606" s="21">
        <v>697</v>
      </c>
      <c r="M606" s="21">
        <v>153</v>
      </c>
      <c r="N606" s="21">
        <v>432</v>
      </c>
      <c r="O606" s="19">
        <v>638</v>
      </c>
      <c r="P606" s="22">
        <v>27</v>
      </c>
      <c r="Q606" s="22">
        <v>24</v>
      </c>
      <c r="R606" s="20" t="s">
        <v>58</v>
      </c>
      <c r="S606" s="234">
        <f>COUNTIFS(INP_DATA!$R$5:$R$3027,S$4,INP_DATA!$D$5:$D$3027,$D606,INP_DATA!$B$5:$B$3027,$B606)</f>
        <v>1</v>
      </c>
      <c r="T606" s="235">
        <f>COUNTIFS(INP_DATA!$R$5:$R$3027,T$4,INP_DATA!$D$5:$D$3027,$D606,INP_DATA!$B$5:$B$3027,$B606)</f>
        <v>0</v>
      </c>
    </row>
    <row r="607" spans="1:20" x14ac:dyDescent="0.35">
      <c r="A607" s="3" t="s">
        <v>16</v>
      </c>
      <c r="B607" s="165">
        <v>45231</v>
      </c>
      <c r="C607" s="57" t="str">
        <f>IF($B607="","",YEAR($B607)&amp;"-"&amp;IFERROR(VLOOKUP(MONTH(B607),KEY!$AE$5:$AF$16,2,FALSE),""))</f>
        <v>2023-Q4</v>
      </c>
      <c r="D607" s="3" t="s">
        <v>163</v>
      </c>
      <c r="E607" s="219">
        <v>57</v>
      </c>
      <c r="F607" s="166">
        <v>235</v>
      </c>
      <c r="G607" s="166">
        <v>255</v>
      </c>
      <c r="H607" s="21">
        <v>258</v>
      </c>
      <c r="I607" s="21">
        <v>52</v>
      </c>
      <c r="J607" s="21">
        <v>114</v>
      </c>
      <c r="K607" s="21">
        <v>38</v>
      </c>
      <c r="L607" s="21">
        <v>301</v>
      </c>
      <c r="M607" s="21">
        <v>136</v>
      </c>
      <c r="N607" s="21">
        <v>235</v>
      </c>
      <c r="O607" s="19">
        <v>374</v>
      </c>
      <c r="P607" s="22">
        <v>11</v>
      </c>
      <c r="Q607" s="22">
        <v>7</v>
      </c>
      <c r="R607" s="20" t="s">
        <v>58</v>
      </c>
      <c r="S607" s="234">
        <f>COUNTIFS(INP_DATA!$R$5:$R$3027,S$4,INP_DATA!$D$5:$D$3027,$D607,INP_DATA!$B$5:$B$3027,$B607)</f>
        <v>1</v>
      </c>
      <c r="T607" s="235">
        <f>COUNTIFS(INP_DATA!$R$5:$R$3027,T$4,INP_DATA!$D$5:$D$3027,$D607,INP_DATA!$B$5:$B$3027,$B607)</f>
        <v>0</v>
      </c>
    </row>
    <row r="608" spans="1:20" x14ac:dyDescent="0.35">
      <c r="A608" s="3" t="s">
        <v>16</v>
      </c>
      <c r="B608" s="165">
        <v>45231</v>
      </c>
      <c r="C608" s="57" t="str">
        <f>IF($B608="","",YEAR($B608)&amp;"-"&amp;IFERROR(VLOOKUP(MONTH(B608),KEY!$AE$5:$AF$16,2,FALSE),""))</f>
        <v>2023-Q4</v>
      </c>
      <c r="D608" s="3" t="s">
        <v>164</v>
      </c>
      <c r="E608" s="219">
        <v>8</v>
      </c>
      <c r="F608" s="166">
        <v>86</v>
      </c>
      <c r="G608" s="166">
        <v>84</v>
      </c>
      <c r="H608" s="21">
        <v>246</v>
      </c>
      <c r="I608" s="21">
        <v>22</v>
      </c>
      <c r="J608" s="21">
        <v>94</v>
      </c>
      <c r="K608" s="21">
        <v>13</v>
      </c>
      <c r="L608" s="21">
        <v>121</v>
      </c>
      <c r="M608" s="21">
        <v>54</v>
      </c>
      <c r="N608" s="21">
        <v>88</v>
      </c>
      <c r="O608" s="19">
        <v>198</v>
      </c>
      <c r="P608" s="22">
        <v>13</v>
      </c>
      <c r="Q608" s="22">
        <v>8</v>
      </c>
      <c r="R608" s="20" t="s">
        <v>194</v>
      </c>
      <c r="S608" s="234">
        <f>COUNTIFS(INP_DATA!$R$5:$R$3027,S$4,INP_DATA!$D$5:$D$3027,$D608,INP_DATA!$B$5:$B$3027,$B608)</f>
        <v>0</v>
      </c>
      <c r="T608" s="235">
        <f>COUNTIFS(INP_DATA!$R$5:$R$3027,T$4,INP_DATA!$D$5:$D$3027,$D608,INP_DATA!$B$5:$B$3027,$B608)</f>
        <v>0</v>
      </c>
    </row>
    <row r="609" spans="1:20" x14ac:dyDescent="0.35">
      <c r="A609" s="3" t="s">
        <v>107</v>
      </c>
      <c r="B609" s="165">
        <v>45231</v>
      </c>
      <c r="C609" s="57" t="str">
        <f>IF($B609="","",YEAR($B609)&amp;"-"&amp;IFERROR(VLOOKUP(MONTH(B609),KEY!$AE$5:$AF$16,2,FALSE),""))</f>
        <v>2023-Q4</v>
      </c>
      <c r="D609" s="3" t="s">
        <v>165</v>
      </c>
      <c r="E609" s="219">
        <v>13</v>
      </c>
      <c r="F609" s="166">
        <v>82</v>
      </c>
      <c r="G609" s="166">
        <v>95</v>
      </c>
      <c r="H609" s="21">
        <v>255</v>
      </c>
      <c r="I609" s="21">
        <v>29</v>
      </c>
      <c r="J609" s="21">
        <v>37</v>
      </c>
      <c r="K609" s="21">
        <v>9</v>
      </c>
      <c r="L609" s="21">
        <v>111</v>
      </c>
      <c r="M609" s="21">
        <v>41</v>
      </c>
      <c r="N609" s="21">
        <v>81</v>
      </c>
      <c r="O609" s="19">
        <v>176</v>
      </c>
      <c r="P609" s="22">
        <v>18</v>
      </c>
      <c r="Q609" s="22">
        <v>9</v>
      </c>
      <c r="R609" s="20" t="s">
        <v>58</v>
      </c>
      <c r="S609" s="234">
        <f>COUNTIFS(INP_DATA!$R$5:$R$3027,S$4,INP_DATA!$D$5:$D$3027,$D609,INP_DATA!$B$5:$B$3027,$B609)</f>
        <v>1</v>
      </c>
      <c r="T609" s="235">
        <f>COUNTIFS(INP_DATA!$R$5:$R$3027,T$4,INP_DATA!$D$5:$D$3027,$D609,INP_DATA!$B$5:$B$3027,$B609)</f>
        <v>0</v>
      </c>
    </row>
    <row r="610" spans="1:20" x14ac:dyDescent="0.35">
      <c r="A610" s="3" t="s">
        <v>16</v>
      </c>
      <c r="B610" s="165">
        <v>45261</v>
      </c>
      <c r="C610" s="57" t="str">
        <f>IF($B610="","",YEAR($B610)&amp;"-"&amp;IFERROR(VLOOKUP(MONTH(B610),KEY!$AE$5:$AF$16,2,FALSE),""))</f>
        <v>2023-Q4</v>
      </c>
      <c r="D610" s="3" t="s">
        <v>111</v>
      </c>
      <c r="E610" s="219">
        <v>17</v>
      </c>
      <c r="F610" s="166">
        <v>79</v>
      </c>
      <c r="G610" s="166">
        <v>60</v>
      </c>
      <c r="H610" s="21">
        <v>139</v>
      </c>
      <c r="I610" s="21">
        <v>19</v>
      </c>
      <c r="J610" s="21">
        <v>61</v>
      </c>
      <c r="K610" s="21">
        <v>9</v>
      </c>
      <c r="L610" s="21">
        <v>164</v>
      </c>
      <c r="M610" s="21">
        <v>47</v>
      </c>
      <c r="N610" s="21">
        <v>85</v>
      </c>
      <c r="O610" s="19">
        <v>207</v>
      </c>
      <c r="P610" s="22">
        <v>19</v>
      </c>
      <c r="Q610" s="22">
        <v>10</v>
      </c>
      <c r="R610" s="20" t="s">
        <v>58</v>
      </c>
      <c r="S610" s="234">
        <f>COUNTIFS(INP_DATA!$R$5:$R$3027,S$4,INP_DATA!$D$5:$D$3027,$D610,INP_DATA!$B$5:$B$3027,$B610)</f>
        <v>1</v>
      </c>
      <c r="T610" s="235">
        <f>COUNTIFS(INP_DATA!$R$5:$R$3027,T$4,INP_DATA!$D$5:$D$3027,$D610,INP_DATA!$B$5:$B$3027,$B610)</f>
        <v>0</v>
      </c>
    </row>
    <row r="611" spans="1:20" x14ac:dyDescent="0.35">
      <c r="A611" s="3" t="s">
        <v>108</v>
      </c>
      <c r="B611" s="165">
        <v>45261</v>
      </c>
      <c r="C611" s="57" t="str">
        <f>IF($B611="","",YEAR($B611)&amp;"-"&amp;IFERROR(VLOOKUP(MONTH(B611),KEY!$AE$5:$AF$16,2,FALSE),""))</f>
        <v>2023-Q4</v>
      </c>
      <c r="D611" s="3" t="s">
        <v>112</v>
      </c>
      <c r="E611" s="219">
        <v>10</v>
      </c>
      <c r="F611" s="166">
        <v>39</v>
      </c>
      <c r="G611" s="166">
        <v>42</v>
      </c>
      <c r="H611" s="21">
        <v>78</v>
      </c>
      <c r="I611" s="21">
        <v>13</v>
      </c>
      <c r="J611" s="21">
        <v>26</v>
      </c>
      <c r="K611" s="21">
        <v>6</v>
      </c>
      <c r="L611" s="21">
        <v>74</v>
      </c>
      <c r="M611" s="21">
        <v>28</v>
      </c>
      <c r="N611" s="21">
        <v>40</v>
      </c>
      <c r="O611" s="19">
        <v>92</v>
      </c>
      <c r="P611" s="22">
        <v>12</v>
      </c>
      <c r="Q611" s="22">
        <v>8</v>
      </c>
      <c r="R611" s="20" t="s">
        <v>51</v>
      </c>
      <c r="S611" s="234">
        <f>COUNTIFS(INP_DATA!$R$5:$R$3027,S$4,INP_DATA!$D$5:$D$3027,$D611,INP_DATA!$B$5:$B$3027,$B611)</f>
        <v>0</v>
      </c>
      <c r="T611" s="235">
        <f>COUNTIFS(INP_DATA!$R$5:$R$3027,T$4,INP_DATA!$D$5:$D$3027,$D611,INP_DATA!$B$5:$B$3027,$B611)</f>
        <v>1</v>
      </c>
    </row>
    <row r="612" spans="1:20" x14ac:dyDescent="0.35">
      <c r="A612" s="3" t="s">
        <v>16</v>
      </c>
      <c r="B612" s="165">
        <v>45261</v>
      </c>
      <c r="C612" s="57" t="str">
        <f>IF($B612="","",YEAR($B612)&amp;"-"&amp;IFERROR(VLOOKUP(MONTH(B612),KEY!$AE$5:$AF$16,2,FALSE),""))</f>
        <v>2023-Q4</v>
      </c>
      <c r="D612" s="3" t="s">
        <v>113</v>
      </c>
      <c r="E612" s="219">
        <v>16</v>
      </c>
      <c r="F612" s="166">
        <v>96</v>
      </c>
      <c r="G612" s="166">
        <v>83</v>
      </c>
      <c r="H612" s="21">
        <v>225</v>
      </c>
      <c r="I612" s="21">
        <v>27</v>
      </c>
      <c r="J612" s="21">
        <v>67</v>
      </c>
      <c r="K612" s="21">
        <v>17</v>
      </c>
      <c r="L612" s="21">
        <v>127</v>
      </c>
      <c r="M612" s="21">
        <v>60</v>
      </c>
      <c r="N612" s="21">
        <v>95</v>
      </c>
      <c r="O612" s="19">
        <v>184</v>
      </c>
      <c r="P612" s="22">
        <v>20</v>
      </c>
      <c r="Q612" s="22">
        <v>7</v>
      </c>
      <c r="R612" s="20" t="s">
        <v>58</v>
      </c>
      <c r="S612" s="234">
        <f>COUNTIFS(INP_DATA!$R$5:$R$3027,S$4,INP_DATA!$D$5:$D$3027,$D612,INP_DATA!$B$5:$B$3027,$B612)</f>
        <v>1</v>
      </c>
      <c r="T612" s="235">
        <f>COUNTIFS(INP_DATA!$R$5:$R$3027,T$4,INP_DATA!$D$5:$D$3027,$D612,INP_DATA!$B$5:$B$3027,$B612)</f>
        <v>0</v>
      </c>
    </row>
    <row r="613" spans="1:20" x14ac:dyDescent="0.35">
      <c r="A613" s="3" t="s">
        <v>108</v>
      </c>
      <c r="B613" s="165">
        <v>45261</v>
      </c>
      <c r="C613" s="57" t="str">
        <f>IF($B613="","",YEAR($B613)&amp;"-"&amp;IFERROR(VLOOKUP(MONTH(B613),KEY!$AE$5:$AF$16,2,FALSE),""))</f>
        <v>2023-Q4</v>
      </c>
      <c r="D613" s="3" t="s">
        <v>114</v>
      </c>
      <c r="E613" s="219">
        <v>19</v>
      </c>
      <c r="F613" s="166">
        <v>58</v>
      </c>
      <c r="G613" s="166">
        <v>68</v>
      </c>
      <c r="H613" s="21">
        <v>103</v>
      </c>
      <c r="I613" s="21">
        <v>15</v>
      </c>
      <c r="J613" s="21">
        <v>42</v>
      </c>
      <c r="K613" s="21">
        <v>10</v>
      </c>
      <c r="L613" s="21">
        <v>64</v>
      </c>
      <c r="M613" s="21">
        <v>31</v>
      </c>
      <c r="N613" s="21">
        <v>57</v>
      </c>
      <c r="O613" s="19">
        <v>161</v>
      </c>
      <c r="P613" s="22">
        <v>11</v>
      </c>
      <c r="Q613" s="22">
        <v>8</v>
      </c>
      <c r="R613" s="20" t="s">
        <v>51</v>
      </c>
      <c r="S613" s="234">
        <f>COUNTIFS(INP_DATA!$R$5:$R$3027,S$4,INP_DATA!$D$5:$D$3027,$D613,INP_DATA!$B$5:$B$3027,$B613)</f>
        <v>0</v>
      </c>
      <c r="T613" s="235">
        <f>COUNTIFS(INP_DATA!$R$5:$R$3027,T$4,INP_DATA!$D$5:$D$3027,$D613,INP_DATA!$B$5:$B$3027,$B613)</f>
        <v>1</v>
      </c>
    </row>
    <row r="614" spans="1:20" x14ac:dyDescent="0.35">
      <c r="A614" s="3" t="s">
        <v>107</v>
      </c>
      <c r="B614" s="165">
        <v>45261</v>
      </c>
      <c r="C614" s="57" t="str">
        <f>IF($B614="","",YEAR($B614)&amp;"-"&amp;IFERROR(VLOOKUP(MONTH(B614),KEY!$AE$5:$AF$16,2,FALSE),""))</f>
        <v>2023-Q4</v>
      </c>
      <c r="D614" s="3" t="s">
        <v>115</v>
      </c>
      <c r="E614" s="219">
        <v>3</v>
      </c>
      <c r="F614" s="166">
        <v>60</v>
      </c>
      <c r="G614" s="166">
        <v>63</v>
      </c>
      <c r="H614" s="21">
        <v>103</v>
      </c>
      <c r="I614" s="21">
        <v>26</v>
      </c>
      <c r="J614" s="21">
        <v>53</v>
      </c>
      <c r="K614" s="21">
        <v>16</v>
      </c>
      <c r="L614" s="21">
        <v>91</v>
      </c>
      <c r="M614" s="21">
        <v>49</v>
      </c>
      <c r="N614" s="21">
        <v>63</v>
      </c>
      <c r="O614" s="19">
        <v>92</v>
      </c>
      <c r="P614" s="22" t="s">
        <v>194</v>
      </c>
      <c r="Q614" s="22" t="s">
        <v>194</v>
      </c>
      <c r="R614" s="20" t="s">
        <v>51</v>
      </c>
      <c r="S614" s="234">
        <f>COUNTIFS(INP_DATA!$R$5:$R$3027,S$4,INP_DATA!$D$5:$D$3027,$D614,INP_DATA!$B$5:$B$3027,$B614)</f>
        <v>0</v>
      </c>
      <c r="T614" s="235">
        <f>COUNTIFS(INP_DATA!$R$5:$R$3027,T$4,INP_DATA!$D$5:$D$3027,$D614,INP_DATA!$B$5:$B$3027,$B614)</f>
        <v>1</v>
      </c>
    </row>
    <row r="615" spans="1:20" x14ac:dyDescent="0.35">
      <c r="A615" s="3" t="s">
        <v>16</v>
      </c>
      <c r="B615" s="165">
        <v>45261</v>
      </c>
      <c r="C615" s="57" t="str">
        <f>IF($B615="","",YEAR($B615)&amp;"-"&amp;IFERROR(VLOOKUP(MONTH(B615),KEY!$AE$5:$AF$16,2,FALSE),""))</f>
        <v>2023-Q4</v>
      </c>
      <c r="D615" s="3" t="s">
        <v>116</v>
      </c>
      <c r="E615" s="219">
        <v>33</v>
      </c>
      <c r="F615" s="166">
        <v>172</v>
      </c>
      <c r="G615" s="166">
        <v>173</v>
      </c>
      <c r="H615" s="21">
        <v>271</v>
      </c>
      <c r="I615" s="21">
        <v>37</v>
      </c>
      <c r="J615" s="21">
        <v>149</v>
      </c>
      <c r="K615" s="21">
        <v>30</v>
      </c>
      <c r="L615" s="21">
        <v>250</v>
      </c>
      <c r="M615" s="21">
        <v>99</v>
      </c>
      <c r="N615" s="21">
        <v>184</v>
      </c>
      <c r="O615" s="19">
        <v>322</v>
      </c>
      <c r="P615" s="22">
        <v>36</v>
      </c>
      <c r="Q615" s="22">
        <v>8</v>
      </c>
      <c r="R615" s="20" t="s">
        <v>51</v>
      </c>
      <c r="S615" s="234">
        <f>COUNTIFS(INP_DATA!$R$5:$R$3027,S$4,INP_DATA!$D$5:$D$3027,$D615,INP_DATA!$B$5:$B$3027,$B615)</f>
        <v>0</v>
      </c>
      <c r="T615" s="235">
        <f>COUNTIFS(INP_DATA!$R$5:$R$3027,T$4,INP_DATA!$D$5:$D$3027,$D615,INP_DATA!$B$5:$B$3027,$B615)</f>
        <v>1</v>
      </c>
    </row>
    <row r="616" spans="1:20" x14ac:dyDescent="0.35">
      <c r="A616" s="3" t="s">
        <v>107</v>
      </c>
      <c r="B616" s="165">
        <v>45261</v>
      </c>
      <c r="C616" s="57" t="str">
        <f>IF($B616="","",YEAR($B616)&amp;"-"&amp;IFERROR(VLOOKUP(MONTH(B616),KEY!$AE$5:$AF$16,2,FALSE),""))</f>
        <v>2023-Q4</v>
      </c>
      <c r="D616" s="3" t="s">
        <v>117</v>
      </c>
      <c r="E616" s="219">
        <v>18</v>
      </c>
      <c r="F616" s="166">
        <v>121</v>
      </c>
      <c r="G616" s="166">
        <v>193</v>
      </c>
      <c r="H616" s="21">
        <v>179</v>
      </c>
      <c r="I616" s="21">
        <v>33</v>
      </c>
      <c r="J616" s="21">
        <v>108</v>
      </c>
      <c r="K616" s="21">
        <v>18</v>
      </c>
      <c r="L616" s="21">
        <v>241</v>
      </c>
      <c r="M616" s="21">
        <v>74</v>
      </c>
      <c r="N616" s="21">
        <v>120</v>
      </c>
      <c r="O616" s="19">
        <v>230</v>
      </c>
      <c r="P616" s="22">
        <v>74</v>
      </c>
      <c r="Q616" s="22">
        <v>34</v>
      </c>
      <c r="R616" s="20" t="s">
        <v>51</v>
      </c>
      <c r="S616" s="234">
        <f>COUNTIFS(INP_DATA!$R$5:$R$3027,S$4,INP_DATA!$D$5:$D$3027,$D616,INP_DATA!$B$5:$B$3027,$B616)</f>
        <v>0</v>
      </c>
      <c r="T616" s="235">
        <f>COUNTIFS(INP_DATA!$R$5:$R$3027,T$4,INP_DATA!$D$5:$D$3027,$D616,INP_DATA!$B$5:$B$3027,$B616)</f>
        <v>1</v>
      </c>
    </row>
    <row r="617" spans="1:20" x14ac:dyDescent="0.35">
      <c r="A617" s="3" t="s">
        <v>106</v>
      </c>
      <c r="B617" s="165">
        <v>45261</v>
      </c>
      <c r="C617" s="57" t="str">
        <f>IF($B617="","",YEAR($B617)&amp;"-"&amp;IFERROR(VLOOKUP(MONTH(B617),KEY!$AE$5:$AF$16,2,FALSE),""))</f>
        <v>2023-Q4</v>
      </c>
      <c r="D617" s="3" t="s">
        <v>118</v>
      </c>
      <c r="E617" s="219">
        <v>25</v>
      </c>
      <c r="F617" s="166">
        <v>235</v>
      </c>
      <c r="G617" s="166">
        <v>254</v>
      </c>
      <c r="H617" s="21">
        <v>652</v>
      </c>
      <c r="I617" s="21">
        <v>72</v>
      </c>
      <c r="J617" s="21">
        <v>218</v>
      </c>
      <c r="K617" s="21">
        <v>51</v>
      </c>
      <c r="L617" s="21">
        <v>414</v>
      </c>
      <c r="M617" s="21">
        <v>116</v>
      </c>
      <c r="N617" s="21">
        <v>237</v>
      </c>
      <c r="O617" s="19">
        <v>276</v>
      </c>
      <c r="P617" s="22">
        <v>85</v>
      </c>
      <c r="Q617" s="22">
        <v>46</v>
      </c>
      <c r="R617" s="20" t="s">
        <v>51</v>
      </c>
      <c r="S617" s="234">
        <f>COUNTIFS(INP_DATA!$R$5:$R$3027,S$4,INP_DATA!$D$5:$D$3027,$D617,INP_DATA!$B$5:$B$3027,$B617)</f>
        <v>0</v>
      </c>
      <c r="T617" s="235">
        <f>COUNTIFS(INP_DATA!$R$5:$R$3027,T$4,INP_DATA!$D$5:$D$3027,$D617,INP_DATA!$B$5:$B$3027,$B617)</f>
        <v>1</v>
      </c>
    </row>
    <row r="618" spans="1:20" x14ac:dyDescent="0.35">
      <c r="A618" s="3" t="s">
        <v>16</v>
      </c>
      <c r="B618" s="165">
        <v>45261</v>
      </c>
      <c r="C618" s="57" t="str">
        <f>IF($B618="","",YEAR($B618)&amp;"-"&amp;IFERROR(VLOOKUP(MONTH(B618),KEY!$AE$5:$AF$16,2,FALSE),""))</f>
        <v>2023-Q4</v>
      </c>
      <c r="D618" s="3" t="s">
        <v>119</v>
      </c>
      <c r="E618" s="219">
        <v>10</v>
      </c>
      <c r="F618" s="166">
        <v>28</v>
      </c>
      <c r="G618" s="166">
        <v>30</v>
      </c>
      <c r="H618" s="21">
        <v>43</v>
      </c>
      <c r="I618" s="21">
        <v>6</v>
      </c>
      <c r="J618" s="21">
        <v>38</v>
      </c>
      <c r="K618" s="21">
        <v>10</v>
      </c>
      <c r="L618" s="21">
        <v>110</v>
      </c>
      <c r="M618" s="21">
        <v>14</v>
      </c>
      <c r="N618" s="21">
        <v>28</v>
      </c>
      <c r="O618" s="19">
        <v>92</v>
      </c>
      <c r="P618" s="22">
        <v>2</v>
      </c>
      <c r="Q618" s="22">
        <v>0</v>
      </c>
      <c r="R618" s="20" t="s">
        <v>194</v>
      </c>
      <c r="S618" s="234">
        <f>COUNTIFS(INP_DATA!$R$5:$R$3027,S$4,INP_DATA!$D$5:$D$3027,$D618,INP_DATA!$B$5:$B$3027,$B618)</f>
        <v>0</v>
      </c>
      <c r="T618" s="235">
        <f>COUNTIFS(INP_DATA!$R$5:$R$3027,T$4,INP_DATA!$D$5:$D$3027,$D618,INP_DATA!$B$5:$B$3027,$B618)</f>
        <v>0</v>
      </c>
    </row>
    <row r="619" spans="1:20" x14ac:dyDescent="0.35">
      <c r="A619" s="3" t="s">
        <v>16</v>
      </c>
      <c r="B619" s="165">
        <v>45261</v>
      </c>
      <c r="C619" s="57" t="str">
        <f>IF($B619="","",YEAR($B619)&amp;"-"&amp;IFERROR(VLOOKUP(MONTH(B619),KEY!$AE$5:$AF$16,2,FALSE),""))</f>
        <v>2023-Q4</v>
      </c>
      <c r="D619" s="3" t="s">
        <v>120</v>
      </c>
      <c r="E619" s="219">
        <v>74</v>
      </c>
      <c r="F619" s="166">
        <v>441</v>
      </c>
      <c r="G619" s="166">
        <v>415</v>
      </c>
      <c r="H619" s="21">
        <v>791</v>
      </c>
      <c r="I619" s="21">
        <v>87</v>
      </c>
      <c r="J619" s="21">
        <v>317</v>
      </c>
      <c r="K619" s="21">
        <v>57</v>
      </c>
      <c r="L619" s="21">
        <v>643</v>
      </c>
      <c r="M619" s="21">
        <v>237</v>
      </c>
      <c r="N619" s="21">
        <v>445</v>
      </c>
      <c r="O619" s="19">
        <v>598</v>
      </c>
      <c r="P619" s="22">
        <v>100</v>
      </c>
      <c r="Q619" s="22">
        <v>57</v>
      </c>
      <c r="R619" s="20" t="s">
        <v>58</v>
      </c>
      <c r="S619" s="234">
        <f>COUNTIFS(INP_DATA!$R$5:$R$3027,S$4,INP_DATA!$D$5:$D$3027,$D619,INP_DATA!$B$5:$B$3027,$B619)</f>
        <v>1</v>
      </c>
      <c r="T619" s="235">
        <f>COUNTIFS(INP_DATA!$R$5:$R$3027,T$4,INP_DATA!$D$5:$D$3027,$D619,INP_DATA!$B$5:$B$3027,$B619)</f>
        <v>0</v>
      </c>
    </row>
    <row r="620" spans="1:20" x14ac:dyDescent="0.35">
      <c r="A620" s="3" t="s">
        <v>109</v>
      </c>
      <c r="B620" s="165">
        <v>45261</v>
      </c>
      <c r="C620" s="57" t="str">
        <f>IF($B620="","",YEAR($B620)&amp;"-"&amp;IFERROR(VLOOKUP(MONTH(B620),KEY!$AE$5:$AF$16,2,FALSE),""))</f>
        <v>2023-Q4</v>
      </c>
      <c r="D620" s="3" t="s">
        <v>121</v>
      </c>
      <c r="E620" s="219">
        <v>102</v>
      </c>
      <c r="F620" s="166">
        <v>327</v>
      </c>
      <c r="G620" s="166">
        <v>351</v>
      </c>
      <c r="H620" s="21">
        <v>588</v>
      </c>
      <c r="I620" s="21">
        <v>73</v>
      </c>
      <c r="J620" s="21">
        <v>239</v>
      </c>
      <c r="K620" s="21">
        <v>46</v>
      </c>
      <c r="L620" s="21">
        <v>621</v>
      </c>
      <c r="M620" s="21">
        <v>248</v>
      </c>
      <c r="N620" s="21">
        <v>328</v>
      </c>
      <c r="O620" s="19">
        <v>483</v>
      </c>
      <c r="P620" s="22">
        <v>45</v>
      </c>
      <c r="Q620" s="22">
        <v>34</v>
      </c>
      <c r="R620" s="20" t="s">
        <v>58</v>
      </c>
      <c r="S620" s="234">
        <f>COUNTIFS(INP_DATA!$R$5:$R$3027,S$4,INP_DATA!$D$5:$D$3027,$D620,INP_DATA!$B$5:$B$3027,$B620)</f>
        <v>1</v>
      </c>
      <c r="T620" s="235">
        <f>COUNTIFS(INP_DATA!$R$5:$R$3027,T$4,INP_DATA!$D$5:$D$3027,$D620,INP_DATA!$B$5:$B$3027,$B620)</f>
        <v>0</v>
      </c>
    </row>
    <row r="621" spans="1:20" x14ac:dyDescent="0.35">
      <c r="A621" s="3" t="s">
        <v>108</v>
      </c>
      <c r="B621" s="165">
        <v>45261</v>
      </c>
      <c r="C621" s="57" t="str">
        <f>IF($B621="","",YEAR($B621)&amp;"-"&amp;IFERROR(VLOOKUP(MONTH(B621),KEY!$AE$5:$AF$16,2,FALSE),""))</f>
        <v>2023-Q4</v>
      </c>
      <c r="D621" s="3" t="s">
        <v>122</v>
      </c>
      <c r="E621" s="219">
        <v>22</v>
      </c>
      <c r="F621" s="166">
        <v>122</v>
      </c>
      <c r="G621" s="166">
        <v>149</v>
      </c>
      <c r="H621" s="21">
        <v>315</v>
      </c>
      <c r="I621" s="21">
        <v>44</v>
      </c>
      <c r="J621" s="21">
        <v>121</v>
      </c>
      <c r="K621" s="21">
        <v>19</v>
      </c>
      <c r="L621" s="21">
        <v>250</v>
      </c>
      <c r="M621" s="21">
        <v>75</v>
      </c>
      <c r="N621" s="21">
        <v>124</v>
      </c>
      <c r="O621" s="19">
        <v>230</v>
      </c>
      <c r="P621" s="22" t="s">
        <v>194</v>
      </c>
      <c r="Q621" s="22" t="s">
        <v>194</v>
      </c>
      <c r="R621" s="20" t="s">
        <v>58</v>
      </c>
      <c r="S621" s="234">
        <f>COUNTIFS(INP_DATA!$R$5:$R$3027,S$4,INP_DATA!$D$5:$D$3027,$D621,INP_DATA!$B$5:$B$3027,$B621)</f>
        <v>1</v>
      </c>
      <c r="T621" s="235">
        <f>COUNTIFS(INP_DATA!$R$5:$R$3027,T$4,INP_DATA!$D$5:$D$3027,$D621,INP_DATA!$B$5:$B$3027,$B621)</f>
        <v>0</v>
      </c>
    </row>
    <row r="622" spans="1:20" x14ac:dyDescent="0.35">
      <c r="A622" s="3" t="s">
        <v>107</v>
      </c>
      <c r="B622" s="165">
        <v>45261</v>
      </c>
      <c r="C622" s="57" t="str">
        <f>IF($B622="","",YEAR($B622)&amp;"-"&amp;IFERROR(VLOOKUP(MONTH(B622),KEY!$AE$5:$AF$16,2,FALSE),""))</f>
        <v>2023-Q4</v>
      </c>
      <c r="D622" s="3" t="s">
        <v>123</v>
      </c>
      <c r="E622" s="219">
        <v>63</v>
      </c>
      <c r="F622" s="166">
        <v>308</v>
      </c>
      <c r="G622" s="166">
        <v>232</v>
      </c>
      <c r="H622" s="21">
        <v>363</v>
      </c>
      <c r="I622" s="21">
        <v>74</v>
      </c>
      <c r="J622" s="21">
        <v>148</v>
      </c>
      <c r="K622" s="21">
        <v>36</v>
      </c>
      <c r="L622" s="21">
        <v>451</v>
      </c>
      <c r="M622" s="21">
        <v>223</v>
      </c>
      <c r="N622" s="21">
        <v>311</v>
      </c>
      <c r="O622" s="19">
        <v>414</v>
      </c>
      <c r="P622" s="22">
        <v>66</v>
      </c>
      <c r="Q622" s="22">
        <v>47</v>
      </c>
      <c r="R622" s="20" t="s">
        <v>58</v>
      </c>
      <c r="S622" s="234">
        <f>COUNTIFS(INP_DATA!$R$5:$R$3027,S$4,INP_DATA!$D$5:$D$3027,$D622,INP_DATA!$B$5:$B$3027,$B622)</f>
        <v>1</v>
      </c>
      <c r="T622" s="235">
        <f>COUNTIFS(INP_DATA!$R$5:$R$3027,T$4,INP_DATA!$D$5:$D$3027,$D622,INP_DATA!$B$5:$B$3027,$B622)</f>
        <v>0</v>
      </c>
    </row>
    <row r="623" spans="1:20" x14ac:dyDescent="0.35">
      <c r="A623" s="3" t="s">
        <v>108</v>
      </c>
      <c r="B623" s="165">
        <v>45261</v>
      </c>
      <c r="C623" s="57" t="str">
        <f>IF($B623="","",YEAR($B623)&amp;"-"&amp;IFERROR(VLOOKUP(MONTH(B623),KEY!$AE$5:$AF$16,2,FALSE),""))</f>
        <v>2023-Q4</v>
      </c>
      <c r="D623" s="3" t="s">
        <v>124</v>
      </c>
      <c r="E623" s="219">
        <v>90</v>
      </c>
      <c r="F623" s="166">
        <v>310</v>
      </c>
      <c r="G623" s="166">
        <v>276</v>
      </c>
      <c r="H623" s="21">
        <v>445</v>
      </c>
      <c r="I623" s="21">
        <v>86</v>
      </c>
      <c r="J623" s="21">
        <v>197</v>
      </c>
      <c r="K623" s="21">
        <v>45</v>
      </c>
      <c r="L623" s="21">
        <v>517</v>
      </c>
      <c r="M623" s="21">
        <v>196</v>
      </c>
      <c r="N623" s="21">
        <v>310</v>
      </c>
      <c r="O623" s="19">
        <v>483</v>
      </c>
      <c r="P623" s="22">
        <v>81</v>
      </c>
      <c r="Q623" s="22">
        <v>58</v>
      </c>
      <c r="R623" s="20" t="s">
        <v>58</v>
      </c>
      <c r="S623" s="234">
        <f>COUNTIFS(INP_DATA!$R$5:$R$3027,S$4,INP_DATA!$D$5:$D$3027,$D623,INP_DATA!$B$5:$B$3027,$B623)</f>
        <v>1</v>
      </c>
      <c r="T623" s="235">
        <f>COUNTIFS(INP_DATA!$R$5:$R$3027,T$4,INP_DATA!$D$5:$D$3027,$D623,INP_DATA!$B$5:$B$3027,$B623)</f>
        <v>0</v>
      </c>
    </row>
    <row r="624" spans="1:20" x14ac:dyDescent="0.35">
      <c r="A624" s="3" t="s">
        <v>106</v>
      </c>
      <c r="B624" s="165">
        <v>45261</v>
      </c>
      <c r="C624" s="57" t="str">
        <f>IF($B624="","",YEAR($B624)&amp;"-"&amp;IFERROR(VLOOKUP(MONTH(B624),KEY!$AE$5:$AF$16,2,FALSE),""))</f>
        <v>2023-Q4</v>
      </c>
      <c r="D624" s="3" t="s">
        <v>195</v>
      </c>
      <c r="E624" s="219">
        <v>17</v>
      </c>
      <c r="F624" s="166">
        <v>56</v>
      </c>
      <c r="G624" s="166">
        <v>44</v>
      </c>
      <c r="H624" s="21">
        <v>158</v>
      </c>
      <c r="I624" s="21">
        <v>15</v>
      </c>
      <c r="J624" s="21">
        <v>30</v>
      </c>
      <c r="K624" s="21">
        <v>7</v>
      </c>
      <c r="L624" s="21">
        <v>120</v>
      </c>
      <c r="M624" s="21">
        <v>42</v>
      </c>
      <c r="N624" s="21">
        <v>56</v>
      </c>
      <c r="O624" s="19">
        <v>138</v>
      </c>
      <c r="P624" s="22">
        <v>10</v>
      </c>
      <c r="Q624" s="22">
        <v>8</v>
      </c>
      <c r="R624" s="20" t="s">
        <v>58</v>
      </c>
      <c r="S624" s="234">
        <f>COUNTIFS(INP_DATA!$R$5:$R$3027,S$4,INP_DATA!$D$5:$D$3027,$D624,INP_DATA!$B$5:$B$3027,$B624)</f>
        <v>1</v>
      </c>
      <c r="T624" s="235">
        <f>COUNTIFS(INP_DATA!$R$5:$R$3027,T$4,INP_DATA!$D$5:$D$3027,$D624,INP_DATA!$B$5:$B$3027,$B624)</f>
        <v>0</v>
      </c>
    </row>
    <row r="625" spans="1:20" x14ac:dyDescent="0.35">
      <c r="A625" s="3" t="s">
        <v>106</v>
      </c>
      <c r="B625" s="165">
        <v>45261</v>
      </c>
      <c r="C625" s="57" t="str">
        <f>IF($B625="","",YEAR($B625)&amp;"-"&amp;IFERROR(VLOOKUP(MONTH(B625),KEY!$AE$5:$AF$16,2,FALSE),""))</f>
        <v>2023-Q4</v>
      </c>
      <c r="D625" s="3" t="s">
        <v>125</v>
      </c>
      <c r="E625" s="219">
        <v>42</v>
      </c>
      <c r="F625" s="166">
        <v>247</v>
      </c>
      <c r="G625" s="166">
        <v>220</v>
      </c>
      <c r="H625" s="21">
        <v>465</v>
      </c>
      <c r="I625" s="21">
        <v>69</v>
      </c>
      <c r="J625" s="21">
        <v>160</v>
      </c>
      <c r="K625" s="21">
        <v>40</v>
      </c>
      <c r="L625" s="21">
        <v>463</v>
      </c>
      <c r="M625" s="21">
        <v>104</v>
      </c>
      <c r="N625" s="21">
        <v>253</v>
      </c>
      <c r="O625" s="19">
        <v>460</v>
      </c>
      <c r="P625" s="22">
        <v>25</v>
      </c>
      <c r="Q625" s="22">
        <v>17</v>
      </c>
      <c r="R625" s="20" t="s">
        <v>58</v>
      </c>
      <c r="S625" s="234">
        <f>COUNTIFS(INP_DATA!$R$5:$R$3027,S$4,INP_DATA!$D$5:$D$3027,$D625,INP_DATA!$B$5:$B$3027,$B625)</f>
        <v>1</v>
      </c>
      <c r="T625" s="235">
        <f>COUNTIFS(INP_DATA!$R$5:$R$3027,T$4,INP_DATA!$D$5:$D$3027,$D625,INP_DATA!$B$5:$B$3027,$B625)</f>
        <v>0</v>
      </c>
    </row>
    <row r="626" spans="1:20" x14ac:dyDescent="0.35">
      <c r="A626" s="3" t="s">
        <v>107</v>
      </c>
      <c r="B626" s="165">
        <v>45261</v>
      </c>
      <c r="C626" s="57" t="str">
        <f>IF($B626="","",YEAR($B626)&amp;"-"&amp;IFERROR(VLOOKUP(MONTH(B626),KEY!$AE$5:$AF$16,2,FALSE),""))</f>
        <v>2023-Q4</v>
      </c>
      <c r="D626" s="3" t="s">
        <v>126</v>
      </c>
      <c r="E626" s="219">
        <v>110</v>
      </c>
      <c r="F626" s="166">
        <v>623</v>
      </c>
      <c r="G626" s="166">
        <v>657</v>
      </c>
      <c r="H626" s="21">
        <v>762</v>
      </c>
      <c r="I626" s="21">
        <v>124</v>
      </c>
      <c r="J626" s="21">
        <v>456</v>
      </c>
      <c r="K626" s="21">
        <v>139</v>
      </c>
      <c r="L626" s="21">
        <v>901</v>
      </c>
      <c r="M626" s="21">
        <v>332</v>
      </c>
      <c r="N626" s="21">
        <v>628</v>
      </c>
      <c r="O626" s="19">
        <v>874</v>
      </c>
      <c r="P626" s="22">
        <v>208</v>
      </c>
      <c r="Q626" s="22">
        <v>137</v>
      </c>
      <c r="R626" s="20" t="s">
        <v>58</v>
      </c>
      <c r="S626" s="234">
        <f>COUNTIFS(INP_DATA!$R$5:$R$3027,S$4,INP_DATA!$D$5:$D$3027,$D626,INP_DATA!$B$5:$B$3027,$B626)</f>
        <v>1</v>
      </c>
      <c r="T626" s="235">
        <f>COUNTIFS(INP_DATA!$R$5:$R$3027,T$4,INP_DATA!$D$5:$D$3027,$D626,INP_DATA!$B$5:$B$3027,$B626)</f>
        <v>0</v>
      </c>
    </row>
    <row r="627" spans="1:20" x14ac:dyDescent="0.35">
      <c r="A627" s="3" t="s">
        <v>107</v>
      </c>
      <c r="B627" s="165">
        <v>45261</v>
      </c>
      <c r="C627" s="57" t="str">
        <f>IF($B627="","",YEAR($B627)&amp;"-"&amp;IFERROR(VLOOKUP(MONTH(B627),KEY!$AE$5:$AF$16,2,FALSE),""))</f>
        <v>2023-Q4</v>
      </c>
      <c r="D627" s="3" t="s">
        <v>127</v>
      </c>
      <c r="E627" s="219">
        <v>14</v>
      </c>
      <c r="F627" s="166">
        <v>65</v>
      </c>
      <c r="G627" s="166">
        <v>66</v>
      </c>
      <c r="H627" s="21">
        <v>150</v>
      </c>
      <c r="I627" s="21">
        <v>20</v>
      </c>
      <c r="J627" s="21">
        <v>36</v>
      </c>
      <c r="K627" s="21">
        <v>10</v>
      </c>
      <c r="L627" s="21">
        <v>103</v>
      </c>
      <c r="M627" s="21">
        <v>49</v>
      </c>
      <c r="N627" s="21">
        <v>67</v>
      </c>
      <c r="O627" s="19">
        <v>115</v>
      </c>
      <c r="P627" s="22">
        <v>13</v>
      </c>
      <c r="Q627" s="22">
        <v>5</v>
      </c>
      <c r="R627" s="20" t="s">
        <v>58</v>
      </c>
      <c r="S627" s="234">
        <f>COUNTIFS(INP_DATA!$R$5:$R$3027,S$4,INP_DATA!$D$5:$D$3027,$D627,INP_DATA!$B$5:$B$3027,$B627)</f>
        <v>1</v>
      </c>
      <c r="T627" s="235">
        <f>COUNTIFS(INP_DATA!$R$5:$R$3027,T$4,INP_DATA!$D$5:$D$3027,$D627,INP_DATA!$B$5:$B$3027,$B627)</f>
        <v>0</v>
      </c>
    </row>
    <row r="628" spans="1:20" x14ac:dyDescent="0.35">
      <c r="A628" s="3" t="s">
        <v>109</v>
      </c>
      <c r="B628" s="165">
        <v>45261</v>
      </c>
      <c r="C628" s="57" t="str">
        <f>IF($B628="","",YEAR($B628)&amp;"-"&amp;IFERROR(VLOOKUP(MONTH(B628),KEY!$AE$5:$AF$16,2,FALSE),""))</f>
        <v>2023-Q4</v>
      </c>
      <c r="D628" s="3" t="s">
        <v>128</v>
      </c>
      <c r="E628" s="219">
        <v>2</v>
      </c>
      <c r="F628" s="166">
        <v>260</v>
      </c>
      <c r="G628" s="166">
        <v>242</v>
      </c>
      <c r="H628" s="21">
        <v>551</v>
      </c>
      <c r="I628" s="21">
        <v>84</v>
      </c>
      <c r="J628" s="21">
        <v>290</v>
      </c>
      <c r="K628" s="21">
        <v>54</v>
      </c>
      <c r="L628" s="21">
        <v>454</v>
      </c>
      <c r="M628" s="21">
        <v>146</v>
      </c>
      <c r="N628" s="21">
        <v>260</v>
      </c>
      <c r="O628" s="19">
        <v>345</v>
      </c>
      <c r="P628" s="22" t="s">
        <v>194</v>
      </c>
      <c r="Q628" s="22" t="s">
        <v>194</v>
      </c>
      <c r="R628" s="20" t="s">
        <v>51</v>
      </c>
      <c r="S628" s="234">
        <f>COUNTIFS(INP_DATA!$R$5:$R$3027,S$4,INP_DATA!$D$5:$D$3027,$D628,INP_DATA!$B$5:$B$3027,$B628)</f>
        <v>0</v>
      </c>
      <c r="T628" s="235">
        <f>COUNTIFS(INP_DATA!$R$5:$R$3027,T$4,INP_DATA!$D$5:$D$3027,$D628,INP_DATA!$B$5:$B$3027,$B628)</f>
        <v>1</v>
      </c>
    </row>
    <row r="629" spans="1:20" x14ac:dyDescent="0.35">
      <c r="A629" s="3" t="s">
        <v>106</v>
      </c>
      <c r="B629" s="165">
        <v>45261</v>
      </c>
      <c r="C629" s="57" t="str">
        <f>IF($B629="","",YEAR($B629)&amp;"-"&amp;IFERROR(VLOOKUP(MONTH(B629),KEY!$AE$5:$AF$16,2,FALSE),""))</f>
        <v>2023-Q4</v>
      </c>
      <c r="D629" s="3" t="s">
        <v>129</v>
      </c>
      <c r="E629" s="219">
        <v>15</v>
      </c>
      <c r="F629" s="166">
        <v>149</v>
      </c>
      <c r="G629" s="166">
        <v>152</v>
      </c>
      <c r="H629" s="21">
        <v>226</v>
      </c>
      <c r="I629" s="21">
        <v>32</v>
      </c>
      <c r="J629" s="21">
        <v>113</v>
      </c>
      <c r="K629" s="21">
        <v>24</v>
      </c>
      <c r="L629" s="21">
        <v>241</v>
      </c>
      <c r="M629" s="21">
        <v>62</v>
      </c>
      <c r="N629" s="21">
        <v>152</v>
      </c>
      <c r="O629" s="19">
        <v>322</v>
      </c>
      <c r="P629" s="22">
        <v>32</v>
      </c>
      <c r="Q629" s="22">
        <v>22</v>
      </c>
      <c r="R629" s="20" t="s">
        <v>58</v>
      </c>
      <c r="S629" s="234">
        <f>COUNTIFS(INP_DATA!$R$5:$R$3027,S$4,INP_DATA!$D$5:$D$3027,$D629,INP_DATA!$B$5:$B$3027,$B629)</f>
        <v>1</v>
      </c>
      <c r="T629" s="235">
        <f>COUNTIFS(INP_DATA!$R$5:$R$3027,T$4,INP_DATA!$D$5:$D$3027,$D629,INP_DATA!$B$5:$B$3027,$B629)</f>
        <v>0</v>
      </c>
    </row>
    <row r="630" spans="1:20" x14ac:dyDescent="0.35">
      <c r="A630" s="3" t="s">
        <v>108</v>
      </c>
      <c r="B630" s="165">
        <v>45261</v>
      </c>
      <c r="C630" s="57" t="str">
        <f>IF($B630="","",YEAR($B630)&amp;"-"&amp;IFERROR(VLOOKUP(MONTH(B630),KEY!$AE$5:$AF$16,2,FALSE),""))</f>
        <v>2023-Q4</v>
      </c>
      <c r="D630" s="3" t="s">
        <v>130</v>
      </c>
      <c r="E630" s="219">
        <v>29</v>
      </c>
      <c r="F630" s="166">
        <v>188</v>
      </c>
      <c r="G630" s="166">
        <v>120</v>
      </c>
      <c r="H630" s="21">
        <v>388</v>
      </c>
      <c r="I630" s="21">
        <v>57</v>
      </c>
      <c r="J630" s="21">
        <v>174</v>
      </c>
      <c r="K630" s="21">
        <v>41</v>
      </c>
      <c r="L630" s="21">
        <v>184</v>
      </c>
      <c r="M630" s="21">
        <v>71</v>
      </c>
      <c r="N630" s="21">
        <v>187</v>
      </c>
      <c r="O630" s="19">
        <v>184</v>
      </c>
      <c r="P630" s="22">
        <v>34</v>
      </c>
      <c r="Q630" s="22">
        <v>26</v>
      </c>
      <c r="R630" s="20" t="s">
        <v>58</v>
      </c>
      <c r="S630" s="234">
        <f>COUNTIFS(INP_DATA!$R$5:$R$3027,S$4,INP_DATA!$D$5:$D$3027,$D630,INP_DATA!$B$5:$B$3027,$B630)</f>
        <v>1</v>
      </c>
      <c r="T630" s="235">
        <f>COUNTIFS(INP_DATA!$R$5:$R$3027,T$4,INP_DATA!$D$5:$D$3027,$D630,INP_DATA!$B$5:$B$3027,$B630)</f>
        <v>0</v>
      </c>
    </row>
    <row r="631" spans="1:20" x14ac:dyDescent="0.35">
      <c r="A631" s="3" t="s">
        <v>109</v>
      </c>
      <c r="B631" s="165">
        <v>45261</v>
      </c>
      <c r="C631" s="57" t="str">
        <f>IF($B631="","",YEAR($B631)&amp;"-"&amp;IFERROR(VLOOKUP(MONTH(B631),KEY!$AE$5:$AF$16,2,FALSE),""))</f>
        <v>2023-Q4</v>
      </c>
      <c r="D631" s="3" t="s">
        <v>131</v>
      </c>
      <c r="E631" s="219">
        <v>29</v>
      </c>
      <c r="F631" s="166">
        <v>169</v>
      </c>
      <c r="G631" s="166">
        <v>183</v>
      </c>
      <c r="H631" s="21">
        <v>154</v>
      </c>
      <c r="I631" s="21">
        <v>12</v>
      </c>
      <c r="J631" s="21">
        <v>119</v>
      </c>
      <c r="K631" s="21">
        <v>25</v>
      </c>
      <c r="L631" s="21">
        <v>321</v>
      </c>
      <c r="M631" s="21">
        <v>50</v>
      </c>
      <c r="N631" s="21">
        <v>176</v>
      </c>
      <c r="O631" s="19">
        <v>368</v>
      </c>
      <c r="P631" s="22">
        <v>2</v>
      </c>
      <c r="Q631" s="22">
        <v>2</v>
      </c>
      <c r="R631" s="20" t="s">
        <v>58</v>
      </c>
      <c r="S631" s="234">
        <f>COUNTIFS(INP_DATA!$R$5:$R$3027,S$4,INP_DATA!$D$5:$D$3027,$D631,INP_DATA!$B$5:$B$3027,$B631)</f>
        <v>1</v>
      </c>
      <c r="T631" s="235">
        <f>COUNTIFS(INP_DATA!$R$5:$R$3027,T$4,INP_DATA!$D$5:$D$3027,$D631,INP_DATA!$B$5:$B$3027,$B631)</f>
        <v>0</v>
      </c>
    </row>
    <row r="632" spans="1:20" x14ac:dyDescent="0.35">
      <c r="A632" s="3" t="s">
        <v>108</v>
      </c>
      <c r="B632" s="165">
        <v>45261</v>
      </c>
      <c r="C632" s="57" t="str">
        <f>IF($B632="","",YEAR($B632)&amp;"-"&amp;IFERROR(VLOOKUP(MONTH(B632),KEY!$AE$5:$AF$16,2,FALSE),""))</f>
        <v>2023-Q4</v>
      </c>
      <c r="D632" s="3" t="s">
        <v>134</v>
      </c>
      <c r="E632" s="219">
        <v>12</v>
      </c>
      <c r="F632" s="166">
        <v>32</v>
      </c>
      <c r="G632" s="166">
        <v>41</v>
      </c>
      <c r="H632" s="21">
        <v>66</v>
      </c>
      <c r="I632" s="21">
        <v>11</v>
      </c>
      <c r="J632" s="21">
        <v>30</v>
      </c>
      <c r="K632" s="21">
        <v>4</v>
      </c>
      <c r="L632" s="21">
        <v>52</v>
      </c>
      <c r="M632" s="21">
        <v>18</v>
      </c>
      <c r="N632" s="21">
        <v>32</v>
      </c>
      <c r="O632" s="19">
        <v>92</v>
      </c>
      <c r="P632" s="22">
        <v>16</v>
      </c>
      <c r="Q632" s="22">
        <v>12</v>
      </c>
      <c r="R632" s="20" t="s">
        <v>51</v>
      </c>
      <c r="S632" s="234">
        <f>COUNTIFS(INP_DATA!$R$5:$R$3027,S$4,INP_DATA!$D$5:$D$3027,$D632,INP_DATA!$B$5:$B$3027,$B632)</f>
        <v>0</v>
      </c>
      <c r="T632" s="235">
        <f>COUNTIFS(INP_DATA!$R$5:$R$3027,T$4,INP_DATA!$D$5:$D$3027,$D632,INP_DATA!$B$5:$B$3027,$B632)</f>
        <v>1</v>
      </c>
    </row>
    <row r="633" spans="1:20" x14ac:dyDescent="0.35">
      <c r="A633" s="3" t="s">
        <v>108</v>
      </c>
      <c r="B633" s="165">
        <v>45261</v>
      </c>
      <c r="C633" s="57" t="str">
        <f>IF($B633="","",YEAR($B633)&amp;"-"&amp;IFERROR(VLOOKUP(MONTH(B633),KEY!$AE$5:$AF$16,2,FALSE),""))</f>
        <v>2023-Q4</v>
      </c>
      <c r="D633" s="3" t="s">
        <v>135</v>
      </c>
      <c r="E633" s="219">
        <v>59</v>
      </c>
      <c r="F633" s="166">
        <v>235</v>
      </c>
      <c r="G633" s="166">
        <v>228</v>
      </c>
      <c r="H633" s="21">
        <v>463</v>
      </c>
      <c r="I633" s="21">
        <v>65</v>
      </c>
      <c r="J633" s="21">
        <v>186</v>
      </c>
      <c r="K633" s="21">
        <v>44</v>
      </c>
      <c r="L633" s="21">
        <v>650</v>
      </c>
      <c r="M633" s="21">
        <v>123</v>
      </c>
      <c r="N633" s="21">
        <v>242</v>
      </c>
      <c r="O633" s="19">
        <v>391</v>
      </c>
      <c r="P633" s="22">
        <v>30</v>
      </c>
      <c r="Q633" s="22">
        <v>20</v>
      </c>
      <c r="R633" s="20" t="s">
        <v>51</v>
      </c>
      <c r="S633" s="234">
        <f>COUNTIFS(INP_DATA!$R$5:$R$3027,S$4,INP_DATA!$D$5:$D$3027,$D633,INP_DATA!$B$5:$B$3027,$B633)</f>
        <v>0</v>
      </c>
      <c r="T633" s="235">
        <f>COUNTIFS(INP_DATA!$R$5:$R$3027,T$4,INP_DATA!$D$5:$D$3027,$D633,INP_DATA!$B$5:$B$3027,$B633)</f>
        <v>1</v>
      </c>
    </row>
    <row r="634" spans="1:20" x14ac:dyDescent="0.35">
      <c r="A634" s="3" t="s">
        <v>16</v>
      </c>
      <c r="B634" s="165">
        <v>45261</v>
      </c>
      <c r="C634" s="57" t="str">
        <f>IF($B634="","",YEAR($B634)&amp;"-"&amp;IFERROR(VLOOKUP(MONTH(B634),KEY!$AE$5:$AF$16,2,FALSE),""))</f>
        <v>2023-Q4</v>
      </c>
      <c r="D634" s="3" t="s">
        <v>196</v>
      </c>
      <c r="E634" s="219">
        <v>14</v>
      </c>
      <c r="F634" s="166">
        <v>51</v>
      </c>
      <c r="G634" s="166">
        <v>49</v>
      </c>
      <c r="H634" s="21">
        <v>84</v>
      </c>
      <c r="I634" s="21">
        <v>14</v>
      </c>
      <c r="J634" s="21">
        <v>59</v>
      </c>
      <c r="K634" s="21">
        <v>16</v>
      </c>
      <c r="L634" s="21">
        <v>144</v>
      </c>
      <c r="M634" s="21">
        <v>48</v>
      </c>
      <c r="N634" s="21">
        <v>52</v>
      </c>
      <c r="O634" s="19">
        <v>115</v>
      </c>
      <c r="P634" s="22">
        <v>7</v>
      </c>
      <c r="Q634" s="22">
        <v>5</v>
      </c>
      <c r="R634" s="20" t="s">
        <v>58</v>
      </c>
      <c r="S634" s="234">
        <f>COUNTIFS(INP_DATA!$R$5:$R$3027,S$4,INP_DATA!$D$5:$D$3027,$D634,INP_DATA!$B$5:$B$3027,$B634)</f>
        <v>1</v>
      </c>
      <c r="T634" s="235">
        <f>COUNTIFS(INP_DATA!$R$5:$R$3027,T$4,INP_DATA!$D$5:$D$3027,$D634,INP_DATA!$B$5:$B$3027,$B634)</f>
        <v>0</v>
      </c>
    </row>
    <row r="635" spans="1:20" x14ac:dyDescent="0.35">
      <c r="A635" s="3" t="s">
        <v>16</v>
      </c>
      <c r="B635" s="165">
        <v>45261</v>
      </c>
      <c r="C635" s="57" t="str">
        <f>IF($B635="","",YEAR($B635)&amp;"-"&amp;IFERROR(VLOOKUP(MONTH(B635),KEY!$AE$5:$AF$16,2,FALSE),""))</f>
        <v>2023-Q4</v>
      </c>
      <c r="D635" s="3" t="s">
        <v>197</v>
      </c>
      <c r="E635" s="219">
        <v>27</v>
      </c>
      <c r="F635" s="166">
        <v>124</v>
      </c>
      <c r="G635" s="166">
        <v>104</v>
      </c>
      <c r="H635" s="21">
        <v>151</v>
      </c>
      <c r="I635" s="21">
        <v>31</v>
      </c>
      <c r="J635" s="21">
        <v>100</v>
      </c>
      <c r="K635" s="21">
        <v>20</v>
      </c>
      <c r="L635" s="21">
        <v>166</v>
      </c>
      <c r="M635" s="21">
        <v>93</v>
      </c>
      <c r="N635" s="21">
        <v>131</v>
      </c>
      <c r="O635" s="19">
        <v>230</v>
      </c>
      <c r="P635" s="22">
        <v>19</v>
      </c>
      <c r="Q635" s="22">
        <v>13</v>
      </c>
      <c r="R635" s="20" t="s">
        <v>58</v>
      </c>
      <c r="S635" s="234">
        <f>COUNTIFS(INP_DATA!$R$5:$R$3027,S$4,INP_DATA!$D$5:$D$3027,$D635,INP_DATA!$B$5:$B$3027,$B635)</f>
        <v>1</v>
      </c>
      <c r="T635" s="235">
        <f>COUNTIFS(INP_DATA!$R$5:$R$3027,T$4,INP_DATA!$D$5:$D$3027,$D635,INP_DATA!$B$5:$B$3027,$B635)</f>
        <v>0</v>
      </c>
    </row>
    <row r="636" spans="1:20" x14ac:dyDescent="0.35">
      <c r="A636" s="3" t="s">
        <v>109</v>
      </c>
      <c r="B636" s="165">
        <v>45261</v>
      </c>
      <c r="C636" s="57" t="str">
        <f>IF($B636="","",YEAR($B636)&amp;"-"&amp;IFERROR(VLOOKUP(MONTH(B636),KEY!$AE$5:$AF$16,2,FALSE),""))</f>
        <v>2023-Q4</v>
      </c>
      <c r="D636" s="3" t="s">
        <v>136</v>
      </c>
      <c r="E636" s="219">
        <v>95</v>
      </c>
      <c r="F636" s="166">
        <v>351</v>
      </c>
      <c r="G636" s="166">
        <v>243</v>
      </c>
      <c r="H636" s="21">
        <v>703</v>
      </c>
      <c r="I636" s="21">
        <v>57</v>
      </c>
      <c r="J636" s="21">
        <v>455</v>
      </c>
      <c r="K636" s="21">
        <v>53</v>
      </c>
      <c r="L636" s="21">
        <v>399</v>
      </c>
      <c r="M636" s="21">
        <v>179</v>
      </c>
      <c r="N636" s="21">
        <v>346</v>
      </c>
      <c r="O636" s="19">
        <v>368</v>
      </c>
      <c r="P636" s="22">
        <v>49</v>
      </c>
      <c r="Q636" s="22">
        <v>41</v>
      </c>
      <c r="R636" s="20" t="s">
        <v>58</v>
      </c>
      <c r="S636" s="234">
        <f>COUNTIFS(INP_DATA!$R$5:$R$3027,S$4,INP_DATA!$D$5:$D$3027,$D636,INP_DATA!$B$5:$B$3027,$B636)</f>
        <v>1</v>
      </c>
      <c r="T636" s="235">
        <f>COUNTIFS(INP_DATA!$R$5:$R$3027,T$4,INP_DATA!$D$5:$D$3027,$D636,INP_DATA!$B$5:$B$3027,$B636)</f>
        <v>0</v>
      </c>
    </row>
    <row r="637" spans="1:20" x14ac:dyDescent="0.35">
      <c r="A637" s="3" t="s">
        <v>16</v>
      </c>
      <c r="B637" s="165">
        <v>45261</v>
      </c>
      <c r="C637" s="57" t="str">
        <f>IF($B637="","",YEAR($B637)&amp;"-"&amp;IFERROR(VLOOKUP(MONTH(B637),KEY!$AE$5:$AF$16,2,FALSE),""))</f>
        <v>2023-Q4</v>
      </c>
      <c r="D637" s="3" t="s">
        <v>137</v>
      </c>
      <c r="E637" s="219">
        <v>22</v>
      </c>
      <c r="F637" s="166">
        <v>112</v>
      </c>
      <c r="G637" s="166">
        <v>75</v>
      </c>
      <c r="H637" s="21">
        <v>248</v>
      </c>
      <c r="I637" s="21">
        <v>36</v>
      </c>
      <c r="J637" s="21">
        <v>199</v>
      </c>
      <c r="K637" s="21">
        <v>44</v>
      </c>
      <c r="L637" s="21">
        <v>140</v>
      </c>
      <c r="M637" s="21">
        <v>82</v>
      </c>
      <c r="N637" s="21">
        <v>121</v>
      </c>
      <c r="O637" s="19">
        <v>207</v>
      </c>
      <c r="P637" s="22">
        <v>14</v>
      </c>
      <c r="Q637" s="22">
        <v>0</v>
      </c>
      <c r="R637" s="20" t="s">
        <v>58</v>
      </c>
      <c r="S637" s="234">
        <f>COUNTIFS(INP_DATA!$R$5:$R$3027,S$4,INP_DATA!$D$5:$D$3027,$D637,INP_DATA!$B$5:$B$3027,$B637)</f>
        <v>1</v>
      </c>
      <c r="T637" s="235">
        <f>COUNTIFS(INP_DATA!$R$5:$R$3027,T$4,INP_DATA!$D$5:$D$3027,$D637,INP_DATA!$B$5:$B$3027,$B637)</f>
        <v>0</v>
      </c>
    </row>
    <row r="638" spans="1:20" x14ac:dyDescent="0.35">
      <c r="A638" s="3" t="s">
        <v>109</v>
      </c>
      <c r="B638" s="165">
        <v>45261</v>
      </c>
      <c r="C638" s="57" t="str">
        <f>IF($B638="","",YEAR($B638)&amp;"-"&amp;IFERROR(VLOOKUP(MONTH(B638),KEY!$AE$5:$AF$16,2,FALSE),""))</f>
        <v>2023-Q4</v>
      </c>
      <c r="D638" s="3" t="s">
        <v>138</v>
      </c>
      <c r="E638" s="219">
        <v>25</v>
      </c>
      <c r="F638" s="166">
        <v>187</v>
      </c>
      <c r="G638" s="166">
        <v>90</v>
      </c>
      <c r="H638" s="21">
        <v>420</v>
      </c>
      <c r="I638" s="21">
        <v>62</v>
      </c>
      <c r="J638" s="21">
        <v>283</v>
      </c>
      <c r="K638" s="21">
        <v>46</v>
      </c>
      <c r="L638" s="21">
        <v>355</v>
      </c>
      <c r="M638" s="21">
        <v>134</v>
      </c>
      <c r="N638" s="21">
        <v>188</v>
      </c>
      <c r="O638" s="19">
        <v>184</v>
      </c>
      <c r="P638" s="22">
        <v>37</v>
      </c>
      <c r="Q638" s="22">
        <v>26</v>
      </c>
      <c r="R638" s="20" t="s">
        <v>58</v>
      </c>
      <c r="S638" s="234">
        <f>COUNTIFS(INP_DATA!$R$5:$R$3027,S$4,INP_DATA!$D$5:$D$3027,$D638,INP_DATA!$B$5:$B$3027,$B638)</f>
        <v>1</v>
      </c>
      <c r="T638" s="235">
        <f>COUNTIFS(INP_DATA!$R$5:$R$3027,T$4,INP_DATA!$D$5:$D$3027,$D638,INP_DATA!$B$5:$B$3027,$B638)</f>
        <v>0</v>
      </c>
    </row>
    <row r="639" spans="1:20" x14ac:dyDescent="0.35">
      <c r="A639" s="3" t="s">
        <v>108</v>
      </c>
      <c r="B639" s="165">
        <v>45261</v>
      </c>
      <c r="C639" s="57" t="str">
        <f>IF($B639="","",YEAR($B639)&amp;"-"&amp;IFERROR(VLOOKUP(MONTH(B639),KEY!$AE$5:$AF$16,2,FALSE),""))</f>
        <v>2023-Q4</v>
      </c>
      <c r="D639" s="3" t="s">
        <v>139</v>
      </c>
      <c r="E639" s="219">
        <v>38</v>
      </c>
      <c r="F639" s="166">
        <v>255</v>
      </c>
      <c r="G639" s="166">
        <v>141</v>
      </c>
      <c r="H639" s="21">
        <v>469</v>
      </c>
      <c r="I639" s="21">
        <v>80</v>
      </c>
      <c r="J639" s="21">
        <v>125</v>
      </c>
      <c r="K639" s="21">
        <v>35</v>
      </c>
      <c r="L639" s="21">
        <v>572</v>
      </c>
      <c r="M639" s="21">
        <v>164</v>
      </c>
      <c r="N639" s="21">
        <v>256</v>
      </c>
      <c r="O639" s="19">
        <v>299</v>
      </c>
      <c r="P639" s="22">
        <v>88</v>
      </c>
      <c r="Q639" s="22">
        <v>65</v>
      </c>
      <c r="R639" s="20" t="s">
        <v>58</v>
      </c>
      <c r="S639" s="234">
        <f>COUNTIFS(INP_DATA!$R$5:$R$3027,S$4,INP_DATA!$D$5:$D$3027,$D639,INP_DATA!$B$5:$B$3027,$B639)</f>
        <v>1</v>
      </c>
      <c r="T639" s="235">
        <f>COUNTIFS(INP_DATA!$R$5:$R$3027,T$4,INP_DATA!$D$5:$D$3027,$D639,INP_DATA!$B$5:$B$3027,$B639)</f>
        <v>0</v>
      </c>
    </row>
    <row r="640" spans="1:20" x14ac:dyDescent="0.35">
      <c r="A640" s="3" t="s">
        <v>107</v>
      </c>
      <c r="B640" s="165">
        <v>45261</v>
      </c>
      <c r="C640" s="57" t="str">
        <f>IF($B640="","",YEAR($B640)&amp;"-"&amp;IFERROR(VLOOKUP(MONTH(B640),KEY!$AE$5:$AF$16,2,FALSE),""))</f>
        <v>2023-Q4</v>
      </c>
      <c r="D640" s="3" t="s">
        <v>140</v>
      </c>
      <c r="E640" s="219">
        <v>5</v>
      </c>
      <c r="F640" s="166">
        <v>34</v>
      </c>
      <c r="G640" s="166">
        <v>45</v>
      </c>
      <c r="H640" s="21">
        <v>87</v>
      </c>
      <c r="I640" s="21">
        <v>12</v>
      </c>
      <c r="J640" s="21">
        <v>45</v>
      </c>
      <c r="K640" s="21">
        <v>6</v>
      </c>
      <c r="L640" s="21">
        <v>62</v>
      </c>
      <c r="M640" s="21">
        <v>24</v>
      </c>
      <c r="N640" s="21">
        <v>35</v>
      </c>
      <c r="O640" s="19">
        <v>69</v>
      </c>
      <c r="P640" s="22">
        <v>9</v>
      </c>
      <c r="Q640" s="22">
        <v>4</v>
      </c>
      <c r="R640" s="20" t="s">
        <v>194</v>
      </c>
      <c r="S640" s="234">
        <f>COUNTIFS(INP_DATA!$R$5:$R$3027,S$4,INP_DATA!$D$5:$D$3027,$D640,INP_DATA!$B$5:$B$3027,$B640)</f>
        <v>0</v>
      </c>
      <c r="T640" s="235">
        <f>COUNTIFS(INP_DATA!$R$5:$R$3027,T$4,INP_DATA!$D$5:$D$3027,$D640,INP_DATA!$B$5:$B$3027,$B640)</f>
        <v>0</v>
      </c>
    </row>
    <row r="641" spans="1:20" x14ac:dyDescent="0.35">
      <c r="A641" s="3" t="s">
        <v>108</v>
      </c>
      <c r="B641" s="165">
        <v>45261</v>
      </c>
      <c r="C641" s="57" t="str">
        <f>IF($B641="","",YEAR($B641)&amp;"-"&amp;IFERROR(VLOOKUP(MONTH(B641),KEY!$AE$5:$AF$16,2,FALSE),""))</f>
        <v>2023-Q4</v>
      </c>
      <c r="D641" s="3" t="s">
        <v>142</v>
      </c>
      <c r="E641" s="219">
        <v>18</v>
      </c>
      <c r="F641" s="166">
        <v>84</v>
      </c>
      <c r="G641" s="166">
        <v>73</v>
      </c>
      <c r="H641" s="21">
        <v>195</v>
      </c>
      <c r="I641" s="21">
        <v>29</v>
      </c>
      <c r="J641" s="21">
        <v>55</v>
      </c>
      <c r="K641" s="21">
        <v>12</v>
      </c>
      <c r="L641" s="21">
        <v>117</v>
      </c>
      <c r="M641" s="21">
        <v>39</v>
      </c>
      <c r="N641" s="21">
        <v>84</v>
      </c>
      <c r="O641" s="19">
        <v>138</v>
      </c>
      <c r="P641" s="22">
        <v>16</v>
      </c>
      <c r="Q641" s="22">
        <v>7</v>
      </c>
      <c r="R641" s="20" t="s">
        <v>51</v>
      </c>
      <c r="S641" s="234">
        <f>COUNTIFS(INP_DATA!$R$5:$R$3027,S$4,INP_DATA!$D$5:$D$3027,$D641,INP_DATA!$B$5:$B$3027,$B641)</f>
        <v>0</v>
      </c>
      <c r="T641" s="235">
        <f>COUNTIFS(INP_DATA!$R$5:$R$3027,T$4,INP_DATA!$D$5:$D$3027,$D641,INP_DATA!$B$5:$B$3027,$B641)</f>
        <v>1</v>
      </c>
    </row>
    <row r="642" spans="1:20" x14ac:dyDescent="0.35">
      <c r="A642" s="3" t="s">
        <v>16</v>
      </c>
      <c r="B642" s="165">
        <v>45261</v>
      </c>
      <c r="C642" s="57" t="str">
        <f>IF($B642="","",YEAR($B642)&amp;"-"&amp;IFERROR(VLOOKUP(MONTH(B642),KEY!$AE$5:$AF$16,2,FALSE),""))</f>
        <v>2023-Q4</v>
      </c>
      <c r="D642" s="3" t="s">
        <v>143</v>
      </c>
      <c r="E642" s="219">
        <v>10</v>
      </c>
      <c r="F642" s="166">
        <v>77</v>
      </c>
      <c r="G642" s="166">
        <v>84</v>
      </c>
      <c r="H642" s="21">
        <v>111</v>
      </c>
      <c r="I642" s="21">
        <v>23</v>
      </c>
      <c r="J642" s="21">
        <v>72</v>
      </c>
      <c r="K642" s="21">
        <v>17</v>
      </c>
      <c r="L642" s="21">
        <v>195</v>
      </c>
      <c r="M642" s="21">
        <v>61</v>
      </c>
      <c r="N642" s="21">
        <v>78</v>
      </c>
      <c r="O642" s="19">
        <v>184</v>
      </c>
      <c r="P642" s="22">
        <v>17</v>
      </c>
      <c r="Q642" s="22">
        <v>7</v>
      </c>
      <c r="R642" s="20" t="s">
        <v>58</v>
      </c>
      <c r="S642" s="234">
        <f>COUNTIFS(INP_DATA!$R$5:$R$3027,S$4,INP_DATA!$D$5:$D$3027,$D642,INP_DATA!$B$5:$B$3027,$B642)</f>
        <v>1</v>
      </c>
      <c r="T642" s="235">
        <f>COUNTIFS(INP_DATA!$R$5:$R$3027,T$4,INP_DATA!$D$5:$D$3027,$D642,INP_DATA!$B$5:$B$3027,$B642)</f>
        <v>0</v>
      </c>
    </row>
    <row r="643" spans="1:20" x14ac:dyDescent="0.35">
      <c r="A643" s="3" t="s">
        <v>16</v>
      </c>
      <c r="B643" s="165">
        <v>45261</v>
      </c>
      <c r="C643" s="57" t="str">
        <f>IF($B643="","",YEAR($B643)&amp;"-"&amp;IFERROR(VLOOKUP(MONTH(B643),KEY!$AE$5:$AF$16,2,FALSE),""))</f>
        <v>2023-Q4</v>
      </c>
      <c r="D643" s="3" t="s">
        <v>144</v>
      </c>
      <c r="E643" s="219">
        <v>53</v>
      </c>
      <c r="F643" s="166">
        <v>213</v>
      </c>
      <c r="G643" s="166">
        <v>227</v>
      </c>
      <c r="H643" s="21">
        <v>258</v>
      </c>
      <c r="I643" s="21">
        <v>39</v>
      </c>
      <c r="J643" s="21">
        <v>111</v>
      </c>
      <c r="K643" s="21">
        <v>22</v>
      </c>
      <c r="L643" s="21">
        <v>313</v>
      </c>
      <c r="M643" s="21">
        <v>110</v>
      </c>
      <c r="N643" s="21">
        <v>224</v>
      </c>
      <c r="O643" s="19">
        <v>368</v>
      </c>
      <c r="P643" s="22">
        <v>25</v>
      </c>
      <c r="Q643" s="22">
        <v>20</v>
      </c>
      <c r="R643" s="20" t="s">
        <v>58</v>
      </c>
      <c r="S643" s="234">
        <f>COUNTIFS(INP_DATA!$R$5:$R$3027,S$4,INP_DATA!$D$5:$D$3027,$D643,INP_DATA!$B$5:$B$3027,$B643)</f>
        <v>1</v>
      </c>
      <c r="T643" s="235">
        <f>COUNTIFS(INP_DATA!$R$5:$R$3027,T$4,INP_DATA!$D$5:$D$3027,$D643,INP_DATA!$B$5:$B$3027,$B643)</f>
        <v>0</v>
      </c>
    </row>
    <row r="644" spans="1:20" x14ac:dyDescent="0.35">
      <c r="A644" s="3" t="s">
        <v>108</v>
      </c>
      <c r="B644" s="165">
        <v>45261</v>
      </c>
      <c r="C644" s="57" t="str">
        <f>IF($B644="","",YEAR($B644)&amp;"-"&amp;IFERROR(VLOOKUP(MONTH(B644),KEY!$AE$5:$AF$16,2,FALSE),""))</f>
        <v>2023-Q4</v>
      </c>
      <c r="D644" s="3" t="s">
        <v>145</v>
      </c>
      <c r="E644" s="219">
        <v>66</v>
      </c>
      <c r="F644" s="166">
        <v>182</v>
      </c>
      <c r="G644" s="166">
        <v>178</v>
      </c>
      <c r="H644" s="21">
        <v>268</v>
      </c>
      <c r="I644" s="21">
        <v>47</v>
      </c>
      <c r="J644" s="21">
        <v>134</v>
      </c>
      <c r="K644" s="21">
        <v>29</v>
      </c>
      <c r="L644" s="21">
        <v>351</v>
      </c>
      <c r="M644" s="21">
        <v>96</v>
      </c>
      <c r="N644" s="21">
        <v>186</v>
      </c>
      <c r="O644" s="19">
        <v>322</v>
      </c>
      <c r="P644" s="22">
        <v>66</v>
      </c>
      <c r="Q644" s="22">
        <v>34</v>
      </c>
      <c r="R644" s="20" t="s">
        <v>51</v>
      </c>
      <c r="S644" s="234">
        <f>COUNTIFS(INP_DATA!$R$5:$R$3027,S$4,INP_DATA!$D$5:$D$3027,$D644,INP_DATA!$B$5:$B$3027,$B644)</f>
        <v>0</v>
      </c>
      <c r="T644" s="235">
        <f>COUNTIFS(INP_DATA!$R$5:$R$3027,T$4,INP_DATA!$D$5:$D$3027,$D644,INP_DATA!$B$5:$B$3027,$B644)</f>
        <v>1</v>
      </c>
    </row>
    <row r="645" spans="1:20" x14ac:dyDescent="0.35">
      <c r="A645" s="3" t="s">
        <v>16</v>
      </c>
      <c r="B645" s="165">
        <v>45261</v>
      </c>
      <c r="C645" s="57" t="str">
        <f>IF($B645="","",YEAR($B645)&amp;"-"&amp;IFERROR(VLOOKUP(MONTH(B645),KEY!$AE$5:$AF$16,2,FALSE),""))</f>
        <v>2023-Q4</v>
      </c>
      <c r="D645" s="3" t="s">
        <v>146</v>
      </c>
      <c r="E645" s="219">
        <v>14</v>
      </c>
      <c r="F645" s="166">
        <v>55</v>
      </c>
      <c r="G645" s="166">
        <v>53</v>
      </c>
      <c r="H645" s="21">
        <v>100</v>
      </c>
      <c r="I645" s="21">
        <v>22</v>
      </c>
      <c r="J645" s="21">
        <v>31</v>
      </c>
      <c r="K645" s="21">
        <v>2</v>
      </c>
      <c r="L645" s="21">
        <v>64</v>
      </c>
      <c r="M645" s="21">
        <v>37</v>
      </c>
      <c r="N645" s="21">
        <v>55</v>
      </c>
      <c r="O645" s="19">
        <v>92</v>
      </c>
      <c r="P645" s="22">
        <v>5</v>
      </c>
      <c r="Q645" s="22">
        <v>3</v>
      </c>
      <c r="R645" s="20" t="s">
        <v>58</v>
      </c>
      <c r="S645" s="234">
        <f>COUNTIFS(INP_DATA!$R$5:$R$3027,S$4,INP_DATA!$D$5:$D$3027,$D645,INP_DATA!$B$5:$B$3027,$B645)</f>
        <v>1</v>
      </c>
      <c r="T645" s="235">
        <f>COUNTIFS(INP_DATA!$R$5:$R$3027,T$4,INP_DATA!$D$5:$D$3027,$D645,INP_DATA!$B$5:$B$3027,$B645)</f>
        <v>0</v>
      </c>
    </row>
    <row r="646" spans="1:20" x14ac:dyDescent="0.35">
      <c r="A646" s="3" t="s">
        <v>109</v>
      </c>
      <c r="B646" s="165">
        <v>45261</v>
      </c>
      <c r="C646" s="57" t="str">
        <f>IF($B646="","",YEAR($B646)&amp;"-"&amp;IFERROR(VLOOKUP(MONTH(B646),KEY!$AE$5:$AF$16,2,FALSE),""))</f>
        <v>2023-Q4</v>
      </c>
      <c r="D646" s="3" t="s">
        <v>147</v>
      </c>
      <c r="E646" s="219">
        <v>19</v>
      </c>
      <c r="F646" s="166">
        <v>64</v>
      </c>
      <c r="G646" s="166">
        <v>58</v>
      </c>
      <c r="H646" s="21">
        <v>136</v>
      </c>
      <c r="I646" s="21">
        <v>22</v>
      </c>
      <c r="J646" s="21">
        <v>39</v>
      </c>
      <c r="K646" s="21">
        <v>8</v>
      </c>
      <c r="L646" s="21">
        <v>89</v>
      </c>
      <c r="M646" s="21">
        <v>52</v>
      </c>
      <c r="N646" s="21">
        <v>64</v>
      </c>
      <c r="O646" s="19">
        <v>92</v>
      </c>
      <c r="P646" s="22">
        <v>7</v>
      </c>
      <c r="Q646" s="22">
        <v>4</v>
      </c>
      <c r="R646" s="20" t="s">
        <v>58</v>
      </c>
      <c r="S646" s="234">
        <f>COUNTIFS(INP_DATA!$R$5:$R$3027,S$4,INP_DATA!$D$5:$D$3027,$D646,INP_DATA!$B$5:$B$3027,$B646)</f>
        <v>1</v>
      </c>
      <c r="T646" s="235">
        <f>COUNTIFS(INP_DATA!$R$5:$R$3027,T$4,INP_DATA!$D$5:$D$3027,$D646,INP_DATA!$B$5:$B$3027,$B646)</f>
        <v>0</v>
      </c>
    </row>
    <row r="647" spans="1:20" x14ac:dyDescent="0.35">
      <c r="A647" s="3" t="s">
        <v>106</v>
      </c>
      <c r="B647" s="165">
        <v>45261</v>
      </c>
      <c r="C647" s="57" t="str">
        <f>IF($B647="","",YEAR($B647)&amp;"-"&amp;IFERROR(VLOOKUP(MONTH(B647),KEY!$AE$5:$AF$16,2,FALSE),""))</f>
        <v>2023-Q4</v>
      </c>
      <c r="D647" s="3" t="s">
        <v>148</v>
      </c>
      <c r="E647" s="219">
        <v>22</v>
      </c>
      <c r="F647" s="166">
        <v>60</v>
      </c>
      <c r="G647" s="166">
        <v>55</v>
      </c>
      <c r="H647" s="21">
        <v>114</v>
      </c>
      <c r="I647" s="21">
        <v>17</v>
      </c>
      <c r="J647" s="21">
        <v>57</v>
      </c>
      <c r="K647" s="21">
        <v>7</v>
      </c>
      <c r="L647" s="21">
        <v>130</v>
      </c>
      <c r="M647" s="21">
        <v>51</v>
      </c>
      <c r="N647" s="21">
        <v>60</v>
      </c>
      <c r="O647" s="19">
        <v>92</v>
      </c>
      <c r="P647" s="22">
        <v>10</v>
      </c>
      <c r="Q647" s="22">
        <v>6</v>
      </c>
      <c r="R647" s="20" t="s">
        <v>58</v>
      </c>
      <c r="S647" s="234">
        <f>COUNTIFS(INP_DATA!$R$5:$R$3027,S$4,INP_DATA!$D$5:$D$3027,$D647,INP_DATA!$B$5:$B$3027,$B647)</f>
        <v>1</v>
      </c>
      <c r="T647" s="235">
        <f>COUNTIFS(INP_DATA!$R$5:$R$3027,T$4,INP_DATA!$D$5:$D$3027,$D647,INP_DATA!$B$5:$B$3027,$B647)</f>
        <v>0</v>
      </c>
    </row>
    <row r="648" spans="1:20" x14ac:dyDescent="0.35">
      <c r="A648" s="3" t="s">
        <v>107</v>
      </c>
      <c r="B648" s="165">
        <v>45261</v>
      </c>
      <c r="C648" s="57" t="str">
        <f>IF($B648="","",YEAR($B648)&amp;"-"&amp;IFERROR(VLOOKUP(MONTH(B648),KEY!$AE$5:$AF$16,2,FALSE),""))</f>
        <v>2023-Q4</v>
      </c>
      <c r="D648" s="3" t="s">
        <v>149</v>
      </c>
      <c r="E648" s="219">
        <v>6</v>
      </c>
      <c r="F648" s="166">
        <v>36</v>
      </c>
      <c r="G648" s="166">
        <v>30</v>
      </c>
      <c r="H648" s="21">
        <v>79</v>
      </c>
      <c r="I648" s="21">
        <v>10</v>
      </c>
      <c r="J648" s="21">
        <v>33</v>
      </c>
      <c r="K648" s="21">
        <v>3</v>
      </c>
      <c r="L648" s="21">
        <v>32</v>
      </c>
      <c r="M648" s="21">
        <v>12</v>
      </c>
      <c r="N648" s="21">
        <v>37</v>
      </c>
      <c r="O648" s="19">
        <v>69</v>
      </c>
      <c r="P648" s="22">
        <v>5</v>
      </c>
      <c r="Q648" s="22">
        <v>1</v>
      </c>
      <c r="R648" s="20" t="s">
        <v>58</v>
      </c>
      <c r="S648" s="234">
        <f>COUNTIFS(INP_DATA!$R$5:$R$3027,S$4,INP_DATA!$D$5:$D$3027,$D648,INP_DATA!$B$5:$B$3027,$B648)</f>
        <v>1</v>
      </c>
      <c r="T648" s="235">
        <f>COUNTIFS(INP_DATA!$R$5:$R$3027,T$4,INP_DATA!$D$5:$D$3027,$D648,INP_DATA!$B$5:$B$3027,$B648)</f>
        <v>0</v>
      </c>
    </row>
    <row r="649" spans="1:20" x14ac:dyDescent="0.35">
      <c r="A649" s="3" t="s">
        <v>108</v>
      </c>
      <c r="B649" s="165">
        <v>45261</v>
      </c>
      <c r="C649" s="57" t="str">
        <f>IF($B649="","",YEAR($B649)&amp;"-"&amp;IFERROR(VLOOKUP(MONTH(B649),KEY!$AE$5:$AF$16,2,FALSE),""))</f>
        <v>2023-Q4</v>
      </c>
      <c r="D649" s="3" t="s">
        <v>150</v>
      </c>
      <c r="E649" s="219">
        <v>13</v>
      </c>
      <c r="F649" s="166">
        <v>51</v>
      </c>
      <c r="G649" s="166">
        <v>54</v>
      </c>
      <c r="H649" s="21">
        <v>62</v>
      </c>
      <c r="I649" s="21">
        <v>16</v>
      </c>
      <c r="J649" s="21">
        <v>9</v>
      </c>
      <c r="K649" s="21">
        <v>2</v>
      </c>
      <c r="L649" s="21">
        <v>87</v>
      </c>
      <c r="M649" s="21">
        <v>35</v>
      </c>
      <c r="N649" s="21">
        <v>51</v>
      </c>
      <c r="O649" s="19">
        <v>115</v>
      </c>
      <c r="P649" s="22">
        <v>5</v>
      </c>
      <c r="Q649" s="22">
        <v>2</v>
      </c>
      <c r="R649" s="20" t="s">
        <v>58</v>
      </c>
      <c r="S649" s="234">
        <f>COUNTIFS(INP_DATA!$R$5:$R$3027,S$4,INP_DATA!$D$5:$D$3027,$D649,INP_DATA!$B$5:$B$3027,$B649)</f>
        <v>1</v>
      </c>
      <c r="T649" s="235">
        <f>COUNTIFS(INP_DATA!$R$5:$R$3027,T$4,INP_DATA!$D$5:$D$3027,$D649,INP_DATA!$B$5:$B$3027,$B649)</f>
        <v>0</v>
      </c>
    </row>
    <row r="650" spans="1:20" x14ac:dyDescent="0.35">
      <c r="A650" s="3" t="s">
        <v>16</v>
      </c>
      <c r="B650" s="165">
        <v>45261</v>
      </c>
      <c r="C650" s="57" t="str">
        <f>IF($B650="","",YEAR($B650)&amp;"-"&amp;IFERROR(VLOOKUP(MONTH(B650),KEY!$AE$5:$AF$16,2,FALSE),""))</f>
        <v>2023-Q4</v>
      </c>
      <c r="D650" s="3" t="s">
        <v>151</v>
      </c>
      <c r="E650" s="219">
        <v>9</v>
      </c>
      <c r="F650" s="166">
        <v>42</v>
      </c>
      <c r="G650" s="166">
        <v>32</v>
      </c>
      <c r="H650" s="21">
        <v>66</v>
      </c>
      <c r="I650" s="21">
        <v>11</v>
      </c>
      <c r="J650" s="21">
        <v>12</v>
      </c>
      <c r="K650" s="21">
        <v>4</v>
      </c>
      <c r="L650" s="21">
        <v>59</v>
      </c>
      <c r="M650" s="21">
        <v>25</v>
      </c>
      <c r="N650" s="21">
        <v>42</v>
      </c>
      <c r="O650" s="19">
        <v>92</v>
      </c>
      <c r="P650" s="22">
        <v>1</v>
      </c>
      <c r="Q650" s="22">
        <v>1</v>
      </c>
      <c r="R650" s="20" t="s">
        <v>58</v>
      </c>
      <c r="S650" s="234">
        <f>COUNTIFS(INP_DATA!$R$5:$R$3027,S$4,INP_DATA!$D$5:$D$3027,$D650,INP_DATA!$B$5:$B$3027,$B650)</f>
        <v>1</v>
      </c>
      <c r="T650" s="235">
        <f>COUNTIFS(INP_DATA!$R$5:$R$3027,T$4,INP_DATA!$D$5:$D$3027,$D650,INP_DATA!$B$5:$B$3027,$B650)</f>
        <v>0</v>
      </c>
    </row>
    <row r="651" spans="1:20" x14ac:dyDescent="0.35">
      <c r="A651" s="3" t="s">
        <v>106</v>
      </c>
      <c r="B651" s="165">
        <v>45261</v>
      </c>
      <c r="C651" s="57" t="str">
        <f>IF($B651="","",YEAR($B651)&amp;"-"&amp;IFERROR(VLOOKUP(MONTH(B651),KEY!$AE$5:$AF$16,2,FALSE),""))</f>
        <v>2023-Q4</v>
      </c>
      <c r="D651" s="3" t="s">
        <v>152</v>
      </c>
      <c r="E651" s="219">
        <v>53</v>
      </c>
      <c r="F651" s="166">
        <v>253</v>
      </c>
      <c r="G651" s="166">
        <v>274</v>
      </c>
      <c r="H651" s="21">
        <v>593</v>
      </c>
      <c r="I651" s="21">
        <v>105</v>
      </c>
      <c r="J651" s="21">
        <v>162</v>
      </c>
      <c r="K651" s="21">
        <v>41</v>
      </c>
      <c r="L651" s="21">
        <v>490</v>
      </c>
      <c r="M651" s="21">
        <v>208</v>
      </c>
      <c r="N651" s="21">
        <v>252</v>
      </c>
      <c r="O651" s="19">
        <v>299</v>
      </c>
      <c r="P651" s="22">
        <v>81</v>
      </c>
      <c r="Q651" s="22">
        <v>56</v>
      </c>
      <c r="R651" s="20" t="s">
        <v>58</v>
      </c>
      <c r="S651" s="234">
        <f>COUNTIFS(INP_DATA!$R$5:$R$3027,S$4,INP_DATA!$D$5:$D$3027,$D651,INP_DATA!$B$5:$B$3027,$B651)</f>
        <v>1</v>
      </c>
      <c r="T651" s="235">
        <f>COUNTIFS(INP_DATA!$R$5:$R$3027,T$4,INP_DATA!$D$5:$D$3027,$D651,INP_DATA!$B$5:$B$3027,$B651)</f>
        <v>0</v>
      </c>
    </row>
    <row r="652" spans="1:20" x14ac:dyDescent="0.35">
      <c r="A652" s="3" t="s">
        <v>16</v>
      </c>
      <c r="B652" s="165">
        <v>45261</v>
      </c>
      <c r="C652" s="57" t="str">
        <f>IF($B652="","",YEAR($B652)&amp;"-"&amp;IFERROR(VLOOKUP(MONTH(B652),KEY!$AE$5:$AF$16,2,FALSE),""))</f>
        <v>2023-Q4</v>
      </c>
      <c r="D652" s="3" t="s">
        <v>153</v>
      </c>
      <c r="E652" s="219">
        <v>49</v>
      </c>
      <c r="F652" s="166">
        <v>119</v>
      </c>
      <c r="G652" s="166">
        <v>123</v>
      </c>
      <c r="H652" s="21">
        <v>231</v>
      </c>
      <c r="I652" s="21">
        <v>18</v>
      </c>
      <c r="J652" s="21">
        <v>82</v>
      </c>
      <c r="K652" s="21">
        <v>4</v>
      </c>
      <c r="L652" s="21">
        <v>365</v>
      </c>
      <c r="M652" s="21">
        <v>70</v>
      </c>
      <c r="N652" s="21">
        <v>118</v>
      </c>
      <c r="O652" s="19">
        <v>299</v>
      </c>
      <c r="P652" s="22">
        <v>9</v>
      </c>
      <c r="Q652" s="22">
        <v>2</v>
      </c>
      <c r="R652" s="20" t="s">
        <v>194</v>
      </c>
      <c r="S652" s="234">
        <f>COUNTIFS(INP_DATA!$R$5:$R$3027,S$4,INP_DATA!$D$5:$D$3027,$D652,INP_DATA!$B$5:$B$3027,$B652)</f>
        <v>0</v>
      </c>
      <c r="T652" s="235">
        <f>COUNTIFS(INP_DATA!$R$5:$R$3027,T$4,INP_DATA!$D$5:$D$3027,$D652,INP_DATA!$B$5:$B$3027,$B652)</f>
        <v>0</v>
      </c>
    </row>
    <row r="653" spans="1:20" x14ac:dyDescent="0.35">
      <c r="A653" s="3" t="s">
        <v>106</v>
      </c>
      <c r="B653" s="165">
        <v>45261</v>
      </c>
      <c r="C653" s="57" t="str">
        <f>IF($B653="","",YEAR($B653)&amp;"-"&amp;IFERROR(VLOOKUP(MONTH(B653),KEY!$AE$5:$AF$16,2,FALSE),""))</f>
        <v>2023-Q4</v>
      </c>
      <c r="D653" s="3" t="s">
        <v>154</v>
      </c>
      <c r="E653" s="219">
        <v>22</v>
      </c>
      <c r="F653" s="166">
        <v>84</v>
      </c>
      <c r="G653" s="166">
        <v>88</v>
      </c>
      <c r="H653" s="21">
        <v>211</v>
      </c>
      <c r="I653" s="21">
        <v>23</v>
      </c>
      <c r="J653" s="21">
        <v>116</v>
      </c>
      <c r="K653" s="21">
        <v>17</v>
      </c>
      <c r="L653" s="21">
        <v>181</v>
      </c>
      <c r="M653" s="21">
        <v>44</v>
      </c>
      <c r="N653" s="21">
        <v>83</v>
      </c>
      <c r="O653" s="19">
        <v>184</v>
      </c>
      <c r="P653" s="22">
        <v>12</v>
      </c>
      <c r="Q653" s="22">
        <v>9</v>
      </c>
      <c r="R653" s="20" t="s">
        <v>194</v>
      </c>
      <c r="S653" s="234">
        <f>COUNTIFS(INP_DATA!$R$5:$R$3027,S$4,INP_DATA!$D$5:$D$3027,$D653,INP_DATA!$B$5:$B$3027,$B653)</f>
        <v>0</v>
      </c>
      <c r="T653" s="235">
        <f>COUNTIFS(INP_DATA!$R$5:$R$3027,T$4,INP_DATA!$D$5:$D$3027,$D653,INP_DATA!$B$5:$B$3027,$B653)</f>
        <v>0</v>
      </c>
    </row>
    <row r="654" spans="1:20" x14ac:dyDescent="0.35">
      <c r="A654" s="3" t="s">
        <v>109</v>
      </c>
      <c r="B654" s="165">
        <v>45261</v>
      </c>
      <c r="C654" s="57" t="str">
        <f>IF($B654="","",YEAR($B654)&amp;"-"&amp;IFERROR(VLOOKUP(MONTH(B654),KEY!$AE$5:$AF$16,2,FALSE),""))</f>
        <v>2023-Q4</v>
      </c>
      <c r="D654" s="3" t="s">
        <v>155</v>
      </c>
      <c r="E654" s="219">
        <v>67</v>
      </c>
      <c r="F654" s="166">
        <v>349</v>
      </c>
      <c r="G654" s="166">
        <v>298</v>
      </c>
      <c r="H654" s="21">
        <v>740</v>
      </c>
      <c r="I654" s="21">
        <v>90</v>
      </c>
      <c r="J654" s="21">
        <v>335</v>
      </c>
      <c r="K654" s="21">
        <v>61</v>
      </c>
      <c r="L654" s="21">
        <v>500</v>
      </c>
      <c r="M654" s="21">
        <v>172</v>
      </c>
      <c r="N654" s="21">
        <v>354</v>
      </c>
      <c r="O654" s="19">
        <v>529</v>
      </c>
      <c r="P654" s="22">
        <v>41</v>
      </c>
      <c r="Q654" s="22">
        <v>26</v>
      </c>
      <c r="R654" s="20" t="s">
        <v>51</v>
      </c>
      <c r="S654" s="234">
        <f>COUNTIFS(INP_DATA!$R$5:$R$3027,S$4,INP_DATA!$D$5:$D$3027,$D654,INP_DATA!$B$5:$B$3027,$B654)</f>
        <v>0</v>
      </c>
      <c r="T654" s="235">
        <f>COUNTIFS(INP_DATA!$R$5:$R$3027,T$4,INP_DATA!$D$5:$D$3027,$D654,INP_DATA!$B$5:$B$3027,$B654)</f>
        <v>1</v>
      </c>
    </row>
    <row r="655" spans="1:20" x14ac:dyDescent="0.35">
      <c r="A655" s="3" t="s">
        <v>109</v>
      </c>
      <c r="B655" s="165">
        <v>45261</v>
      </c>
      <c r="C655" s="57" t="str">
        <f>IF($B655="","",YEAR($B655)&amp;"-"&amp;IFERROR(VLOOKUP(MONTH(B655),KEY!$AE$5:$AF$16,2,FALSE),""))</f>
        <v>2023-Q4</v>
      </c>
      <c r="D655" s="3" t="s">
        <v>156</v>
      </c>
      <c r="E655" s="219">
        <v>94</v>
      </c>
      <c r="F655" s="166">
        <v>338</v>
      </c>
      <c r="G655" s="166">
        <v>327</v>
      </c>
      <c r="H655" s="21">
        <v>713</v>
      </c>
      <c r="I655" s="21">
        <v>101</v>
      </c>
      <c r="J655" s="21">
        <v>292</v>
      </c>
      <c r="K655" s="21">
        <v>57</v>
      </c>
      <c r="L655" s="21">
        <v>600</v>
      </c>
      <c r="M655" s="21">
        <v>178</v>
      </c>
      <c r="N655" s="21">
        <v>340</v>
      </c>
      <c r="O655" s="19">
        <v>414</v>
      </c>
      <c r="P655" s="22">
        <v>10</v>
      </c>
      <c r="Q655" s="22">
        <v>3</v>
      </c>
      <c r="R655" s="20" t="s">
        <v>51</v>
      </c>
      <c r="S655" s="234">
        <f>COUNTIFS(INP_DATA!$R$5:$R$3027,S$4,INP_DATA!$D$5:$D$3027,$D655,INP_DATA!$B$5:$B$3027,$B655)</f>
        <v>0</v>
      </c>
      <c r="T655" s="235">
        <f>COUNTIFS(INP_DATA!$R$5:$R$3027,T$4,INP_DATA!$D$5:$D$3027,$D655,INP_DATA!$B$5:$B$3027,$B655)</f>
        <v>1</v>
      </c>
    </row>
    <row r="656" spans="1:20" x14ac:dyDescent="0.35">
      <c r="A656" s="3" t="s">
        <v>109</v>
      </c>
      <c r="B656" s="165">
        <v>45261</v>
      </c>
      <c r="C656" s="57" t="str">
        <f>IF($B656="","",YEAR($B656)&amp;"-"&amp;IFERROR(VLOOKUP(MONTH(B656),KEY!$AE$5:$AF$16,2,FALSE),""))</f>
        <v>2023-Q4</v>
      </c>
      <c r="D656" s="3" t="s">
        <v>157</v>
      </c>
      <c r="E656" s="219">
        <v>3</v>
      </c>
      <c r="F656" s="166">
        <v>482</v>
      </c>
      <c r="G656" s="166">
        <v>202</v>
      </c>
      <c r="H656" s="21">
        <v>1109</v>
      </c>
      <c r="I656" s="21">
        <v>100</v>
      </c>
      <c r="J656" s="21">
        <v>567</v>
      </c>
      <c r="K656" s="21">
        <v>87</v>
      </c>
      <c r="L656" s="21">
        <v>827</v>
      </c>
      <c r="M656" s="21">
        <v>215</v>
      </c>
      <c r="N656" s="21">
        <v>488</v>
      </c>
      <c r="O656" s="19">
        <v>598</v>
      </c>
      <c r="P656" s="22">
        <v>24</v>
      </c>
      <c r="Q656" s="22">
        <v>16</v>
      </c>
      <c r="R656" s="20" t="s">
        <v>51</v>
      </c>
      <c r="S656" s="234">
        <f>COUNTIFS(INP_DATA!$R$5:$R$3027,S$4,INP_DATA!$D$5:$D$3027,$D656,INP_DATA!$B$5:$B$3027,$B656)</f>
        <v>0</v>
      </c>
      <c r="T656" s="235">
        <f>COUNTIFS(INP_DATA!$R$5:$R$3027,T$4,INP_DATA!$D$5:$D$3027,$D656,INP_DATA!$B$5:$B$3027,$B656)</f>
        <v>1</v>
      </c>
    </row>
    <row r="657" spans="1:20" x14ac:dyDescent="0.35">
      <c r="A657" s="3" t="s">
        <v>16</v>
      </c>
      <c r="B657" s="165">
        <v>45261</v>
      </c>
      <c r="C657" s="57" t="str">
        <f>IF($B657="","",YEAR($B657)&amp;"-"&amp;IFERROR(VLOOKUP(MONTH(B657),KEY!$AE$5:$AF$16,2,FALSE),""))</f>
        <v>2023-Q4</v>
      </c>
      <c r="D657" s="3" t="s">
        <v>158</v>
      </c>
      <c r="E657" s="219">
        <v>6</v>
      </c>
      <c r="F657" s="166">
        <v>30</v>
      </c>
      <c r="G657" s="166">
        <v>37</v>
      </c>
      <c r="H657" s="21">
        <v>80</v>
      </c>
      <c r="I657" s="21">
        <v>8</v>
      </c>
      <c r="J657" s="21">
        <v>30</v>
      </c>
      <c r="K657" s="21">
        <v>4</v>
      </c>
      <c r="L657" s="21">
        <v>53</v>
      </c>
      <c r="M657" s="21">
        <v>11</v>
      </c>
      <c r="N657" s="21">
        <v>31</v>
      </c>
      <c r="O657" s="19">
        <v>138</v>
      </c>
      <c r="P657" s="22">
        <v>2</v>
      </c>
      <c r="Q657" s="22">
        <v>0</v>
      </c>
      <c r="R657" s="20" t="s">
        <v>194</v>
      </c>
      <c r="S657" s="234">
        <f>COUNTIFS(INP_DATA!$R$5:$R$3027,S$4,INP_DATA!$D$5:$D$3027,$D657,INP_DATA!$B$5:$B$3027,$B657)</f>
        <v>0</v>
      </c>
      <c r="T657" s="235">
        <f>COUNTIFS(INP_DATA!$R$5:$R$3027,T$4,INP_DATA!$D$5:$D$3027,$D657,INP_DATA!$B$5:$B$3027,$B657)</f>
        <v>0</v>
      </c>
    </row>
    <row r="658" spans="1:20" x14ac:dyDescent="0.35">
      <c r="A658" s="3" t="s">
        <v>107</v>
      </c>
      <c r="B658" s="165">
        <v>45261</v>
      </c>
      <c r="C658" s="57" t="str">
        <f>IF($B658="","",YEAR($B658)&amp;"-"&amp;IFERROR(VLOOKUP(MONTH(B658),KEY!$AE$5:$AF$16,2,FALSE),""))</f>
        <v>2023-Q4</v>
      </c>
      <c r="D658" s="3" t="s">
        <v>159</v>
      </c>
      <c r="E658" s="219">
        <v>24</v>
      </c>
      <c r="F658" s="166">
        <v>109</v>
      </c>
      <c r="G658" s="166">
        <v>108</v>
      </c>
      <c r="H658" s="21">
        <v>197</v>
      </c>
      <c r="I658" s="21">
        <v>35</v>
      </c>
      <c r="J658" s="21">
        <v>80</v>
      </c>
      <c r="K658" s="21">
        <v>20</v>
      </c>
      <c r="L658" s="21">
        <v>156</v>
      </c>
      <c r="M658" s="21">
        <v>74</v>
      </c>
      <c r="N658" s="21">
        <v>117</v>
      </c>
      <c r="O658" s="19">
        <v>184</v>
      </c>
      <c r="P658" s="22">
        <v>36</v>
      </c>
      <c r="Q658" s="22">
        <v>24</v>
      </c>
      <c r="R658" s="20" t="s">
        <v>194</v>
      </c>
      <c r="S658" s="234">
        <f>COUNTIFS(INP_DATA!$R$5:$R$3027,S$4,INP_DATA!$D$5:$D$3027,$D658,INP_DATA!$B$5:$B$3027,$B658)</f>
        <v>0</v>
      </c>
      <c r="T658" s="235">
        <f>COUNTIFS(INP_DATA!$R$5:$R$3027,T$4,INP_DATA!$D$5:$D$3027,$D658,INP_DATA!$B$5:$B$3027,$B658)</f>
        <v>0</v>
      </c>
    </row>
    <row r="659" spans="1:20" x14ac:dyDescent="0.35">
      <c r="A659" s="3" t="s">
        <v>16</v>
      </c>
      <c r="B659" s="165">
        <v>45261</v>
      </c>
      <c r="C659" s="57" t="str">
        <f>IF($B659="","",YEAR($B659)&amp;"-"&amp;IFERROR(VLOOKUP(MONTH(B659),KEY!$AE$5:$AF$16,2,FALSE),""))</f>
        <v>2023-Q4</v>
      </c>
      <c r="D659" s="3" t="s">
        <v>160</v>
      </c>
      <c r="E659" s="219">
        <v>97</v>
      </c>
      <c r="F659" s="166">
        <v>358</v>
      </c>
      <c r="G659" s="166">
        <v>326</v>
      </c>
      <c r="H659" s="21">
        <v>584</v>
      </c>
      <c r="I659" s="21">
        <v>97</v>
      </c>
      <c r="J659" s="21">
        <v>185</v>
      </c>
      <c r="K659" s="21">
        <v>42</v>
      </c>
      <c r="L659" s="21">
        <v>447</v>
      </c>
      <c r="M659" s="21">
        <v>202</v>
      </c>
      <c r="N659" s="21">
        <v>359</v>
      </c>
      <c r="O659" s="19">
        <v>529</v>
      </c>
      <c r="P659" s="22">
        <v>65</v>
      </c>
      <c r="Q659" s="22">
        <v>44</v>
      </c>
      <c r="R659" s="20" t="s">
        <v>51</v>
      </c>
      <c r="S659" s="234">
        <f>COUNTIFS(INP_DATA!$R$5:$R$3027,S$4,INP_DATA!$D$5:$D$3027,$D659,INP_DATA!$B$5:$B$3027,$B659)</f>
        <v>0</v>
      </c>
      <c r="T659" s="235">
        <f>COUNTIFS(INP_DATA!$R$5:$R$3027,T$4,INP_DATA!$D$5:$D$3027,$D659,INP_DATA!$B$5:$B$3027,$B659)</f>
        <v>1</v>
      </c>
    </row>
    <row r="660" spans="1:20" x14ac:dyDescent="0.35">
      <c r="A660" s="3" t="s">
        <v>106</v>
      </c>
      <c r="B660" s="165">
        <v>45261</v>
      </c>
      <c r="C660" s="57" t="str">
        <f>IF($B660="","",YEAR($B660)&amp;"-"&amp;IFERROR(VLOOKUP(MONTH(B660),KEY!$AE$5:$AF$16,2,FALSE),""))</f>
        <v>2023-Q4</v>
      </c>
      <c r="D660" s="3" t="s">
        <v>161</v>
      </c>
      <c r="E660" s="219">
        <v>27</v>
      </c>
      <c r="F660" s="166">
        <v>329</v>
      </c>
      <c r="G660" s="166">
        <v>319</v>
      </c>
      <c r="H660" s="21">
        <v>630</v>
      </c>
      <c r="I660" s="21">
        <v>102</v>
      </c>
      <c r="J660" s="21">
        <v>255</v>
      </c>
      <c r="K660" s="21">
        <v>63</v>
      </c>
      <c r="L660" s="21">
        <v>382</v>
      </c>
      <c r="M660" s="21">
        <v>127</v>
      </c>
      <c r="N660" s="21">
        <v>331</v>
      </c>
      <c r="O660" s="19">
        <v>460</v>
      </c>
      <c r="P660" s="22">
        <v>24</v>
      </c>
      <c r="Q660" s="22">
        <v>15</v>
      </c>
      <c r="R660" s="20" t="s">
        <v>51</v>
      </c>
      <c r="S660" s="234">
        <f>COUNTIFS(INP_DATA!$R$5:$R$3027,S$4,INP_DATA!$D$5:$D$3027,$D660,INP_DATA!$B$5:$B$3027,$B660)</f>
        <v>0</v>
      </c>
      <c r="T660" s="235">
        <f>COUNTIFS(INP_DATA!$R$5:$R$3027,T$4,INP_DATA!$D$5:$D$3027,$D660,INP_DATA!$B$5:$B$3027,$B660)</f>
        <v>1</v>
      </c>
    </row>
    <row r="661" spans="1:20" x14ac:dyDescent="0.35">
      <c r="A661" s="3" t="s">
        <v>109</v>
      </c>
      <c r="B661" s="165">
        <v>45261</v>
      </c>
      <c r="C661" s="57" t="str">
        <f>IF($B661="","",YEAR($B661)&amp;"-"&amp;IFERROR(VLOOKUP(MONTH(B661),KEY!$AE$5:$AF$16,2,FALSE),""))</f>
        <v>2023-Q4</v>
      </c>
      <c r="D661" s="3" t="s">
        <v>162</v>
      </c>
      <c r="E661" s="219">
        <v>99</v>
      </c>
      <c r="F661" s="166">
        <v>411</v>
      </c>
      <c r="G661" s="166">
        <v>442</v>
      </c>
      <c r="H661" s="21">
        <v>612</v>
      </c>
      <c r="I661" s="21">
        <v>93</v>
      </c>
      <c r="J661" s="21">
        <v>362</v>
      </c>
      <c r="K661" s="21">
        <v>71</v>
      </c>
      <c r="L661" s="21">
        <v>694</v>
      </c>
      <c r="M661" s="21">
        <v>151</v>
      </c>
      <c r="N661" s="21">
        <v>418</v>
      </c>
      <c r="O661" s="19">
        <v>667</v>
      </c>
      <c r="P661" s="22">
        <v>9</v>
      </c>
      <c r="Q661" s="22">
        <v>8</v>
      </c>
      <c r="R661" s="20" t="s">
        <v>58</v>
      </c>
      <c r="S661" s="234">
        <f>COUNTIFS(INP_DATA!$R$5:$R$3027,S$4,INP_DATA!$D$5:$D$3027,$D661,INP_DATA!$B$5:$B$3027,$B661)</f>
        <v>1</v>
      </c>
      <c r="T661" s="235">
        <f>COUNTIFS(INP_DATA!$R$5:$R$3027,T$4,INP_DATA!$D$5:$D$3027,$D661,INP_DATA!$B$5:$B$3027,$B661)</f>
        <v>0</v>
      </c>
    </row>
    <row r="662" spans="1:20" x14ac:dyDescent="0.35">
      <c r="A662" s="3" t="s">
        <v>16</v>
      </c>
      <c r="B662" s="165">
        <v>45261</v>
      </c>
      <c r="C662" s="57" t="str">
        <f>IF($B662="","",YEAR($B662)&amp;"-"&amp;IFERROR(VLOOKUP(MONTH(B662),KEY!$AE$5:$AF$16,2,FALSE),""))</f>
        <v>2023-Q4</v>
      </c>
      <c r="D662" s="3" t="s">
        <v>163</v>
      </c>
      <c r="E662" s="219">
        <v>64</v>
      </c>
      <c r="F662" s="166">
        <v>270</v>
      </c>
      <c r="G662" s="166">
        <v>296</v>
      </c>
      <c r="H662" s="21">
        <v>306</v>
      </c>
      <c r="I662" s="21">
        <v>59</v>
      </c>
      <c r="J662" s="21">
        <v>209</v>
      </c>
      <c r="K662" s="21">
        <v>59</v>
      </c>
      <c r="L662" s="21">
        <v>381</v>
      </c>
      <c r="M662" s="21">
        <v>149</v>
      </c>
      <c r="N662" s="21">
        <v>270</v>
      </c>
      <c r="O662" s="19">
        <v>391</v>
      </c>
      <c r="P662" s="22">
        <v>20</v>
      </c>
      <c r="Q662" s="22">
        <v>11</v>
      </c>
      <c r="R662" s="20" t="s">
        <v>58</v>
      </c>
      <c r="S662" s="234">
        <f>COUNTIFS(INP_DATA!$R$5:$R$3027,S$4,INP_DATA!$D$5:$D$3027,$D662,INP_DATA!$B$5:$B$3027,$B662)</f>
        <v>1</v>
      </c>
      <c r="T662" s="235">
        <f>COUNTIFS(INP_DATA!$R$5:$R$3027,T$4,INP_DATA!$D$5:$D$3027,$D662,INP_DATA!$B$5:$B$3027,$B662)</f>
        <v>0</v>
      </c>
    </row>
    <row r="663" spans="1:20" x14ac:dyDescent="0.35">
      <c r="A663" s="3" t="s">
        <v>16</v>
      </c>
      <c r="B663" s="165">
        <v>45261</v>
      </c>
      <c r="C663" s="57" t="str">
        <f>IF($B663="","",YEAR($B663)&amp;"-"&amp;IFERROR(VLOOKUP(MONTH(B663),KEY!$AE$5:$AF$16,2,FALSE),""))</f>
        <v>2023-Q4</v>
      </c>
      <c r="D663" s="3" t="s">
        <v>164</v>
      </c>
      <c r="E663" s="219">
        <v>11</v>
      </c>
      <c r="F663" s="166">
        <v>73</v>
      </c>
      <c r="G663" s="166">
        <v>75</v>
      </c>
      <c r="H663" s="21">
        <v>226</v>
      </c>
      <c r="I663" s="21">
        <v>19</v>
      </c>
      <c r="J663" s="21">
        <v>41</v>
      </c>
      <c r="K663" s="21">
        <v>11</v>
      </c>
      <c r="L663" s="21">
        <v>113</v>
      </c>
      <c r="M663" s="21">
        <v>46</v>
      </c>
      <c r="N663" s="21">
        <v>73</v>
      </c>
      <c r="O663" s="19">
        <v>161</v>
      </c>
      <c r="P663" s="22">
        <v>13</v>
      </c>
      <c r="Q663" s="22">
        <v>5</v>
      </c>
      <c r="R663" s="20" t="s">
        <v>194</v>
      </c>
      <c r="S663" s="234">
        <f>COUNTIFS(INP_DATA!$R$5:$R$3027,S$4,INP_DATA!$D$5:$D$3027,$D663,INP_DATA!$B$5:$B$3027,$B663)</f>
        <v>0</v>
      </c>
      <c r="T663" s="235">
        <f>COUNTIFS(INP_DATA!$R$5:$R$3027,T$4,INP_DATA!$D$5:$D$3027,$D663,INP_DATA!$B$5:$B$3027,$B663)</f>
        <v>0</v>
      </c>
    </row>
    <row r="664" spans="1:20" x14ac:dyDescent="0.35">
      <c r="A664" s="3" t="s">
        <v>107</v>
      </c>
      <c r="B664" s="165">
        <v>45261</v>
      </c>
      <c r="C664" s="57" t="str">
        <f>IF($B664="","",YEAR($B664)&amp;"-"&amp;IFERROR(VLOOKUP(MONTH(B664),KEY!$AE$5:$AF$16,2,FALSE),""))</f>
        <v>2023-Q4</v>
      </c>
      <c r="D664" s="3" t="s">
        <v>165</v>
      </c>
      <c r="E664" s="219">
        <v>16</v>
      </c>
      <c r="F664" s="166">
        <v>102</v>
      </c>
      <c r="G664" s="166">
        <v>106</v>
      </c>
      <c r="H664" s="21">
        <v>286</v>
      </c>
      <c r="I664" s="21">
        <v>33</v>
      </c>
      <c r="J664" s="21">
        <v>65</v>
      </c>
      <c r="K664" s="21">
        <v>17</v>
      </c>
      <c r="L664" s="21">
        <v>149</v>
      </c>
      <c r="M664" s="21">
        <v>48</v>
      </c>
      <c r="N664" s="21">
        <v>104</v>
      </c>
      <c r="O664" s="19">
        <v>184</v>
      </c>
      <c r="P664" s="22">
        <v>31</v>
      </c>
      <c r="Q664" s="22">
        <v>16</v>
      </c>
      <c r="R664" s="20" t="s">
        <v>58</v>
      </c>
      <c r="S664" s="234">
        <f>COUNTIFS(INP_DATA!$R$5:$R$3027,S$4,INP_DATA!$D$5:$D$3027,$D664,INP_DATA!$B$5:$B$3027,$B664)</f>
        <v>1</v>
      </c>
      <c r="T664" s="235">
        <f>COUNTIFS(INP_DATA!$R$5:$R$3027,T$4,INP_DATA!$D$5:$D$3027,$D664,INP_DATA!$B$5:$B$3027,$B664)</f>
        <v>0</v>
      </c>
    </row>
    <row r="665" spans="1:20" x14ac:dyDescent="0.35">
      <c r="A665" s="3" t="s">
        <v>16</v>
      </c>
      <c r="B665" s="165">
        <v>45292</v>
      </c>
      <c r="C665" s="57" t="str">
        <f>IF($B665="","",YEAR($B665)&amp;"-"&amp;IFERROR(VLOOKUP(MONTH(B665),KEY!$AE$5:$AF$16,2,FALSE),""))</f>
        <v>2024-Q1</v>
      </c>
      <c r="D665" s="3" t="s">
        <v>111</v>
      </c>
      <c r="E665" s="219">
        <v>15</v>
      </c>
      <c r="F665" s="166">
        <v>68</v>
      </c>
      <c r="G665" s="166">
        <v>77</v>
      </c>
      <c r="H665" s="21">
        <v>100</v>
      </c>
      <c r="I665" s="21">
        <v>20</v>
      </c>
      <c r="J665" s="21">
        <v>69</v>
      </c>
      <c r="K665" s="21">
        <v>9</v>
      </c>
      <c r="L665" s="21">
        <v>123</v>
      </c>
      <c r="M665" s="21">
        <v>48</v>
      </c>
      <c r="N665" s="21">
        <v>71</v>
      </c>
      <c r="O665" s="19">
        <v>184</v>
      </c>
      <c r="P665" s="22">
        <v>10</v>
      </c>
      <c r="Q665" s="22">
        <v>7</v>
      </c>
      <c r="R665" s="20"/>
      <c r="S665" s="234">
        <f>COUNTIFS(INP_DATA!$R$5:$R$3027,S$4,INP_DATA!$D$5:$D$3027,$D665,INP_DATA!$B$5:$B$3027,$B665)</f>
        <v>0</v>
      </c>
      <c r="T665" s="235">
        <f>COUNTIFS(INP_DATA!$R$5:$R$3027,T$4,INP_DATA!$D$5:$D$3027,$D665,INP_DATA!$B$5:$B$3027,$B665)</f>
        <v>0</v>
      </c>
    </row>
    <row r="666" spans="1:20" x14ac:dyDescent="0.35">
      <c r="A666" s="3" t="s">
        <v>108</v>
      </c>
      <c r="B666" s="165">
        <v>45292</v>
      </c>
      <c r="C666" s="57" t="str">
        <f>IF($B666="","",YEAR($B666)&amp;"-"&amp;IFERROR(VLOOKUP(MONTH(B666),KEY!$AE$5:$AF$16,2,FALSE),""))</f>
        <v>2024-Q1</v>
      </c>
      <c r="D666" s="3" t="s">
        <v>112</v>
      </c>
      <c r="E666" s="219">
        <v>7</v>
      </c>
      <c r="F666" s="166">
        <v>35</v>
      </c>
      <c r="G666" s="166">
        <v>39</v>
      </c>
      <c r="H666" s="21">
        <v>52</v>
      </c>
      <c r="I666" s="21">
        <v>8</v>
      </c>
      <c r="J666" s="21">
        <v>31</v>
      </c>
      <c r="K666" s="21">
        <v>6</v>
      </c>
      <c r="L666" s="21">
        <v>75</v>
      </c>
      <c r="M666" s="21">
        <v>23</v>
      </c>
      <c r="N666" s="21">
        <v>36</v>
      </c>
      <c r="O666" s="19">
        <v>92</v>
      </c>
      <c r="P666" s="22">
        <v>6</v>
      </c>
      <c r="Q666" s="22">
        <v>4</v>
      </c>
      <c r="R666" s="20"/>
      <c r="S666" s="234">
        <f>COUNTIFS(INP_DATA!$R$5:$R$3027,S$4,INP_DATA!$D$5:$D$3027,$D666,INP_DATA!$B$5:$B$3027,$B666)</f>
        <v>0</v>
      </c>
      <c r="T666" s="235">
        <f>COUNTIFS(INP_DATA!$R$5:$R$3027,T$4,INP_DATA!$D$5:$D$3027,$D666,INP_DATA!$B$5:$B$3027,$B666)</f>
        <v>0</v>
      </c>
    </row>
    <row r="667" spans="1:20" x14ac:dyDescent="0.35">
      <c r="A667" s="3" t="s">
        <v>16</v>
      </c>
      <c r="B667" s="165">
        <v>45292</v>
      </c>
      <c r="C667" s="57" t="str">
        <f>IF($B667="","",YEAR($B667)&amp;"-"&amp;IFERROR(VLOOKUP(MONTH(B667),KEY!$AE$5:$AF$16,2,FALSE),""))</f>
        <v>2024-Q1</v>
      </c>
      <c r="D667" s="3" t="s">
        <v>113</v>
      </c>
      <c r="E667" s="219">
        <v>3</v>
      </c>
      <c r="F667" s="166">
        <v>58</v>
      </c>
      <c r="G667" s="166">
        <v>78</v>
      </c>
      <c r="H667" s="21">
        <v>228</v>
      </c>
      <c r="I667" s="21">
        <v>24</v>
      </c>
      <c r="J667" s="21">
        <v>84</v>
      </c>
      <c r="K667" s="21">
        <v>18</v>
      </c>
      <c r="L667" s="21">
        <v>125</v>
      </c>
      <c r="M667" s="21">
        <v>43</v>
      </c>
      <c r="N667" s="21">
        <v>58</v>
      </c>
      <c r="O667" s="19">
        <v>184</v>
      </c>
      <c r="P667" s="22">
        <v>12</v>
      </c>
      <c r="Q667" s="22">
        <v>8</v>
      </c>
      <c r="R667" s="20"/>
      <c r="S667" s="234">
        <f>COUNTIFS(INP_DATA!$R$5:$R$3027,S$4,INP_DATA!$D$5:$D$3027,$D667,INP_DATA!$B$5:$B$3027,$B667)</f>
        <v>0</v>
      </c>
      <c r="T667" s="235">
        <f>COUNTIFS(INP_DATA!$R$5:$R$3027,T$4,INP_DATA!$D$5:$D$3027,$D667,INP_DATA!$B$5:$B$3027,$B667)</f>
        <v>0</v>
      </c>
    </row>
    <row r="668" spans="1:20" x14ac:dyDescent="0.35">
      <c r="A668" s="3" t="s">
        <v>108</v>
      </c>
      <c r="B668" s="165">
        <v>45292</v>
      </c>
      <c r="C668" s="57" t="str">
        <f>IF($B668="","",YEAR($B668)&amp;"-"&amp;IFERROR(VLOOKUP(MONTH(B668),KEY!$AE$5:$AF$16,2,FALSE),""))</f>
        <v>2024-Q1</v>
      </c>
      <c r="D668" s="3" t="s">
        <v>114</v>
      </c>
      <c r="E668" s="219">
        <v>17</v>
      </c>
      <c r="F668" s="166">
        <v>52</v>
      </c>
      <c r="G668" s="166">
        <v>48</v>
      </c>
      <c r="H668" s="21">
        <v>95</v>
      </c>
      <c r="I668" s="21">
        <v>14</v>
      </c>
      <c r="J668" s="21">
        <v>37</v>
      </c>
      <c r="K668" s="21">
        <v>9</v>
      </c>
      <c r="L668" s="21">
        <v>68</v>
      </c>
      <c r="M668" s="21">
        <v>40</v>
      </c>
      <c r="N668" s="21">
        <v>52</v>
      </c>
      <c r="O668" s="19">
        <v>138</v>
      </c>
      <c r="P668" s="22">
        <v>14</v>
      </c>
      <c r="Q668" s="22">
        <v>10</v>
      </c>
      <c r="R668" s="20"/>
      <c r="S668" s="234">
        <f>COUNTIFS(INP_DATA!$R$5:$R$3027,S$4,INP_DATA!$D$5:$D$3027,$D668,INP_DATA!$B$5:$B$3027,$B668)</f>
        <v>0</v>
      </c>
      <c r="T668" s="235">
        <f>COUNTIFS(INP_DATA!$R$5:$R$3027,T$4,INP_DATA!$D$5:$D$3027,$D668,INP_DATA!$B$5:$B$3027,$B668)</f>
        <v>0</v>
      </c>
    </row>
    <row r="669" spans="1:20" x14ac:dyDescent="0.35">
      <c r="A669" s="3" t="s">
        <v>107</v>
      </c>
      <c r="B669" s="165">
        <v>45292</v>
      </c>
      <c r="C669" s="57" t="str">
        <f>IF($B669="","",YEAR($B669)&amp;"-"&amp;IFERROR(VLOOKUP(MONTH(B669),KEY!$AE$5:$AF$16,2,FALSE),""))</f>
        <v>2024-Q1</v>
      </c>
      <c r="D669" s="3" t="s">
        <v>115</v>
      </c>
      <c r="E669" s="219">
        <v>2</v>
      </c>
      <c r="F669" s="166">
        <v>54</v>
      </c>
      <c r="G669" s="166">
        <v>38</v>
      </c>
      <c r="H669" s="21">
        <v>83</v>
      </c>
      <c r="I669" s="21">
        <v>19</v>
      </c>
      <c r="J669" s="21">
        <v>36</v>
      </c>
      <c r="K669" s="21">
        <v>15</v>
      </c>
      <c r="L669" s="21">
        <v>76</v>
      </c>
      <c r="M669" s="21">
        <v>45</v>
      </c>
      <c r="N669" s="21">
        <v>55</v>
      </c>
      <c r="O669" s="19">
        <v>92</v>
      </c>
      <c r="P669" s="22">
        <v>0</v>
      </c>
      <c r="Q669" s="22">
        <v>0</v>
      </c>
      <c r="R669" s="20"/>
      <c r="S669" s="234">
        <f>COUNTIFS(INP_DATA!$R$5:$R$3027,S$4,INP_DATA!$D$5:$D$3027,$D669,INP_DATA!$B$5:$B$3027,$B669)</f>
        <v>0</v>
      </c>
      <c r="T669" s="235">
        <f>COUNTIFS(INP_DATA!$R$5:$R$3027,T$4,INP_DATA!$D$5:$D$3027,$D669,INP_DATA!$B$5:$B$3027,$B669)</f>
        <v>0</v>
      </c>
    </row>
    <row r="670" spans="1:20" x14ac:dyDescent="0.35">
      <c r="A670" s="3" t="s">
        <v>16</v>
      </c>
      <c r="B670" s="165">
        <v>45292</v>
      </c>
      <c r="C670" s="57" t="str">
        <f>IF($B670="","",YEAR($B670)&amp;"-"&amp;IFERROR(VLOOKUP(MONTH(B670),KEY!$AE$5:$AF$16,2,FALSE),""))</f>
        <v>2024-Q1</v>
      </c>
      <c r="D670" s="3" t="s">
        <v>116</v>
      </c>
      <c r="E670" s="219">
        <v>17</v>
      </c>
      <c r="F670" s="166">
        <v>140</v>
      </c>
      <c r="G670" s="166">
        <v>173</v>
      </c>
      <c r="H670" s="21">
        <v>285</v>
      </c>
      <c r="I670" s="21">
        <v>41</v>
      </c>
      <c r="J670" s="21">
        <v>138</v>
      </c>
      <c r="K670" s="21">
        <v>19</v>
      </c>
      <c r="L670" s="21">
        <v>225</v>
      </c>
      <c r="M670" s="21">
        <v>77</v>
      </c>
      <c r="N670" s="21">
        <v>144</v>
      </c>
      <c r="O670" s="19">
        <v>276</v>
      </c>
      <c r="P670" s="22">
        <v>25</v>
      </c>
      <c r="Q670" s="22">
        <v>8</v>
      </c>
      <c r="R670" s="20"/>
      <c r="S670" s="234">
        <f>COUNTIFS(INP_DATA!$R$5:$R$3027,S$4,INP_DATA!$D$5:$D$3027,$D670,INP_DATA!$B$5:$B$3027,$B670)</f>
        <v>0</v>
      </c>
      <c r="T670" s="235">
        <f>COUNTIFS(INP_DATA!$R$5:$R$3027,T$4,INP_DATA!$D$5:$D$3027,$D670,INP_DATA!$B$5:$B$3027,$B670)</f>
        <v>0</v>
      </c>
    </row>
    <row r="671" spans="1:20" x14ac:dyDescent="0.35">
      <c r="A671" s="3" t="s">
        <v>107</v>
      </c>
      <c r="B671" s="165">
        <v>45292</v>
      </c>
      <c r="C671" s="57" t="str">
        <f>IF($B671="","",YEAR($B671)&amp;"-"&amp;IFERROR(VLOOKUP(MONTH(B671),KEY!$AE$5:$AF$16,2,FALSE),""))</f>
        <v>2024-Q1</v>
      </c>
      <c r="D671" s="3" t="s">
        <v>117</v>
      </c>
      <c r="E671" s="219">
        <v>23</v>
      </c>
      <c r="F671" s="166">
        <v>96</v>
      </c>
      <c r="G671" s="166">
        <v>163</v>
      </c>
      <c r="H671" s="21">
        <v>159</v>
      </c>
      <c r="I671" s="21">
        <v>24</v>
      </c>
      <c r="J671" s="21">
        <v>61</v>
      </c>
      <c r="K671" s="21">
        <v>12</v>
      </c>
      <c r="L671" s="21">
        <v>168</v>
      </c>
      <c r="M671" s="21">
        <v>52</v>
      </c>
      <c r="N671" s="21">
        <v>99</v>
      </c>
      <c r="O671" s="19">
        <v>230</v>
      </c>
      <c r="P671" s="22">
        <v>62</v>
      </c>
      <c r="Q671" s="22">
        <v>29</v>
      </c>
      <c r="R671" s="20"/>
      <c r="S671" s="234">
        <f>COUNTIFS(INP_DATA!$R$5:$R$3027,S$4,INP_DATA!$D$5:$D$3027,$D671,INP_DATA!$B$5:$B$3027,$B671)</f>
        <v>0</v>
      </c>
      <c r="T671" s="235">
        <f>COUNTIFS(INP_DATA!$R$5:$R$3027,T$4,INP_DATA!$D$5:$D$3027,$D671,INP_DATA!$B$5:$B$3027,$B671)</f>
        <v>0</v>
      </c>
    </row>
    <row r="672" spans="1:20" x14ac:dyDescent="0.35">
      <c r="A672" s="3" t="s">
        <v>106</v>
      </c>
      <c r="B672" s="165">
        <v>45292</v>
      </c>
      <c r="C672" s="57" t="str">
        <f>IF($B672="","",YEAR($B672)&amp;"-"&amp;IFERROR(VLOOKUP(MONTH(B672),KEY!$AE$5:$AF$16,2,FALSE),""))</f>
        <v>2024-Q1</v>
      </c>
      <c r="D672" s="3" t="s">
        <v>118</v>
      </c>
      <c r="E672" s="219">
        <v>31</v>
      </c>
      <c r="F672" s="166">
        <v>165</v>
      </c>
      <c r="G672" s="166">
        <v>225</v>
      </c>
      <c r="H672" s="21">
        <v>521</v>
      </c>
      <c r="I672" s="21">
        <v>35</v>
      </c>
      <c r="J672" s="21">
        <v>174</v>
      </c>
      <c r="K672" s="21">
        <v>37</v>
      </c>
      <c r="L672" s="21">
        <v>284</v>
      </c>
      <c r="M672" s="21">
        <v>92</v>
      </c>
      <c r="N672" s="21">
        <v>166</v>
      </c>
      <c r="O672" s="19">
        <v>299</v>
      </c>
      <c r="P672" s="22">
        <v>68</v>
      </c>
      <c r="Q672" s="22">
        <v>42</v>
      </c>
      <c r="R672" s="20"/>
      <c r="S672" s="234">
        <f>COUNTIFS(INP_DATA!$R$5:$R$3027,S$4,INP_DATA!$D$5:$D$3027,$D672,INP_DATA!$B$5:$B$3027,$B672)</f>
        <v>0</v>
      </c>
      <c r="T672" s="235">
        <f>COUNTIFS(INP_DATA!$R$5:$R$3027,T$4,INP_DATA!$D$5:$D$3027,$D672,INP_DATA!$B$5:$B$3027,$B672)</f>
        <v>0</v>
      </c>
    </row>
    <row r="673" spans="1:20" x14ac:dyDescent="0.35">
      <c r="A673" s="3" t="s">
        <v>16</v>
      </c>
      <c r="B673" s="165">
        <v>45292</v>
      </c>
      <c r="C673" s="57" t="str">
        <f>IF($B673="","",YEAR($B673)&amp;"-"&amp;IFERROR(VLOOKUP(MONTH(B673),KEY!$AE$5:$AF$16,2,FALSE),""))</f>
        <v>2024-Q1</v>
      </c>
      <c r="D673" s="3" t="s">
        <v>119</v>
      </c>
      <c r="E673" s="219">
        <v>12</v>
      </c>
      <c r="F673" s="166">
        <v>23</v>
      </c>
      <c r="G673" s="166">
        <v>29</v>
      </c>
      <c r="H673" s="21">
        <v>42</v>
      </c>
      <c r="I673" s="21">
        <v>0</v>
      </c>
      <c r="J673" s="21">
        <v>44</v>
      </c>
      <c r="K673" s="21">
        <v>9</v>
      </c>
      <c r="L673" s="21">
        <v>90</v>
      </c>
      <c r="M673" s="21">
        <v>14</v>
      </c>
      <c r="N673" s="21">
        <v>23</v>
      </c>
      <c r="O673" s="19">
        <v>92</v>
      </c>
      <c r="P673" s="22">
        <v>1</v>
      </c>
      <c r="Q673" s="22">
        <v>0</v>
      </c>
      <c r="R673" s="20"/>
      <c r="S673" s="234">
        <f>COUNTIFS(INP_DATA!$R$5:$R$3027,S$4,INP_DATA!$D$5:$D$3027,$D673,INP_DATA!$B$5:$B$3027,$B673)</f>
        <v>0</v>
      </c>
      <c r="T673" s="235">
        <f>COUNTIFS(INP_DATA!$R$5:$R$3027,T$4,INP_DATA!$D$5:$D$3027,$D673,INP_DATA!$B$5:$B$3027,$B673)</f>
        <v>0</v>
      </c>
    </row>
    <row r="674" spans="1:20" x14ac:dyDescent="0.35">
      <c r="A674" s="3" t="s">
        <v>16</v>
      </c>
      <c r="B674" s="165">
        <v>45292</v>
      </c>
      <c r="C674" s="57" t="str">
        <f>IF($B674="","",YEAR($B674)&amp;"-"&amp;IFERROR(VLOOKUP(MONTH(B674),KEY!$AE$5:$AF$16,2,FALSE),""))</f>
        <v>2024-Q1</v>
      </c>
      <c r="D674" s="3" t="s">
        <v>120</v>
      </c>
      <c r="E674" s="219">
        <v>42</v>
      </c>
      <c r="F674" s="166">
        <v>287</v>
      </c>
      <c r="G674" s="166">
        <v>362</v>
      </c>
      <c r="H674" s="21">
        <v>717</v>
      </c>
      <c r="I674" s="21">
        <v>88</v>
      </c>
      <c r="J674" s="21">
        <v>226</v>
      </c>
      <c r="K674" s="21">
        <v>35</v>
      </c>
      <c r="L674" s="21">
        <v>456</v>
      </c>
      <c r="M674" s="21">
        <v>153</v>
      </c>
      <c r="N674" s="21">
        <v>290</v>
      </c>
      <c r="O674" s="19">
        <v>575</v>
      </c>
      <c r="P674" s="22">
        <v>54</v>
      </c>
      <c r="Q674" s="22">
        <v>32</v>
      </c>
      <c r="R674" s="20"/>
      <c r="S674" s="234">
        <f>COUNTIFS(INP_DATA!$R$5:$R$3027,S$4,INP_DATA!$D$5:$D$3027,$D674,INP_DATA!$B$5:$B$3027,$B674)</f>
        <v>0</v>
      </c>
      <c r="T674" s="235">
        <f>COUNTIFS(INP_DATA!$R$5:$R$3027,T$4,INP_DATA!$D$5:$D$3027,$D674,INP_DATA!$B$5:$B$3027,$B674)</f>
        <v>0</v>
      </c>
    </row>
    <row r="675" spans="1:20" x14ac:dyDescent="0.35">
      <c r="A675" s="3" t="s">
        <v>109</v>
      </c>
      <c r="B675" s="165">
        <v>45292</v>
      </c>
      <c r="C675" s="57" t="str">
        <f>IF($B675="","",YEAR($B675)&amp;"-"&amp;IFERROR(VLOOKUP(MONTH(B675),KEY!$AE$5:$AF$16,2,FALSE),""))</f>
        <v>2024-Q1</v>
      </c>
      <c r="D675" s="3" t="s">
        <v>121</v>
      </c>
      <c r="E675" s="219">
        <v>57</v>
      </c>
      <c r="F675" s="166">
        <v>215</v>
      </c>
      <c r="G675" s="166">
        <v>238</v>
      </c>
      <c r="H675" s="21">
        <v>644</v>
      </c>
      <c r="I675" s="21">
        <v>79</v>
      </c>
      <c r="J675" s="21">
        <v>268</v>
      </c>
      <c r="K675" s="21">
        <v>31</v>
      </c>
      <c r="L675" s="21">
        <v>517</v>
      </c>
      <c r="M675" s="21">
        <v>133</v>
      </c>
      <c r="N675" s="21">
        <v>216</v>
      </c>
      <c r="O675" s="19">
        <v>437</v>
      </c>
      <c r="P675" s="22">
        <v>20</v>
      </c>
      <c r="Q675" s="22">
        <v>15</v>
      </c>
      <c r="R675" s="20"/>
      <c r="S675" s="234">
        <f>COUNTIFS(INP_DATA!$R$5:$R$3027,S$4,INP_DATA!$D$5:$D$3027,$D675,INP_DATA!$B$5:$B$3027,$B675)</f>
        <v>0</v>
      </c>
      <c r="T675" s="235">
        <f>COUNTIFS(INP_DATA!$R$5:$R$3027,T$4,INP_DATA!$D$5:$D$3027,$D675,INP_DATA!$B$5:$B$3027,$B675)</f>
        <v>0</v>
      </c>
    </row>
    <row r="676" spans="1:20" x14ac:dyDescent="0.35">
      <c r="A676" s="3" t="s">
        <v>108</v>
      </c>
      <c r="B676" s="165">
        <v>45292</v>
      </c>
      <c r="C676" s="57" t="str">
        <f>IF($B676="","",YEAR($B676)&amp;"-"&amp;IFERROR(VLOOKUP(MONTH(B676),KEY!$AE$5:$AF$16,2,FALSE),""))</f>
        <v>2024-Q1</v>
      </c>
      <c r="D676" s="3" t="s">
        <v>122</v>
      </c>
      <c r="E676" s="219">
        <v>4</v>
      </c>
      <c r="F676" s="166">
        <v>80</v>
      </c>
      <c r="G676" s="166">
        <v>115</v>
      </c>
      <c r="H676" s="21">
        <v>288</v>
      </c>
      <c r="I676" s="21">
        <v>34</v>
      </c>
      <c r="J676" s="21">
        <v>106</v>
      </c>
      <c r="K676" s="21">
        <v>13</v>
      </c>
      <c r="L676" s="21">
        <v>164</v>
      </c>
      <c r="M676" s="21">
        <v>52</v>
      </c>
      <c r="N676" s="21">
        <v>84</v>
      </c>
      <c r="O676" s="19">
        <v>230</v>
      </c>
      <c r="P676" s="22">
        <v>0</v>
      </c>
      <c r="Q676" s="22">
        <v>0</v>
      </c>
      <c r="R676" s="20"/>
      <c r="S676" s="234">
        <f>COUNTIFS(INP_DATA!$R$5:$R$3027,S$4,INP_DATA!$D$5:$D$3027,$D676,INP_DATA!$B$5:$B$3027,$B676)</f>
        <v>0</v>
      </c>
      <c r="T676" s="235">
        <f>COUNTIFS(INP_DATA!$R$5:$R$3027,T$4,INP_DATA!$D$5:$D$3027,$D676,INP_DATA!$B$5:$B$3027,$B676)</f>
        <v>0</v>
      </c>
    </row>
    <row r="677" spans="1:20" x14ac:dyDescent="0.35">
      <c r="A677" s="3" t="s">
        <v>107</v>
      </c>
      <c r="B677" s="165">
        <v>45292</v>
      </c>
      <c r="C677" s="57" t="str">
        <f>IF($B677="","",YEAR($B677)&amp;"-"&amp;IFERROR(VLOOKUP(MONTH(B677),KEY!$AE$5:$AF$16,2,FALSE),""))</f>
        <v>2024-Q1</v>
      </c>
      <c r="D677" s="3" t="s">
        <v>123</v>
      </c>
      <c r="E677" s="219">
        <v>47</v>
      </c>
      <c r="F677" s="166">
        <v>187</v>
      </c>
      <c r="G677" s="166">
        <v>158</v>
      </c>
      <c r="H677" s="21">
        <v>290</v>
      </c>
      <c r="I677" s="21">
        <v>41</v>
      </c>
      <c r="J677" s="21">
        <v>111</v>
      </c>
      <c r="K677" s="21">
        <v>30</v>
      </c>
      <c r="L677" s="21">
        <v>337</v>
      </c>
      <c r="M677" s="21">
        <v>145</v>
      </c>
      <c r="N677" s="21">
        <v>183</v>
      </c>
      <c r="O677" s="19">
        <v>345</v>
      </c>
      <c r="P677" s="22">
        <v>34</v>
      </c>
      <c r="Q677" s="22">
        <v>23</v>
      </c>
      <c r="R677" s="20"/>
      <c r="S677" s="234">
        <f>COUNTIFS(INP_DATA!$R$5:$R$3027,S$4,INP_DATA!$D$5:$D$3027,$D677,INP_DATA!$B$5:$B$3027,$B677)</f>
        <v>0</v>
      </c>
      <c r="T677" s="235">
        <f>COUNTIFS(INP_DATA!$R$5:$R$3027,T$4,INP_DATA!$D$5:$D$3027,$D677,INP_DATA!$B$5:$B$3027,$B677)</f>
        <v>0</v>
      </c>
    </row>
    <row r="678" spans="1:20" x14ac:dyDescent="0.35">
      <c r="A678" s="3" t="s">
        <v>108</v>
      </c>
      <c r="B678" s="165">
        <v>45292</v>
      </c>
      <c r="C678" s="57" t="str">
        <f>IF($B678="","",YEAR($B678)&amp;"-"&amp;IFERROR(VLOOKUP(MONTH(B678),KEY!$AE$5:$AF$16,2,FALSE),""))</f>
        <v>2024-Q1</v>
      </c>
      <c r="D678" s="3" t="s">
        <v>124</v>
      </c>
      <c r="E678" s="219">
        <v>79</v>
      </c>
      <c r="F678" s="166">
        <v>198</v>
      </c>
      <c r="G678" s="166">
        <v>236</v>
      </c>
      <c r="H678" s="21">
        <v>329</v>
      </c>
      <c r="I678" s="21">
        <v>68</v>
      </c>
      <c r="J678" s="21">
        <v>224</v>
      </c>
      <c r="K678" s="21">
        <v>23</v>
      </c>
      <c r="L678" s="21">
        <v>368</v>
      </c>
      <c r="M678" s="21">
        <v>119</v>
      </c>
      <c r="N678" s="21">
        <v>198</v>
      </c>
      <c r="O678" s="19">
        <v>483</v>
      </c>
      <c r="P678" s="22">
        <v>56</v>
      </c>
      <c r="Q678" s="22">
        <v>37</v>
      </c>
      <c r="R678" s="20"/>
      <c r="S678" s="234">
        <f>COUNTIFS(INP_DATA!$R$5:$R$3027,S$4,INP_DATA!$D$5:$D$3027,$D678,INP_DATA!$B$5:$B$3027,$B678)</f>
        <v>0</v>
      </c>
      <c r="T678" s="235">
        <f>COUNTIFS(INP_DATA!$R$5:$R$3027,T$4,INP_DATA!$D$5:$D$3027,$D678,INP_DATA!$B$5:$B$3027,$B678)</f>
        <v>0</v>
      </c>
    </row>
    <row r="679" spans="1:20" x14ac:dyDescent="0.35">
      <c r="A679" s="3" t="s">
        <v>106</v>
      </c>
      <c r="B679" s="165">
        <v>45292</v>
      </c>
      <c r="C679" s="57" t="str">
        <f>IF($B679="","",YEAR($B679)&amp;"-"&amp;IFERROR(VLOOKUP(MONTH(B679),KEY!$AE$5:$AF$16,2,FALSE),""))</f>
        <v>2024-Q1</v>
      </c>
      <c r="D679" s="3" t="s">
        <v>195</v>
      </c>
      <c r="E679" s="219">
        <v>13</v>
      </c>
      <c r="F679" s="166">
        <v>44</v>
      </c>
      <c r="G679" s="166">
        <v>42</v>
      </c>
      <c r="H679" s="21">
        <v>172</v>
      </c>
      <c r="I679" s="21">
        <v>15</v>
      </c>
      <c r="J679" s="21">
        <v>43</v>
      </c>
      <c r="K679" s="21">
        <v>2</v>
      </c>
      <c r="L679" s="21">
        <v>97</v>
      </c>
      <c r="M679" s="21">
        <v>30</v>
      </c>
      <c r="N679" s="21">
        <v>45</v>
      </c>
      <c r="O679" s="19">
        <v>92</v>
      </c>
      <c r="P679" s="22">
        <v>7</v>
      </c>
      <c r="Q679" s="22">
        <v>7</v>
      </c>
      <c r="R679" s="20"/>
      <c r="S679" s="234">
        <f>COUNTIFS(INP_DATA!$R$5:$R$3027,S$4,INP_DATA!$D$5:$D$3027,$D679,INP_DATA!$B$5:$B$3027,$B679)</f>
        <v>0</v>
      </c>
      <c r="T679" s="235">
        <f>COUNTIFS(INP_DATA!$R$5:$R$3027,T$4,INP_DATA!$D$5:$D$3027,$D679,INP_DATA!$B$5:$B$3027,$B679)</f>
        <v>0</v>
      </c>
    </row>
    <row r="680" spans="1:20" x14ac:dyDescent="0.35">
      <c r="A680" s="3" t="s">
        <v>106</v>
      </c>
      <c r="B680" s="165">
        <v>45292</v>
      </c>
      <c r="C680" s="57" t="str">
        <f>IF($B680="","",YEAR($B680)&amp;"-"&amp;IFERROR(VLOOKUP(MONTH(B680),KEY!$AE$5:$AF$16,2,FALSE),""))</f>
        <v>2024-Q1</v>
      </c>
      <c r="D680" s="3" t="s">
        <v>125</v>
      </c>
      <c r="E680" s="219">
        <v>41</v>
      </c>
      <c r="F680" s="166">
        <v>210</v>
      </c>
      <c r="G680" s="166">
        <v>230</v>
      </c>
      <c r="H680" s="21">
        <v>449</v>
      </c>
      <c r="I680" s="21">
        <v>66</v>
      </c>
      <c r="J680" s="21">
        <v>154</v>
      </c>
      <c r="K680" s="21">
        <v>36</v>
      </c>
      <c r="L680" s="21">
        <v>419</v>
      </c>
      <c r="M680" s="21">
        <v>84</v>
      </c>
      <c r="N680" s="21">
        <v>218</v>
      </c>
      <c r="O680" s="19">
        <v>437</v>
      </c>
      <c r="P680" s="22">
        <v>23</v>
      </c>
      <c r="Q680" s="22">
        <v>16</v>
      </c>
      <c r="R680" s="20"/>
      <c r="S680" s="234">
        <f>COUNTIFS(INP_DATA!$R$5:$R$3027,S$4,INP_DATA!$D$5:$D$3027,$D680,INP_DATA!$B$5:$B$3027,$B680)</f>
        <v>0</v>
      </c>
      <c r="T680" s="235">
        <f>COUNTIFS(INP_DATA!$R$5:$R$3027,T$4,INP_DATA!$D$5:$D$3027,$D680,INP_DATA!$B$5:$B$3027,$B680)</f>
        <v>0</v>
      </c>
    </row>
    <row r="681" spans="1:20" x14ac:dyDescent="0.35">
      <c r="A681" s="3" t="s">
        <v>107</v>
      </c>
      <c r="B681" s="165">
        <v>45292</v>
      </c>
      <c r="C681" s="57" t="str">
        <f>IF($B681="","",YEAR($B681)&amp;"-"&amp;IFERROR(VLOOKUP(MONTH(B681),KEY!$AE$5:$AF$16,2,FALSE),""))</f>
        <v>2024-Q1</v>
      </c>
      <c r="D681" s="3" t="s">
        <v>126</v>
      </c>
      <c r="E681" s="219">
        <v>85</v>
      </c>
      <c r="F681" s="166">
        <v>379</v>
      </c>
      <c r="G681" s="166">
        <v>428</v>
      </c>
      <c r="H681" s="21">
        <v>590</v>
      </c>
      <c r="I681" s="21">
        <v>87</v>
      </c>
      <c r="J681" s="21">
        <v>324</v>
      </c>
      <c r="K681" s="21">
        <v>84</v>
      </c>
      <c r="L681" s="21">
        <v>653</v>
      </c>
      <c r="M681" s="21">
        <v>217</v>
      </c>
      <c r="N681" s="21">
        <v>386</v>
      </c>
      <c r="O681" s="19">
        <v>759</v>
      </c>
      <c r="P681" s="22">
        <v>136</v>
      </c>
      <c r="Q681" s="22">
        <v>86</v>
      </c>
      <c r="R681" s="20"/>
      <c r="S681" s="234">
        <f>COUNTIFS(INP_DATA!$R$5:$R$3027,S$4,INP_DATA!$D$5:$D$3027,$D681,INP_DATA!$B$5:$B$3027,$B681)</f>
        <v>0</v>
      </c>
      <c r="T681" s="235">
        <f>COUNTIFS(INP_DATA!$R$5:$R$3027,T$4,INP_DATA!$D$5:$D$3027,$D681,INP_DATA!$B$5:$B$3027,$B681)</f>
        <v>0</v>
      </c>
    </row>
    <row r="682" spans="1:20" x14ac:dyDescent="0.35">
      <c r="A682" s="3" t="s">
        <v>107</v>
      </c>
      <c r="B682" s="165">
        <v>45292</v>
      </c>
      <c r="C682" s="57" t="str">
        <f>IF($B682="","",YEAR($B682)&amp;"-"&amp;IFERROR(VLOOKUP(MONTH(B682),KEY!$AE$5:$AF$16,2,FALSE),""))</f>
        <v>2024-Q1</v>
      </c>
      <c r="D682" s="3" t="s">
        <v>127</v>
      </c>
      <c r="E682" s="219">
        <v>11</v>
      </c>
      <c r="F682" s="166">
        <v>47</v>
      </c>
      <c r="G682" s="166">
        <v>62</v>
      </c>
      <c r="H682" s="21">
        <v>118</v>
      </c>
      <c r="I682" s="21">
        <v>14</v>
      </c>
      <c r="J682" s="21">
        <v>29</v>
      </c>
      <c r="K682" s="21">
        <v>8</v>
      </c>
      <c r="L682" s="21">
        <v>75</v>
      </c>
      <c r="M682" s="21">
        <v>37</v>
      </c>
      <c r="N682" s="21">
        <v>48</v>
      </c>
      <c r="O682" s="19">
        <v>92</v>
      </c>
      <c r="P682" s="22">
        <v>12</v>
      </c>
      <c r="Q682" s="22">
        <v>5</v>
      </c>
      <c r="R682" s="20"/>
      <c r="S682" s="234">
        <f>COUNTIFS(INP_DATA!$R$5:$R$3027,S$4,INP_DATA!$D$5:$D$3027,$D682,INP_DATA!$B$5:$B$3027,$B682)</f>
        <v>0</v>
      </c>
      <c r="T682" s="235">
        <f>COUNTIFS(INP_DATA!$R$5:$R$3027,T$4,INP_DATA!$D$5:$D$3027,$D682,INP_DATA!$B$5:$B$3027,$B682)</f>
        <v>0</v>
      </c>
    </row>
    <row r="683" spans="1:20" x14ac:dyDescent="0.35">
      <c r="A683" s="3" t="s">
        <v>109</v>
      </c>
      <c r="B683" s="165">
        <v>45292</v>
      </c>
      <c r="C683" s="57" t="str">
        <f>IF($B683="","",YEAR($B683)&amp;"-"&amp;IFERROR(VLOOKUP(MONTH(B683),KEY!$AE$5:$AF$16,2,FALSE),""))</f>
        <v>2024-Q1</v>
      </c>
      <c r="D683" s="3" t="s">
        <v>128</v>
      </c>
      <c r="E683" s="219">
        <v>3</v>
      </c>
      <c r="F683" s="166">
        <v>202</v>
      </c>
      <c r="G683" s="166">
        <v>227</v>
      </c>
      <c r="H683" s="21">
        <v>510</v>
      </c>
      <c r="I683" s="21">
        <v>69</v>
      </c>
      <c r="J683" s="21">
        <v>245</v>
      </c>
      <c r="K683" s="21">
        <v>49</v>
      </c>
      <c r="L683" s="21">
        <v>389</v>
      </c>
      <c r="M683" s="21">
        <v>125</v>
      </c>
      <c r="N683" s="21">
        <v>202</v>
      </c>
      <c r="O683" s="19">
        <v>391</v>
      </c>
      <c r="P683" s="22">
        <v>0</v>
      </c>
      <c r="Q683" s="22">
        <v>0</v>
      </c>
      <c r="R683" s="20"/>
      <c r="S683" s="234">
        <f>COUNTIFS(INP_DATA!$R$5:$R$3027,S$4,INP_DATA!$D$5:$D$3027,$D683,INP_DATA!$B$5:$B$3027,$B683)</f>
        <v>0</v>
      </c>
      <c r="T683" s="235">
        <f>COUNTIFS(INP_DATA!$R$5:$R$3027,T$4,INP_DATA!$D$5:$D$3027,$D683,INP_DATA!$B$5:$B$3027,$B683)</f>
        <v>0</v>
      </c>
    </row>
    <row r="684" spans="1:20" x14ac:dyDescent="0.35">
      <c r="A684" s="3" t="s">
        <v>106</v>
      </c>
      <c r="B684" s="165">
        <v>45292</v>
      </c>
      <c r="C684" s="57" t="str">
        <f>IF($B684="","",YEAR($B684)&amp;"-"&amp;IFERROR(VLOOKUP(MONTH(B684),KEY!$AE$5:$AF$16,2,FALSE),""))</f>
        <v>2024-Q1</v>
      </c>
      <c r="D684" s="3" t="s">
        <v>129</v>
      </c>
      <c r="E684" s="219">
        <v>13</v>
      </c>
      <c r="F684" s="166">
        <v>166</v>
      </c>
      <c r="G684" s="166">
        <v>159</v>
      </c>
      <c r="H684" s="21">
        <v>275</v>
      </c>
      <c r="I684" s="21">
        <v>40</v>
      </c>
      <c r="J684" s="21">
        <v>158</v>
      </c>
      <c r="K684" s="21">
        <v>31</v>
      </c>
      <c r="L684" s="21">
        <v>255</v>
      </c>
      <c r="M684" s="21">
        <v>74</v>
      </c>
      <c r="N684" s="21">
        <v>170</v>
      </c>
      <c r="O684" s="19">
        <v>345</v>
      </c>
      <c r="P684" s="22">
        <v>33</v>
      </c>
      <c r="Q684" s="22">
        <v>21</v>
      </c>
      <c r="R684" s="20"/>
      <c r="S684" s="234">
        <f>COUNTIFS(INP_DATA!$R$5:$R$3027,S$4,INP_DATA!$D$5:$D$3027,$D684,INP_DATA!$B$5:$B$3027,$B684)</f>
        <v>0</v>
      </c>
      <c r="T684" s="235">
        <f>COUNTIFS(INP_DATA!$R$5:$R$3027,T$4,INP_DATA!$D$5:$D$3027,$D684,INP_DATA!$B$5:$B$3027,$B684)</f>
        <v>0</v>
      </c>
    </row>
    <row r="685" spans="1:20" x14ac:dyDescent="0.35">
      <c r="A685" s="3" t="s">
        <v>108</v>
      </c>
      <c r="B685" s="165">
        <v>45292</v>
      </c>
      <c r="C685" s="57" t="str">
        <f>IF($B685="","",YEAR($B685)&amp;"-"&amp;IFERROR(VLOOKUP(MONTH(B685),KEY!$AE$5:$AF$16,2,FALSE),""))</f>
        <v>2024-Q1</v>
      </c>
      <c r="D685" s="3" t="s">
        <v>130</v>
      </c>
      <c r="E685" s="219">
        <v>24</v>
      </c>
      <c r="F685" s="166">
        <v>143</v>
      </c>
      <c r="G685" s="166">
        <v>113</v>
      </c>
      <c r="H685" s="21">
        <v>325</v>
      </c>
      <c r="I685" s="21">
        <v>46</v>
      </c>
      <c r="J685" s="21">
        <v>125</v>
      </c>
      <c r="K685" s="21">
        <v>34</v>
      </c>
      <c r="L685" s="21">
        <v>153</v>
      </c>
      <c r="M685" s="21">
        <v>63</v>
      </c>
      <c r="N685" s="21">
        <v>148</v>
      </c>
      <c r="O685" s="19">
        <v>138</v>
      </c>
      <c r="P685" s="22">
        <v>47</v>
      </c>
      <c r="Q685" s="22">
        <v>30</v>
      </c>
      <c r="R685" s="20"/>
      <c r="S685" s="234">
        <f>COUNTIFS(INP_DATA!$R$5:$R$3027,S$4,INP_DATA!$D$5:$D$3027,$D685,INP_DATA!$B$5:$B$3027,$B685)</f>
        <v>0</v>
      </c>
      <c r="T685" s="235">
        <f>COUNTIFS(INP_DATA!$R$5:$R$3027,T$4,INP_DATA!$D$5:$D$3027,$D685,INP_DATA!$B$5:$B$3027,$B685)</f>
        <v>0</v>
      </c>
    </row>
    <row r="686" spans="1:20" x14ac:dyDescent="0.35">
      <c r="A686" s="3" t="s">
        <v>109</v>
      </c>
      <c r="B686" s="165">
        <v>45292</v>
      </c>
      <c r="C686" s="57" t="str">
        <f>IF($B686="","",YEAR($B686)&amp;"-"&amp;IFERROR(VLOOKUP(MONTH(B686),KEY!$AE$5:$AF$16,2,FALSE),""))</f>
        <v>2024-Q1</v>
      </c>
      <c r="D686" s="3" t="s">
        <v>131</v>
      </c>
      <c r="E686" s="219">
        <v>41</v>
      </c>
      <c r="F686" s="166">
        <v>123</v>
      </c>
      <c r="G686" s="166">
        <v>153</v>
      </c>
      <c r="H686" s="21">
        <v>97</v>
      </c>
      <c r="I686" s="21">
        <v>14</v>
      </c>
      <c r="J686" s="21">
        <v>145</v>
      </c>
      <c r="K686" s="21">
        <v>17</v>
      </c>
      <c r="L686" s="21">
        <v>395</v>
      </c>
      <c r="M686" s="21">
        <v>48</v>
      </c>
      <c r="N686" s="21">
        <v>129</v>
      </c>
      <c r="O686" s="19">
        <v>345</v>
      </c>
      <c r="P686" s="22">
        <v>5</v>
      </c>
      <c r="Q686" s="22">
        <v>3</v>
      </c>
      <c r="R686" s="20"/>
      <c r="S686" s="234">
        <f>COUNTIFS(INP_DATA!$R$5:$R$3027,S$4,INP_DATA!$D$5:$D$3027,$D686,INP_DATA!$B$5:$B$3027,$B686)</f>
        <v>0</v>
      </c>
      <c r="T686" s="235">
        <f>COUNTIFS(INP_DATA!$R$5:$R$3027,T$4,INP_DATA!$D$5:$D$3027,$D686,INP_DATA!$B$5:$B$3027,$B686)</f>
        <v>0</v>
      </c>
    </row>
    <row r="687" spans="1:20" x14ac:dyDescent="0.35">
      <c r="A687" s="3" t="s">
        <v>108</v>
      </c>
      <c r="B687" s="165">
        <v>45292</v>
      </c>
      <c r="C687" s="57" t="str">
        <f>IF($B687="","",YEAR($B687)&amp;"-"&amp;IFERROR(VLOOKUP(MONTH(B687),KEY!$AE$5:$AF$16,2,FALSE),""))</f>
        <v>2024-Q1</v>
      </c>
      <c r="D687" s="3" t="s">
        <v>134</v>
      </c>
      <c r="E687" s="219">
        <v>10</v>
      </c>
      <c r="F687" s="166">
        <v>36</v>
      </c>
      <c r="G687" s="166">
        <v>40</v>
      </c>
      <c r="H687" s="21">
        <v>63</v>
      </c>
      <c r="I687" s="21">
        <v>9</v>
      </c>
      <c r="J687" s="21">
        <v>29</v>
      </c>
      <c r="K687" s="21">
        <v>5</v>
      </c>
      <c r="L687" s="21">
        <v>50</v>
      </c>
      <c r="M687" s="21">
        <v>23</v>
      </c>
      <c r="N687" s="21">
        <v>36</v>
      </c>
      <c r="O687" s="19">
        <v>92</v>
      </c>
      <c r="P687" s="22">
        <v>11</v>
      </c>
      <c r="Q687" s="22">
        <v>7</v>
      </c>
      <c r="R687" s="20"/>
      <c r="S687" s="234">
        <f>COUNTIFS(INP_DATA!$R$5:$R$3027,S$4,INP_DATA!$D$5:$D$3027,$D687,INP_DATA!$B$5:$B$3027,$B687)</f>
        <v>0</v>
      </c>
      <c r="T687" s="235">
        <f>COUNTIFS(INP_DATA!$R$5:$R$3027,T$4,INP_DATA!$D$5:$D$3027,$D687,INP_DATA!$B$5:$B$3027,$B687)</f>
        <v>0</v>
      </c>
    </row>
    <row r="688" spans="1:20" x14ac:dyDescent="0.35">
      <c r="A688" s="3" t="s">
        <v>108</v>
      </c>
      <c r="B688" s="165">
        <v>45292</v>
      </c>
      <c r="C688" s="57" t="str">
        <f>IF($B688="","",YEAR($B688)&amp;"-"&amp;IFERROR(VLOOKUP(MONTH(B688),KEY!$AE$5:$AF$16,2,FALSE),""))</f>
        <v>2024-Q1</v>
      </c>
      <c r="D688" s="3" t="s">
        <v>135</v>
      </c>
      <c r="E688" s="219">
        <v>57</v>
      </c>
      <c r="F688" s="166">
        <v>200</v>
      </c>
      <c r="G688" s="166">
        <v>175</v>
      </c>
      <c r="H688" s="21">
        <v>426</v>
      </c>
      <c r="I688" s="21">
        <v>54</v>
      </c>
      <c r="J688" s="21">
        <v>211</v>
      </c>
      <c r="K688" s="21">
        <v>44</v>
      </c>
      <c r="L688" s="21">
        <v>593</v>
      </c>
      <c r="M688" s="21">
        <v>126</v>
      </c>
      <c r="N688" s="21">
        <v>206</v>
      </c>
      <c r="O688" s="19">
        <v>391</v>
      </c>
      <c r="P688" s="22">
        <v>30</v>
      </c>
      <c r="Q688" s="22">
        <v>20</v>
      </c>
      <c r="R688" s="20"/>
      <c r="S688" s="234">
        <f>COUNTIFS(INP_DATA!$R$5:$R$3027,S$4,INP_DATA!$D$5:$D$3027,$D688,INP_DATA!$B$5:$B$3027,$B688)</f>
        <v>0</v>
      </c>
      <c r="T688" s="235">
        <f>COUNTIFS(INP_DATA!$R$5:$R$3027,T$4,INP_DATA!$D$5:$D$3027,$D688,INP_DATA!$B$5:$B$3027,$B688)</f>
        <v>0</v>
      </c>
    </row>
    <row r="689" spans="1:20" x14ac:dyDescent="0.35">
      <c r="A689" s="3" t="s">
        <v>16</v>
      </c>
      <c r="B689" s="165">
        <v>45292</v>
      </c>
      <c r="C689" s="57" t="str">
        <f>IF($B689="","",YEAR($B689)&amp;"-"&amp;IFERROR(VLOOKUP(MONTH(B689),KEY!$AE$5:$AF$16,2,FALSE),""))</f>
        <v>2024-Q1</v>
      </c>
      <c r="D689" s="3" t="s">
        <v>196</v>
      </c>
      <c r="E689" s="219">
        <v>9</v>
      </c>
      <c r="F689" s="166">
        <v>48</v>
      </c>
      <c r="G689" s="166">
        <v>58</v>
      </c>
      <c r="H689" s="21">
        <v>105</v>
      </c>
      <c r="I689" s="21">
        <v>18</v>
      </c>
      <c r="J689" s="21">
        <v>74</v>
      </c>
      <c r="K689" s="21">
        <v>17</v>
      </c>
      <c r="L689" s="21">
        <v>128</v>
      </c>
      <c r="M689" s="21">
        <v>44</v>
      </c>
      <c r="N689" s="21">
        <v>48</v>
      </c>
      <c r="O689" s="19">
        <v>92</v>
      </c>
      <c r="P689" s="22">
        <v>3</v>
      </c>
      <c r="Q689" s="22">
        <v>2</v>
      </c>
      <c r="R689" s="20"/>
      <c r="S689" s="234">
        <f>COUNTIFS(INP_DATA!$R$5:$R$3027,S$4,INP_DATA!$D$5:$D$3027,$D689,INP_DATA!$B$5:$B$3027,$B689)</f>
        <v>0</v>
      </c>
      <c r="T689" s="235">
        <f>COUNTIFS(INP_DATA!$R$5:$R$3027,T$4,INP_DATA!$D$5:$D$3027,$D689,INP_DATA!$B$5:$B$3027,$B689)</f>
        <v>0</v>
      </c>
    </row>
    <row r="690" spans="1:20" x14ac:dyDescent="0.35">
      <c r="A690" s="3" t="s">
        <v>16</v>
      </c>
      <c r="B690" s="165">
        <v>45292</v>
      </c>
      <c r="C690" s="57" t="str">
        <f>IF($B690="","",YEAR($B690)&amp;"-"&amp;IFERROR(VLOOKUP(MONTH(B690),KEY!$AE$5:$AF$16,2,FALSE),""))</f>
        <v>2024-Q1</v>
      </c>
      <c r="D690" s="3" t="s">
        <v>197</v>
      </c>
      <c r="E690" s="219">
        <v>22</v>
      </c>
      <c r="F690" s="166">
        <v>98</v>
      </c>
      <c r="G690" s="166">
        <v>106</v>
      </c>
      <c r="H690" s="21">
        <v>166</v>
      </c>
      <c r="I690" s="21">
        <v>26</v>
      </c>
      <c r="J690" s="21">
        <v>97</v>
      </c>
      <c r="K690" s="21">
        <v>19</v>
      </c>
      <c r="L690" s="21">
        <v>162</v>
      </c>
      <c r="M690" s="21">
        <v>69</v>
      </c>
      <c r="N690" s="21">
        <v>104</v>
      </c>
      <c r="O690" s="19">
        <v>184</v>
      </c>
      <c r="P690" s="22">
        <v>10</v>
      </c>
      <c r="Q690" s="22">
        <v>7</v>
      </c>
      <c r="R690" s="20"/>
      <c r="S690" s="234">
        <f>COUNTIFS(INP_DATA!$R$5:$R$3027,S$4,INP_DATA!$D$5:$D$3027,$D690,INP_DATA!$B$5:$B$3027,$B690)</f>
        <v>0</v>
      </c>
      <c r="T690" s="235">
        <f>COUNTIFS(INP_DATA!$R$5:$R$3027,T$4,INP_DATA!$D$5:$D$3027,$D690,INP_DATA!$B$5:$B$3027,$B690)</f>
        <v>0</v>
      </c>
    </row>
    <row r="691" spans="1:20" x14ac:dyDescent="0.35">
      <c r="A691" s="3" t="s">
        <v>109</v>
      </c>
      <c r="B691" s="165">
        <v>45292</v>
      </c>
      <c r="C691" s="57" t="str">
        <f>IF($B691="","",YEAR($B691)&amp;"-"&amp;IFERROR(VLOOKUP(MONTH(B691),KEY!$AE$5:$AF$16,2,FALSE),""))</f>
        <v>2024-Q1</v>
      </c>
      <c r="D691" s="3" t="s">
        <v>136</v>
      </c>
      <c r="E691" s="219">
        <v>78</v>
      </c>
      <c r="F691" s="166">
        <v>270</v>
      </c>
      <c r="G691" s="166">
        <v>235</v>
      </c>
      <c r="H691" s="21">
        <v>510</v>
      </c>
      <c r="I691" s="21">
        <v>55</v>
      </c>
      <c r="J691" s="21">
        <v>417</v>
      </c>
      <c r="K691" s="21">
        <v>32</v>
      </c>
      <c r="L691" s="21">
        <v>410</v>
      </c>
      <c r="M691" s="21">
        <v>146</v>
      </c>
      <c r="N691" s="21">
        <v>275</v>
      </c>
      <c r="O691" s="19">
        <v>322</v>
      </c>
      <c r="P691" s="22">
        <v>47</v>
      </c>
      <c r="Q691" s="22">
        <v>39</v>
      </c>
      <c r="R691" s="20"/>
      <c r="S691" s="234">
        <f>COUNTIFS(INP_DATA!$R$5:$R$3027,S$4,INP_DATA!$D$5:$D$3027,$D691,INP_DATA!$B$5:$B$3027,$B691)</f>
        <v>0</v>
      </c>
      <c r="T691" s="235">
        <f>COUNTIFS(INP_DATA!$R$5:$R$3027,T$4,INP_DATA!$D$5:$D$3027,$D691,INP_DATA!$B$5:$B$3027,$B691)</f>
        <v>0</v>
      </c>
    </row>
    <row r="692" spans="1:20" x14ac:dyDescent="0.35">
      <c r="A692" s="3" t="s">
        <v>16</v>
      </c>
      <c r="B692" s="165">
        <v>45292</v>
      </c>
      <c r="C692" s="57" t="str">
        <f>IF($B692="","",YEAR($B692)&amp;"-"&amp;IFERROR(VLOOKUP(MONTH(B692),KEY!$AE$5:$AF$16,2,FALSE),""))</f>
        <v>2024-Q1</v>
      </c>
      <c r="D692" s="3" t="s">
        <v>137</v>
      </c>
      <c r="E692" s="219">
        <v>17</v>
      </c>
      <c r="F692" s="166">
        <v>85</v>
      </c>
      <c r="G692" s="166">
        <v>77</v>
      </c>
      <c r="H692" s="21">
        <v>273</v>
      </c>
      <c r="I692" s="21">
        <v>37</v>
      </c>
      <c r="J692" s="21">
        <v>161</v>
      </c>
      <c r="K692" s="21">
        <v>33</v>
      </c>
      <c r="L692" s="21">
        <v>146</v>
      </c>
      <c r="M692" s="21">
        <v>68</v>
      </c>
      <c r="N692" s="21">
        <v>89</v>
      </c>
      <c r="O692" s="19">
        <v>161</v>
      </c>
      <c r="P692" s="22">
        <v>15</v>
      </c>
      <c r="Q692" s="22">
        <v>6</v>
      </c>
      <c r="R692" s="20"/>
      <c r="S692" s="234">
        <f>COUNTIFS(INP_DATA!$R$5:$R$3027,S$4,INP_DATA!$D$5:$D$3027,$D692,INP_DATA!$B$5:$B$3027,$B692)</f>
        <v>0</v>
      </c>
      <c r="T692" s="235">
        <f>COUNTIFS(INP_DATA!$R$5:$R$3027,T$4,INP_DATA!$D$5:$D$3027,$D692,INP_DATA!$B$5:$B$3027,$B692)</f>
        <v>0</v>
      </c>
    </row>
    <row r="693" spans="1:20" x14ac:dyDescent="0.35">
      <c r="A693" s="3" t="s">
        <v>109</v>
      </c>
      <c r="B693" s="165">
        <v>45292</v>
      </c>
      <c r="C693" s="57" t="str">
        <f>IF($B693="","",YEAR($B693)&amp;"-"&amp;IFERROR(VLOOKUP(MONTH(B693),KEY!$AE$5:$AF$16,2,FALSE),""))</f>
        <v>2024-Q1</v>
      </c>
      <c r="D693" s="3" t="s">
        <v>138</v>
      </c>
      <c r="E693" s="219">
        <v>27</v>
      </c>
      <c r="F693" s="166">
        <v>157</v>
      </c>
      <c r="G693" s="166">
        <v>128</v>
      </c>
      <c r="H693" s="21">
        <v>437</v>
      </c>
      <c r="I693" s="21">
        <v>46</v>
      </c>
      <c r="J693" s="21">
        <v>291</v>
      </c>
      <c r="K693" s="21">
        <v>43</v>
      </c>
      <c r="L693" s="21">
        <v>303</v>
      </c>
      <c r="M693" s="21">
        <v>115</v>
      </c>
      <c r="N693" s="21">
        <v>157</v>
      </c>
      <c r="O693" s="19">
        <v>115</v>
      </c>
      <c r="P693" s="22">
        <v>11</v>
      </c>
      <c r="Q693" s="22">
        <v>8</v>
      </c>
      <c r="R693" s="20"/>
      <c r="S693" s="234">
        <f>COUNTIFS(INP_DATA!$R$5:$R$3027,S$4,INP_DATA!$D$5:$D$3027,$D693,INP_DATA!$B$5:$B$3027,$B693)</f>
        <v>0</v>
      </c>
      <c r="T693" s="235">
        <f>COUNTIFS(INP_DATA!$R$5:$R$3027,T$4,INP_DATA!$D$5:$D$3027,$D693,INP_DATA!$B$5:$B$3027,$B693)</f>
        <v>0</v>
      </c>
    </row>
    <row r="694" spans="1:20" x14ac:dyDescent="0.35">
      <c r="A694" s="3" t="s">
        <v>108</v>
      </c>
      <c r="B694" s="165">
        <v>45292</v>
      </c>
      <c r="C694" s="57" t="str">
        <f>IF($B694="","",YEAR($B694)&amp;"-"&amp;IFERROR(VLOOKUP(MONTH(B694),KEY!$AE$5:$AF$16,2,FALSE),""))</f>
        <v>2024-Q1</v>
      </c>
      <c r="D694" s="3" t="s">
        <v>139</v>
      </c>
      <c r="E694" s="219">
        <v>36</v>
      </c>
      <c r="F694" s="166">
        <v>171</v>
      </c>
      <c r="G694" s="166">
        <v>138</v>
      </c>
      <c r="H694" s="21">
        <v>390</v>
      </c>
      <c r="I694" s="21">
        <v>62</v>
      </c>
      <c r="J694" s="21">
        <v>82</v>
      </c>
      <c r="K694" s="21">
        <v>20</v>
      </c>
      <c r="L694" s="21">
        <v>500</v>
      </c>
      <c r="M694" s="21">
        <v>108</v>
      </c>
      <c r="N694" s="21">
        <v>171</v>
      </c>
      <c r="O694" s="19">
        <v>299</v>
      </c>
      <c r="P694" s="22">
        <v>61</v>
      </c>
      <c r="Q694" s="22">
        <v>47</v>
      </c>
      <c r="R694" s="20"/>
      <c r="S694" s="234">
        <f>COUNTIFS(INP_DATA!$R$5:$R$3027,S$4,INP_DATA!$D$5:$D$3027,$D694,INP_DATA!$B$5:$B$3027,$B694)</f>
        <v>0</v>
      </c>
      <c r="T694" s="235">
        <f>COUNTIFS(INP_DATA!$R$5:$R$3027,T$4,INP_DATA!$D$5:$D$3027,$D694,INP_DATA!$B$5:$B$3027,$B694)</f>
        <v>0</v>
      </c>
    </row>
    <row r="695" spans="1:20" x14ac:dyDescent="0.35">
      <c r="A695" s="3" t="s">
        <v>107</v>
      </c>
      <c r="B695" s="165">
        <v>45292</v>
      </c>
      <c r="C695" s="57" t="str">
        <f>IF($B695="","",YEAR($B695)&amp;"-"&amp;IFERROR(VLOOKUP(MONTH(B695),KEY!$AE$5:$AF$16,2,FALSE),""))</f>
        <v>2024-Q1</v>
      </c>
      <c r="D695" s="3" t="s">
        <v>140</v>
      </c>
      <c r="E695" s="219">
        <v>9</v>
      </c>
      <c r="F695" s="166">
        <v>31</v>
      </c>
      <c r="G695" s="166">
        <v>43</v>
      </c>
      <c r="H695" s="21">
        <v>101</v>
      </c>
      <c r="I695" s="21">
        <v>11</v>
      </c>
      <c r="J695" s="21">
        <v>35</v>
      </c>
      <c r="K695" s="21">
        <v>5</v>
      </c>
      <c r="L695" s="21">
        <v>82</v>
      </c>
      <c r="M695" s="21">
        <v>27</v>
      </c>
      <c r="N695" s="21">
        <v>33</v>
      </c>
      <c r="O695" s="19">
        <v>69</v>
      </c>
      <c r="P695" s="22">
        <v>9</v>
      </c>
      <c r="Q695" s="22">
        <v>4</v>
      </c>
      <c r="R695" s="20"/>
      <c r="S695" s="234">
        <f>COUNTIFS(INP_DATA!$R$5:$R$3027,S$4,INP_DATA!$D$5:$D$3027,$D695,INP_DATA!$B$5:$B$3027,$B695)</f>
        <v>0</v>
      </c>
      <c r="T695" s="235">
        <f>COUNTIFS(INP_DATA!$R$5:$R$3027,T$4,INP_DATA!$D$5:$D$3027,$D695,INP_DATA!$B$5:$B$3027,$B695)</f>
        <v>0</v>
      </c>
    </row>
    <row r="696" spans="1:20" x14ac:dyDescent="0.35">
      <c r="A696" s="3" t="s">
        <v>108</v>
      </c>
      <c r="B696" s="165">
        <v>45292</v>
      </c>
      <c r="C696" s="57" t="str">
        <f>IF($B696="","",YEAR($B696)&amp;"-"&amp;IFERROR(VLOOKUP(MONTH(B696),KEY!$AE$5:$AF$16,2,FALSE),""))</f>
        <v>2024-Q1</v>
      </c>
      <c r="D696" s="3" t="s">
        <v>142</v>
      </c>
      <c r="E696" s="219">
        <v>12</v>
      </c>
      <c r="F696" s="166">
        <v>59</v>
      </c>
      <c r="G696" s="166">
        <v>68</v>
      </c>
      <c r="H696" s="21">
        <v>156</v>
      </c>
      <c r="I696" s="21">
        <v>21</v>
      </c>
      <c r="J696" s="21">
        <v>47</v>
      </c>
      <c r="K696" s="21">
        <v>8</v>
      </c>
      <c r="L696" s="21">
        <v>108</v>
      </c>
      <c r="M696" s="21">
        <v>33</v>
      </c>
      <c r="N696" s="21">
        <v>59</v>
      </c>
      <c r="O696" s="19">
        <v>115</v>
      </c>
      <c r="P696" s="22">
        <v>21</v>
      </c>
      <c r="Q696" s="22">
        <v>18</v>
      </c>
      <c r="R696" s="20"/>
      <c r="S696" s="234">
        <f>COUNTIFS(INP_DATA!$R$5:$R$3027,S$4,INP_DATA!$D$5:$D$3027,$D696,INP_DATA!$B$5:$B$3027,$B696)</f>
        <v>0</v>
      </c>
      <c r="T696" s="235">
        <f>COUNTIFS(INP_DATA!$R$5:$R$3027,T$4,INP_DATA!$D$5:$D$3027,$D696,INP_DATA!$B$5:$B$3027,$B696)</f>
        <v>0</v>
      </c>
    </row>
    <row r="697" spans="1:20" x14ac:dyDescent="0.35">
      <c r="A697" s="3" t="s">
        <v>16</v>
      </c>
      <c r="B697" s="165">
        <v>45292</v>
      </c>
      <c r="C697" s="57" t="str">
        <f>IF($B697="","",YEAR($B697)&amp;"-"&amp;IFERROR(VLOOKUP(MONTH(B697),KEY!$AE$5:$AF$16,2,FALSE),""))</f>
        <v>2024-Q1</v>
      </c>
      <c r="D697" s="3" t="s">
        <v>143</v>
      </c>
      <c r="E697" s="219">
        <v>13</v>
      </c>
      <c r="F697" s="166">
        <v>59</v>
      </c>
      <c r="G697" s="166">
        <v>77</v>
      </c>
      <c r="H697" s="21">
        <v>118</v>
      </c>
      <c r="I697" s="21">
        <v>14</v>
      </c>
      <c r="J697" s="21">
        <v>81</v>
      </c>
      <c r="K697" s="21">
        <v>17</v>
      </c>
      <c r="L697" s="21">
        <v>161</v>
      </c>
      <c r="M697" s="21">
        <v>48</v>
      </c>
      <c r="N697" s="21">
        <v>60</v>
      </c>
      <c r="O697" s="19">
        <v>184</v>
      </c>
      <c r="P697" s="22">
        <v>9</v>
      </c>
      <c r="Q697" s="22">
        <v>3</v>
      </c>
      <c r="R697" s="20"/>
      <c r="S697" s="234">
        <f>COUNTIFS(INP_DATA!$R$5:$R$3027,S$4,INP_DATA!$D$5:$D$3027,$D697,INP_DATA!$B$5:$B$3027,$B697)</f>
        <v>0</v>
      </c>
      <c r="T697" s="235">
        <f>COUNTIFS(INP_DATA!$R$5:$R$3027,T$4,INP_DATA!$D$5:$D$3027,$D697,INP_DATA!$B$5:$B$3027,$B697)</f>
        <v>0</v>
      </c>
    </row>
    <row r="698" spans="1:20" x14ac:dyDescent="0.35">
      <c r="A698" s="3" t="s">
        <v>16</v>
      </c>
      <c r="B698" s="165">
        <v>45292</v>
      </c>
      <c r="C698" s="57" t="str">
        <f>IF($B698="","",YEAR($B698)&amp;"-"&amp;IFERROR(VLOOKUP(MONTH(B698),KEY!$AE$5:$AF$16,2,FALSE),""))</f>
        <v>2024-Q1</v>
      </c>
      <c r="D698" s="3" t="s">
        <v>144</v>
      </c>
      <c r="E698" s="219">
        <v>50</v>
      </c>
      <c r="F698" s="166">
        <v>203</v>
      </c>
      <c r="G698" s="166">
        <v>184</v>
      </c>
      <c r="H698" s="21">
        <v>408</v>
      </c>
      <c r="I698" s="21">
        <v>43</v>
      </c>
      <c r="J698" s="21">
        <v>153</v>
      </c>
      <c r="K698" s="21">
        <v>22</v>
      </c>
      <c r="L698" s="21">
        <v>367</v>
      </c>
      <c r="M698" s="21">
        <v>125</v>
      </c>
      <c r="N698" s="21">
        <v>208</v>
      </c>
      <c r="O698" s="19">
        <v>368</v>
      </c>
      <c r="P698" s="22">
        <v>28</v>
      </c>
      <c r="Q698" s="22">
        <v>23</v>
      </c>
      <c r="R698" s="20"/>
      <c r="S698" s="234">
        <f>COUNTIFS(INP_DATA!$R$5:$R$3027,S$4,INP_DATA!$D$5:$D$3027,$D698,INP_DATA!$B$5:$B$3027,$B698)</f>
        <v>0</v>
      </c>
      <c r="T698" s="235">
        <f>COUNTIFS(INP_DATA!$R$5:$R$3027,T$4,INP_DATA!$D$5:$D$3027,$D698,INP_DATA!$B$5:$B$3027,$B698)</f>
        <v>0</v>
      </c>
    </row>
    <row r="699" spans="1:20" x14ac:dyDescent="0.35">
      <c r="A699" s="3" t="s">
        <v>108</v>
      </c>
      <c r="B699" s="165">
        <v>45292</v>
      </c>
      <c r="C699" s="57" t="str">
        <f>IF($B699="","",YEAR($B699)&amp;"-"&amp;IFERROR(VLOOKUP(MONTH(B699),KEY!$AE$5:$AF$16,2,FALSE),""))</f>
        <v>2024-Q1</v>
      </c>
      <c r="D699" s="3" t="s">
        <v>145</v>
      </c>
      <c r="E699" s="219">
        <v>67</v>
      </c>
      <c r="F699" s="166">
        <v>149</v>
      </c>
      <c r="G699" s="166">
        <v>175</v>
      </c>
      <c r="H699" s="21">
        <v>263</v>
      </c>
      <c r="I699" s="21">
        <v>37</v>
      </c>
      <c r="J699" s="21">
        <v>134</v>
      </c>
      <c r="K699" s="21">
        <v>25</v>
      </c>
      <c r="L699" s="21">
        <v>338</v>
      </c>
      <c r="M699" s="21">
        <v>89</v>
      </c>
      <c r="N699" s="21">
        <v>150</v>
      </c>
      <c r="O699" s="19">
        <v>322</v>
      </c>
      <c r="P699" s="22">
        <v>66</v>
      </c>
      <c r="Q699" s="22">
        <v>44</v>
      </c>
      <c r="R699" s="20"/>
      <c r="S699" s="234">
        <f>COUNTIFS(INP_DATA!$R$5:$R$3027,S$4,INP_DATA!$D$5:$D$3027,$D699,INP_DATA!$B$5:$B$3027,$B699)</f>
        <v>0</v>
      </c>
      <c r="T699" s="235">
        <f>COUNTIFS(INP_DATA!$R$5:$R$3027,T$4,INP_DATA!$D$5:$D$3027,$D699,INP_DATA!$B$5:$B$3027,$B699)</f>
        <v>0</v>
      </c>
    </row>
    <row r="700" spans="1:20" x14ac:dyDescent="0.35">
      <c r="A700" s="3" t="s">
        <v>16</v>
      </c>
      <c r="B700" s="165">
        <v>45292</v>
      </c>
      <c r="C700" s="57" t="str">
        <f>IF($B700="","",YEAR($B700)&amp;"-"&amp;IFERROR(VLOOKUP(MONTH(B700),KEY!$AE$5:$AF$16,2,FALSE),""))</f>
        <v>2024-Q1</v>
      </c>
      <c r="D700" s="3" t="s">
        <v>146</v>
      </c>
      <c r="E700" s="219">
        <v>8</v>
      </c>
      <c r="F700" s="166">
        <v>34</v>
      </c>
      <c r="G700" s="166">
        <v>43</v>
      </c>
      <c r="H700" s="21">
        <v>87</v>
      </c>
      <c r="I700" s="21">
        <v>6</v>
      </c>
      <c r="J700" s="21">
        <v>29</v>
      </c>
      <c r="K700" s="21">
        <v>7</v>
      </c>
      <c r="L700" s="21">
        <v>45</v>
      </c>
      <c r="M700" s="21">
        <v>20</v>
      </c>
      <c r="N700" s="21">
        <v>34</v>
      </c>
      <c r="O700" s="19">
        <v>92</v>
      </c>
      <c r="P700" s="22">
        <v>3</v>
      </c>
      <c r="Q700" s="22">
        <v>2</v>
      </c>
      <c r="R700" s="20"/>
      <c r="S700" s="234">
        <f>COUNTIFS(INP_DATA!$R$5:$R$3027,S$4,INP_DATA!$D$5:$D$3027,$D700,INP_DATA!$B$5:$B$3027,$B700)</f>
        <v>0</v>
      </c>
      <c r="T700" s="235">
        <f>COUNTIFS(INP_DATA!$R$5:$R$3027,T$4,INP_DATA!$D$5:$D$3027,$D700,INP_DATA!$B$5:$B$3027,$B700)</f>
        <v>0</v>
      </c>
    </row>
    <row r="701" spans="1:20" x14ac:dyDescent="0.35">
      <c r="A701" s="3" t="s">
        <v>109</v>
      </c>
      <c r="B701" s="165">
        <v>45292</v>
      </c>
      <c r="C701" s="57" t="str">
        <f>IF($B701="","",YEAR($B701)&amp;"-"&amp;IFERROR(VLOOKUP(MONTH(B701),KEY!$AE$5:$AF$16,2,FALSE),""))</f>
        <v>2024-Q1</v>
      </c>
      <c r="D701" s="3" t="s">
        <v>147</v>
      </c>
      <c r="E701" s="219">
        <v>11</v>
      </c>
      <c r="F701" s="166">
        <v>49</v>
      </c>
      <c r="G701" s="166">
        <v>57</v>
      </c>
      <c r="H701" s="21">
        <v>117</v>
      </c>
      <c r="I701" s="21">
        <v>16</v>
      </c>
      <c r="J701" s="21">
        <v>52</v>
      </c>
      <c r="K701" s="21">
        <v>5</v>
      </c>
      <c r="L701" s="21">
        <v>67</v>
      </c>
      <c r="M701" s="21">
        <v>33</v>
      </c>
      <c r="N701" s="21">
        <v>46</v>
      </c>
      <c r="O701" s="19">
        <v>115</v>
      </c>
      <c r="P701" s="22">
        <v>5</v>
      </c>
      <c r="Q701" s="22">
        <v>3</v>
      </c>
      <c r="R701" s="20"/>
      <c r="S701" s="234">
        <f>COUNTIFS(INP_DATA!$R$5:$R$3027,S$4,INP_DATA!$D$5:$D$3027,$D701,INP_DATA!$B$5:$B$3027,$B701)</f>
        <v>0</v>
      </c>
      <c r="T701" s="235">
        <f>COUNTIFS(INP_DATA!$R$5:$R$3027,T$4,INP_DATA!$D$5:$D$3027,$D701,INP_DATA!$B$5:$B$3027,$B701)</f>
        <v>0</v>
      </c>
    </row>
    <row r="702" spans="1:20" x14ac:dyDescent="0.35">
      <c r="A702" s="3" t="s">
        <v>106</v>
      </c>
      <c r="B702" s="165">
        <v>45292</v>
      </c>
      <c r="C702" s="57" t="str">
        <f>IF($B702="","",YEAR($B702)&amp;"-"&amp;IFERROR(VLOOKUP(MONTH(B702),KEY!$AE$5:$AF$16,2,FALSE),""))</f>
        <v>2024-Q1</v>
      </c>
      <c r="D702" s="3" t="s">
        <v>148</v>
      </c>
      <c r="E702" s="219">
        <v>13</v>
      </c>
      <c r="F702" s="166">
        <v>40</v>
      </c>
      <c r="G702" s="166">
        <v>50</v>
      </c>
      <c r="H702" s="21">
        <v>125</v>
      </c>
      <c r="I702" s="21">
        <v>16</v>
      </c>
      <c r="J702" s="21">
        <v>99</v>
      </c>
      <c r="K702" s="21">
        <v>6</v>
      </c>
      <c r="L702" s="21">
        <v>110</v>
      </c>
      <c r="M702" s="21">
        <v>35</v>
      </c>
      <c r="N702" s="21">
        <v>40</v>
      </c>
      <c r="O702" s="19">
        <v>92</v>
      </c>
      <c r="P702" s="22">
        <v>9</v>
      </c>
      <c r="Q702" s="22">
        <v>4</v>
      </c>
      <c r="R702" s="20"/>
      <c r="S702" s="234">
        <f>COUNTIFS(INP_DATA!$R$5:$R$3027,S$4,INP_DATA!$D$5:$D$3027,$D702,INP_DATA!$B$5:$B$3027,$B702)</f>
        <v>0</v>
      </c>
      <c r="T702" s="235">
        <f>COUNTIFS(INP_DATA!$R$5:$R$3027,T$4,INP_DATA!$D$5:$D$3027,$D702,INP_DATA!$B$5:$B$3027,$B702)</f>
        <v>0</v>
      </c>
    </row>
    <row r="703" spans="1:20" x14ac:dyDescent="0.35">
      <c r="A703" s="3" t="s">
        <v>107</v>
      </c>
      <c r="B703" s="165">
        <v>45292</v>
      </c>
      <c r="C703" s="57" t="str">
        <f>IF($B703="","",YEAR($B703)&amp;"-"&amp;IFERROR(VLOOKUP(MONTH(B703),KEY!$AE$5:$AF$16,2,FALSE),""))</f>
        <v>2024-Q1</v>
      </c>
      <c r="D703" s="3" t="s">
        <v>149</v>
      </c>
      <c r="E703" s="219">
        <v>8</v>
      </c>
      <c r="F703" s="166">
        <v>28</v>
      </c>
      <c r="G703" s="166">
        <v>23</v>
      </c>
      <c r="H703" s="21">
        <v>77</v>
      </c>
      <c r="I703" s="21">
        <v>10</v>
      </c>
      <c r="J703" s="21">
        <v>31</v>
      </c>
      <c r="K703" s="21">
        <v>3</v>
      </c>
      <c r="L703" s="21">
        <v>43</v>
      </c>
      <c r="M703" s="21">
        <v>19</v>
      </c>
      <c r="N703" s="21">
        <v>30</v>
      </c>
      <c r="O703" s="19">
        <v>46</v>
      </c>
      <c r="P703" s="22">
        <v>4</v>
      </c>
      <c r="Q703" s="22">
        <v>3</v>
      </c>
      <c r="R703" s="20"/>
      <c r="S703" s="234">
        <f>COUNTIFS(INP_DATA!$R$5:$R$3027,S$4,INP_DATA!$D$5:$D$3027,$D703,INP_DATA!$B$5:$B$3027,$B703)</f>
        <v>0</v>
      </c>
      <c r="T703" s="235">
        <f>COUNTIFS(INP_DATA!$R$5:$R$3027,T$4,INP_DATA!$D$5:$D$3027,$D703,INP_DATA!$B$5:$B$3027,$B703)</f>
        <v>0</v>
      </c>
    </row>
    <row r="704" spans="1:20" x14ac:dyDescent="0.35">
      <c r="A704" s="3" t="s">
        <v>108</v>
      </c>
      <c r="B704" s="165">
        <v>45292</v>
      </c>
      <c r="C704" s="57" t="str">
        <f>IF($B704="","",YEAR($B704)&amp;"-"&amp;IFERROR(VLOOKUP(MONTH(B704),KEY!$AE$5:$AF$16,2,FALSE),""))</f>
        <v>2024-Q1</v>
      </c>
      <c r="D704" s="3" t="s">
        <v>150</v>
      </c>
      <c r="E704" s="219">
        <v>9</v>
      </c>
      <c r="F704" s="166">
        <v>47</v>
      </c>
      <c r="G704" s="166">
        <v>43</v>
      </c>
      <c r="H704" s="21">
        <v>54</v>
      </c>
      <c r="I704" s="21">
        <v>14</v>
      </c>
      <c r="J704" s="21">
        <v>17</v>
      </c>
      <c r="K704" s="21">
        <v>4</v>
      </c>
      <c r="L704" s="21">
        <v>78</v>
      </c>
      <c r="M704" s="21">
        <v>31</v>
      </c>
      <c r="N704" s="21">
        <v>48</v>
      </c>
      <c r="O704" s="19">
        <v>115</v>
      </c>
      <c r="P704" s="22">
        <v>3</v>
      </c>
      <c r="Q704" s="22">
        <v>1</v>
      </c>
      <c r="R704" s="20"/>
      <c r="S704" s="234">
        <f>COUNTIFS(INP_DATA!$R$5:$R$3027,S$4,INP_DATA!$D$5:$D$3027,$D704,INP_DATA!$B$5:$B$3027,$B704)</f>
        <v>0</v>
      </c>
      <c r="T704" s="235">
        <f>COUNTIFS(INP_DATA!$R$5:$R$3027,T$4,INP_DATA!$D$5:$D$3027,$D704,INP_DATA!$B$5:$B$3027,$B704)</f>
        <v>0</v>
      </c>
    </row>
    <row r="705" spans="1:20" x14ac:dyDescent="0.35">
      <c r="A705" s="3" t="s">
        <v>16</v>
      </c>
      <c r="B705" s="165">
        <v>45292</v>
      </c>
      <c r="C705" s="57" t="str">
        <f>IF($B705="","",YEAR($B705)&amp;"-"&amp;IFERROR(VLOOKUP(MONTH(B705),KEY!$AE$5:$AF$16,2,FALSE),""))</f>
        <v>2024-Q1</v>
      </c>
      <c r="D705" s="3" t="s">
        <v>151</v>
      </c>
      <c r="E705" s="219">
        <v>4</v>
      </c>
      <c r="F705" s="166">
        <v>24</v>
      </c>
      <c r="G705" s="166">
        <v>29</v>
      </c>
      <c r="H705" s="21">
        <v>73</v>
      </c>
      <c r="I705" s="21">
        <v>14</v>
      </c>
      <c r="J705" s="21">
        <v>11</v>
      </c>
      <c r="K705" s="21">
        <v>0</v>
      </c>
      <c r="L705" s="21">
        <v>48</v>
      </c>
      <c r="M705" s="21">
        <v>17</v>
      </c>
      <c r="N705" s="21">
        <v>24</v>
      </c>
      <c r="O705" s="19">
        <v>69</v>
      </c>
      <c r="P705" s="22">
        <v>1</v>
      </c>
      <c r="Q705" s="22">
        <v>1</v>
      </c>
      <c r="R705" s="20"/>
      <c r="S705" s="234">
        <f>COUNTIFS(INP_DATA!$R$5:$R$3027,S$4,INP_DATA!$D$5:$D$3027,$D705,INP_DATA!$B$5:$B$3027,$B705)</f>
        <v>0</v>
      </c>
      <c r="T705" s="235">
        <f>COUNTIFS(INP_DATA!$R$5:$R$3027,T$4,INP_DATA!$D$5:$D$3027,$D705,INP_DATA!$B$5:$B$3027,$B705)</f>
        <v>0</v>
      </c>
    </row>
    <row r="706" spans="1:20" x14ac:dyDescent="0.35">
      <c r="A706" s="3" t="s">
        <v>106</v>
      </c>
      <c r="B706" s="165">
        <v>45292</v>
      </c>
      <c r="C706" s="57" t="str">
        <f>IF($B706="","",YEAR($B706)&amp;"-"&amp;IFERROR(VLOOKUP(MONTH(B706),KEY!$AE$5:$AF$16,2,FALSE),""))</f>
        <v>2024-Q1</v>
      </c>
      <c r="D706" s="3" t="s">
        <v>152</v>
      </c>
      <c r="E706" s="219">
        <v>47</v>
      </c>
      <c r="F706" s="166">
        <v>188</v>
      </c>
      <c r="G706" s="166">
        <v>179</v>
      </c>
      <c r="H706" s="21">
        <v>461</v>
      </c>
      <c r="I706" s="21">
        <v>86</v>
      </c>
      <c r="J706" s="21">
        <v>145</v>
      </c>
      <c r="K706" s="21">
        <v>28</v>
      </c>
      <c r="L706" s="21">
        <v>409</v>
      </c>
      <c r="M706" s="21">
        <v>162</v>
      </c>
      <c r="N706" s="21">
        <v>188</v>
      </c>
      <c r="O706" s="19">
        <v>299</v>
      </c>
      <c r="P706" s="22">
        <v>39</v>
      </c>
      <c r="Q706" s="22">
        <v>24</v>
      </c>
      <c r="R706" s="20"/>
      <c r="S706" s="234">
        <f>COUNTIFS(INP_DATA!$R$5:$R$3027,S$4,INP_DATA!$D$5:$D$3027,$D706,INP_DATA!$B$5:$B$3027,$B706)</f>
        <v>0</v>
      </c>
      <c r="T706" s="235">
        <f>COUNTIFS(INP_DATA!$R$5:$R$3027,T$4,INP_DATA!$D$5:$D$3027,$D706,INP_DATA!$B$5:$B$3027,$B706)</f>
        <v>0</v>
      </c>
    </row>
    <row r="707" spans="1:20" x14ac:dyDescent="0.35">
      <c r="A707" s="3" t="s">
        <v>16</v>
      </c>
      <c r="B707" s="165">
        <v>45292</v>
      </c>
      <c r="C707" s="57" t="str">
        <f>IF($B707="","",YEAR($B707)&amp;"-"&amp;IFERROR(VLOOKUP(MONTH(B707),KEY!$AE$5:$AF$16,2,FALSE),""))</f>
        <v>2024-Q1</v>
      </c>
      <c r="D707" s="3" t="s">
        <v>153</v>
      </c>
      <c r="E707" s="219">
        <v>41</v>
      </c>
      <c r="F707" s="166">
        <v>117</v>
      </c>
      <c r="G707" s="166">
        <v>93</v>
      </c>
      <c r="H707" s="21">
        <v>246</v>
      </c>
      <c r="I707" s="21">
        <v>19</v>
      </c>
      <c r="J707" s="21">
        <v>111</v>
      </c>
      <c r="K707" s="21">
        <v>9</v>
      </c>
      <c r="L707" s="21">
        <v>326</v>
      </c>
      <c r="M707" s="21">
        <v>65</v>
      </c>
      <c r="N707" s="21">
        <v>115</v>
      </c>
      <c r="O707" s="19">
        <v>276</v>
      </c>
      <c r="P707" s="22">
        <v>10</v>
      </c>
      <c r="Q707" s="22">
        <v>7</v>
      </c>
      <c r="R707" s="20"/>
      <c r="S707" s="234">
        <f>COUNTIFS(INP_DATA!$R$5:$R$3027,S$4,INP_DATA!$D$5:$D$3027,$D707,INP_DATA!$B$5:$B$3027,$B707)</f>
        <v>0</v>
      </c>
      <c r="T707" s="235">
        <f>COUNTIFS(INP_DATA!$R$5:$R$3027,T$4,INP_DATA!$D$5:$D$3027,$D707,INP_DATA!$B$5:$B$3027,$B707)</f>
        <v>0</v>
      </c>
    </row>
    <row r="708" spans="1:20" x14ac:dyDescent="0.35">
      <c r="A708" s="3" t="s">
        <v>106</v>
      </c>
      <c r="B708" s="165">
        <v>45292</v>
      </c>
      <c r="C708" s="57" t="str">
        <f>IF($B708="","",YEAR($B708)&amp;"-"&amp;IFERROR(VLOOKUP(MONTH(B708),KEY!$AE$5:$AF$16,2,FALSE),""))</f>
        <v>2024-Q1</v>
      </c>
      <c r="D708" s="3" t="s">
        <v>154</v>
      </c>
      <c r="E708" s="219">
        <v>18</v>
      </c>
      <c r="F708" s="166">
        <v>60</v>
      </c>
      <c r="G708" s="166">
        <v>65</v>
      </c>
      <c r="H708" s="21">
        <v>240</v>
      </c>
      <c r="I708" s="21">
        <v>32</v>
      </c>
      <c r="J708" s="21">
        <v>146</v>
      </c>
      <c r="K708" s="21">
        <v>10</v>
      </c>
      <c r="L708" s="21">
        <v>167</v>
      </c>
      <c r="M708" s="21">
        <v>38</v>
      </c>
      <c r="N708" s="21">
        <v>63</v>
      </c>
      <c r="O708" s="19">
        <v>115</v>
      </c>
      <c r="P708" s="22">
        <v>13</v>
      </c>
      <c r="Q708" s="22">
        <v>9</v>
      </c>
      <c r="R708" s="20"/>
      <c r="S708" s="234">
        <f>COUNTIFS(INP_DATA!$R$5:$R$3027,S$4,INP_DATA!$D$5:$D$3027,$D708,INP_DATA!$B$5:$B$3027,$B708)</f>
        <v>0</v>
      </c>
      <c r="T708" s="235">
        <f>COUNTIFS(INP_DATA!$R$5:$R$3027,T$4,INP_DATA!$D$5:$D$3027,$D708,INP_DATA!$B$5:$B$3027,$B708)</f>
        <v>0</v>
      </c>
    </row>
    <row r="709" spans="1:20" x14ac:dyDescent="0.35">
      <c r="A709" s="3" t="s">
        <v>109</v>
      </c>
      <c r="B709" s="165">
        <v>45292</v>
      </c>
      <c r="C709" s="57" t="str">
        <f>IF($B709="","",YEAR($B709)&amp;"-"&amp;IFERROR(VLOOKUP(MONTH(B709),KEY!$AE$5:$AF$16,2,FALSE),""))</f>
        <v>2024-Q1</v>
      </c>
      <c r="D709" s="3" t="s">
        <v>155</v>
      </c>
      <c r="E709" s="219">
        <v>67</v>
      </c>
      <c r="F709" s="166">
        <v>293</v>
      </c>
      <c r="G709" s="166">
        <v>253</v>
      </c>
      <c r="H709" s="21">
        <v>740</v>
      </c>
      <c r="I709" s="21">
        <v>92</v>
      </c>
      <c r="J709" s="21">
        <v>295</v>
      </c>
      <c r="K709" s="21">
        <v>50</v>
      </c>
      <c r="L709" s="21">
        <v>418</v>
      </c>
      <c r="M709" s="21">
        <v>158</v>
      </c>
      <c r="N709" s="21">
        <v>298</v>
      </c>
      <c r="O709" s="19">
        <v>529</v>
      </c>
      <c r="P709" s="22">
        <v>30</v>
      </c>
      <c r="Q709" s="22">
        <v>21</v>
      </c>
      <c r="R709" s="20"/>
      <c r="S709" s="234">
        <f>COUNTIFS(INP_DATA!$R$5:$R$3027,S$4,INP_DATA!$D$5:$D$3027,$D709,INP_DATA!$B$5:$B$3027,$B709)</f>
        <v>0</v>
      </c>
      <c r="T709" s="235">
        <f>COUNTIFS(INP_DATA!$R$5:$R$3027,T$4,INP_DATA!$D$5:$D$3027,$D709,INP_DATA!$B$5:$B$3027,$B709)</f>
        <v>0</v>
      </c>
    </row>
    <row r="710" spans="1:20" x14ac:dyDescent="0.35">
      <c r="A710" s="3" t="s">
        <v>109</v>
      </c>
      <c r="B710" s="165">
        <v>45292</v>
      </c>
      <c r="C710" s="57" t="str">
        <f>IF($B710="","",YEAR($B710)&amp;"-"&amp;IFERROR(VLOOKUP(MONTH(B710),KEY!$AE$5:$AF$16,2,FALSE),""))</f>
        <v>2024-Q1</v>
      </c>
      <c r="D710" s="3" t="s">
        <v>156</v>
      </c>
      <c r="E710" s="219">
        <v>59</v>
      </c>
      <c r="F710" s="166">
        <v>234</v>
      </c>
      <c r="G710" s="166">
        <v>264</v>
      </c>
      <c r="H710" s="21">
        <v>604</v>
      </c>
      <c r="I710" s="21">
        <v>78</v>
      </c>
      <c r="J710" s="21">
        <v>276</v>
      </c>
      <c r="K710" s="21">
        <v>43</v>
      </c>
      <c r="L710" s="21">
        <v>454</v>
      </c>
      <c r="M710" s="21">
        <v>132</v>
      </c>
      <c r="N710" s="21">
        <v>240</v>
      </c>
      <c r="O710" s="19">
        <v>437</v>
      </c>
      <c r="P710" s="22">
        <v>10</v>
      </c>
      <c r="Q710" s="22">
        <v>0</v>
      </c>
      <c r="R710" s="20"/>
      <c r="S710" s="234">
        <f>COUNTIFS(INP_DATA!$R$5:$R$3027,S$4,INP_DATA!$D$5:$D$3027,$D710,INP_DATA!$B$5:$B$3027,$B710)</f>
        <v>0</v>
      </c>
      <c r="T710" s="235">
        <f>COUNTIFS(INP_DATA!$R$5:$R$3027,T$4,INP_DATA!$D$5:$D$3027,$D710,INP_DATA!$B$5:$B$3027,$B710)</f>
        <v>0</v>
      </c>
    </row>
    <row r="711" spans="1:20" x14ac:dyDescent="0.35">
      <c r="A711" s="3" t="s">
        <v>109</v>
      </c>
      <c r="B711" s="165">
        <v>45292</v>
      </c>
      <c r="C711" s="57" t="str">
        <f>IF($B711="","",YEAR($B711)&amp;"-"&amp;IFERROR(VLOOKUP(MONTH(B711),KEY!$AE$5:$AF$16,2,FALSE),""))</f>
        <v>2024-Q1</v>
      </c>
      <c r="D711" s="3" t="s">
        <v>157</v>
      </c>
      <c r="E711" s="219">
        <v>0</v>
      </c>
      <c r="F711" s="166">
        <v>406</v>
      </c>
      <c r="G711" s="166">
        <v>171</v>
      </c>
      <c r="H711" s="21">
        <v>1138</v>
      </c>
      <c r="I711" s="21">
        <v>90</v>
      </c>
      <c r="J711" s="21">
        <v>510</v>
      </c>
      <c r="K711" s="21">
        <v>68</v>
      </c>
      <c r="L711" s="21">
        <v>705</v>
      </c>
      <c r="M711" s="21">
        <v>188</v>
      </c>
      <c r="N711" s="21">
        <v>419</v>
      </c>
      <c r="O711" s="19">
        <v>506</v>
      </c>
      <c r="P711" s="22">
        <v>20</v>
      </c>
      <c r="Q711" s="22">
        <v>12</v>
      </c>
      <c r="R711" s="20"/>
      <c r="S711" s="234">
        <f>COUNTIFS(INP_DATA!$R$5:$R$3027,S$4,INP_DATA!$D$5:$D$3027,$D711,INP_DATA!$B$5:$B$3027,$B711)</f>
        <v>0</v>
      </c>
      <c r="T711" s="235">
        <f>COUNTIFS(INP_DATA!$R$5:$R$3027,T$4,INP_DATA!$D$5:$D$3027,$D711,INP_DATA!$B$5:$B$3027,$B711)</f>
        <v>0</v>
      </c>
    </row>
    <row r="712" spans="1:20" x14ac:dyDescent="0.35">
      <c r="A712" s="3" t="s">
        <v>16</v>
      </c>
      <c r="B712" s="165">
        <v>45292</v>
      </c>
      <c r="C712" s="57" t="str">
        <f>IF($B712="","",YEAR($B712)&amp;"-"&amp;IFERROR(VLOOKUP(MONTH(B712),KEY!$AE$5:$AF$16,2,FALSE),""))</f>
        <v>2024-Q1</v>
      </c>
      <c r="D712" s="3" t="s">
        <v>158</v>
      </c>
      <c r="E712" s="219">
        <v>4</v>
      </c>
      <c r="F712" s="166">
        <v>33</v>
      </c>
      <c r="G712" s="166">
        <v>26</v>
      </c>
      <c r="H712" s="21">
        <v>123</v>
      </c>
      <c r="I712" s="21">
        <v>9</v>
      </c>
      <c r="J712" s="21">
        <v>39</v>
      </c>
      <c r="K712" s="21">
        <v>5</v>
      </c>
      <c r="L712" s="21">
        <v>60</v>
      </c>
      <c r="M712" s="21">
        <v>14</v>
      </c>
      <c r="N712" s="21">
        <v>33</v>
      </c>
      <c r="O712" s="19">
        <v>115</v>
      </c>
      <c r="P712" s="22">
        <v>0</v>
      </c>
      <c r="Q712" s="22">
        <v>0</v>
      </c>
      <c r="R712" s="20"/>
      <c r="S712" s="234">
        <f>COUNTIFS(INP_DATA!$R$5:$R$3027,S$4,INP_DATA!$D$5:$D$3027,$D712,INP_DATA!$B$5:$B$3027,$B712)</f>
        <v>0</v>
      </c>
      <c r="T712" s="235">
        <f>COUNTIFS(INP_DATA!$R$5:$R$3027,T$4,INP_DATA!$D$5:$D$3027,$D712,INP_DATA!$B$5:$B$3027,$B712)</f>
        <v>0</v>
      </c>
    </row>
    <row r="713" spans="1:20" x14ac:dyDescent="0.35">
      <c r="A713" s="3" t="s">
        <v>107</v>
      </c>
      <c r="B713" s="165">
        <v>45292</v>
      </c>
      <c r="C713" s="57" t="str">
        <f>IF($B713="","",YEAR($B713)&amp;"-"&amp;IFERROR(VLOOKUP(MONTH(B713),KEY!$AE$5:$AF$16,2,FALSE),""))</f>
        <v>2024-Q1</v>
      </c>
      <c r="D713" s="3" t="s">
        <v>159</v>
      </c>
      <c r="E713" s="219">
        <v>21</v>
      </c>
      <c r="F713" s="166">
        <v>106</v>
      </c>
      <c r="G713" s="166">
        <v>103</v>
      </c>
      <c r="H713" s="21">
        <v>160</v>
      </c>
      <c r="I713" s="21">
        <v>31</v>
      </c>
      <c r="J713" s="21">
        <v>66</v>
      </c>
      <c r="K713" s="21">
        <v>22</v>
      </c>
      <c r="L713" s="21">
        <v>183</v>
      </c>
      <c r="M713" s="21">
        <v>75</v>
      </c>
      <c r="N713" s="21">
        <v>112</v>
      </c>
      <c r="O713" s="19">
        <v>184</v>
      </c>
      <c r="P713" s="22">
        <v>17</v>
      </c>
      <c r="Q713" s="22">
        <v>11</v>
      </c>
      <c r="R713" s="20"/>
      <c r="S713" s="234">
        <f>COUNTIFS(INP_DATA!$R$5:$R$3027,S$4,INP_DATA!$D$5:$D$3027,$D713,INP_DATA!$B$5:$B$3027,$B713)</f>
        <v>0</v>
      </c>
      <c r="T713" s="235">
        <f>COUNTIFS(INP_DATA!$R$5:$R$3027,T$4,INP_DATA!$D$5:$D$3027,$D713,INP_DATA!$B$5:$B$3027,$B713)</f>
        <v>0</v>
      </c>
    </row>
    <row r="714" spans="1:20" x14ac:dyDescent="0.35">
      <c r="A714" s="3" t="s">
        <v>16</v>
      </c>
      <c r="B714" s="165">
        <v>45292</v>
      </c>
      <c r="C714" s="57" t="str">
        <f>IF($B714="","",YEAR($B714)&amp;"-"&amp;IFERROR(VLOOKUP(MONTH(B714),KEY!$AE$5:$AF$16,2,FALSE),""))</f>
        <v>2024-Q1</v>
      </c>
      <c r="D714" s="3" t="s">
        <v>160</v>
      </c>
      <c r="E714" s="219">
        <v>86</v>
      </c>
      <c r="F714" s="166">
        <v>308</v>
      </c>
      <c r="G714" s="166">
        <v>353</v>
      </c>
      <c r="H714" s="21">
        <v>601</v>
      </c>
      <c r="I714" s="21">
        <v>90</v>
      </c>
      <c r="J714" s="21">
        <v>212</v>
      </c>
      <c r="K714" s="21">
        <v>32</v>
      </c>
      <c r="L714" s="21">
        <v>422</v>
      </c>
      <c r="M714" s="21">
        <v>183</v>
      </c>
      <c r="N714" s="21">
        <v>316</v>
      </c>
      <c r="O714" s="19">
        <v>506</v>
      </c>
      <c r="P714" s="22">
        <v>38</v>
      </c>
      <c r="Q714" s="22">
        <v>25</v>
      </c>
      <c r="R714" s="20"/>
      <c r="S714" s="234">
        <f>COUNTIFS(INP_DATA!$R$5:$R$3027,S$4,INP_DATA!$D$5:$D$3027,$D714,INP_DATA!$B$5:$B$3027,$B714)</f>
        <v>0</v>
      </c>
      <c r="T714" s="235">
        <f>COUNTIFS(INP_DATA!$R$5:$R$3027,T$4,INP_DATA!$D$5:$D$3027,$D714,INP_DATA!$B$5:$B$3027,$B714)</f>
        <v>0</v>
      </c>
    </row>
    <row r="715" spans="1:20" x14ac:dyDescent="0.35">
      <c r="A715" s="3" t="s">
        <v>106</v>
      </c>
      <c r="B715" s="165">
        <v>45292</v>
      </c>
      <c r="C715" s="57" t="str">
        <f>IF($B715="","",YEAR($B715)&amp;"-"&amp;IFERROR(VLOOKUP(MONTH(B715),KEY!$AE$5:$AF$16,2,FALSE),""))</f>
        <v>2024-Q1</v>
      </c>
      <c r="D715" s="3" t="s">
        <v>161</v>
      </c>
      <c r="E715" s="219">
        <v>21</v>
      </c>
      <c r="F715" s="166">
        <v>258</v>
      </c>
      <c r="G715" s="166">
        <v>233</v>
      </c>
      <c r="H715" s="21">
        <v>606</v>
      </c>
      <c r="I715" s="21">
        <v>93</v>
      </c>
      <c r="J715" s="21">
        <v>245</v>
      </c>
      <c r="K715" s="21">
        <v>47</v>
      </c>
      <c r="L715" s="21">
        <v>335</v>
      </c>
      <c r="M715" s="21">
        <v>113</v>
      </c>
      <c r="N715" s="21">
        <v>269</v>
      </c>
      <c r="O715" s="19">
        <v>460</v>
      </c>
      <c r="P715" s="22">
        <v>21</v>
      </c>
      <c r="Q715" s="22">
        <v>16</v>
      </c>
      <c r="R715" s="20"/>
      <c r="S715" s="234">
        <f>COUNTIFS(INP_DATA!$R$5:$R$3027,S$4,INP_DATA!$D$5:$D$3027,$D715,INP_DATA!$B$5:$B$3027,$B715)</f>
        <v>0</v>
      </c>
      <c r="T715" s="235">
        <f>COUNTIFS(INP_DATA!$R$5:$R$3027,T$4,INP_DATA!$D$5:$D$3027,$D715,INP_DATA!$B$5:$B$3027,$B715)</f>
        <v>0</v>
      </c>
    </row>
    <row r="716" spans="1:20" x14ac:dyDescent="0.35">
      <c r="A716" s="3" t="s">
        <v>109</v>
      </c>
      <c r="B716" s="165">
        <v>45292</v>
      </c>
      <c r="C716" s="57" t="str">
        <f>IF($B716="","",YEAR($B716)&amp;"-"&amp;IFERROR(VLOOKUP(MONTH(B716),KEY!$AE$5:$AF$16,2,FALSE),""))</f>
        <v>2024-Q1</v>
      </c>
      <c r="D716" s="3" t="s">
        <v>162</v>
      </c>
      <c r="E716" s="219">
        <v>71</v>
      </c>
      <c r="F716" s="166">
        <v>361</v>
      </c>
      <c r="G716" s="166">
        <v>343</v>
      </c>
      <c r="H716" s="21">
        <v>484</v>
      </c>
      <c r="I716" s="21">
        <v>65</v>
      </c>
      <c r="J716" s="21">
        <v>304</v>
      </c>
      <c r="K716" s="21">
        <v>59</v>
      </c>
      <c r="L716" s="21">
        <v>893</v>
      </c>
      <c r="M716" s="21">
        <v>144</v>
      </c>
      <c r="N716" s="21">
        <v>363</v>
      </c>
      <c r="O716" s="19">
        <v>782</v>
      </c>
      <c r="P716" s="22">
        <v>13</v>
      </c>
      <c r="Q716" s="22">
        <v>10</v>
      </c>
      <c r="R716" s="20"/>
      <c r="S716" s="234">
        <f>COUNTIFS(INP_DATA!$R$5:$R$3027,S$4,INP_DATA!$D$5:$D$3027,$D716,INP_DATA!$B$5:$B$3027,$B716)</f>
        <v>0</v>
      </c>
      <c r="T716" s="235">
        <f>COUNTIFS(INP_DATA!$R$5:$R$3027,T$4,INP_DATA!$D$5:$D$3027,$D716,INP_DATA!$B$5:$B$3027,$B716)</f>
        <v>0</v>
      </c>
    </row>
    <row r="717" spans="1:20" x14ac:dyDescent="0.35">
      <c r="A717" s="3" t="s">
        <v>16</v>
      </c>
      <c r="B717" s="165">
        <v>45292</v>
      </c>
      <c r="C717" s="57" t="str">
        <f>IF($B717="","",YEAR($B717)&amp;"-"&amp;IFERROR(VLOOKUP(MONTH(B717),KEY!$AE$5:$AF$16,2,FALSE),""))</f>
        <v>2024-Q1</v>
      </c>
      <c r="D717" s="3" t="s">
        <v>163</v>
      </c>
      <c r="E717" s="219">
        <v>56</v>
      </c>
      <c r="F717" s="166">
        <v>219</v>
      </c>
      <c r="G717" s="166">
        <v>236</v>
      </c>
      <c r="H717" s="21">
        <v>330</v>
      </c>
      <c r="I717" s="21">
        <v>59</v>
      </c>
      <c r="J717" s="21">
        <v>170</v>
      </c>
      <c r="K717" s="21">
        <v>34</v>
      </c>
      <c r="L717" s="21">
        <v>335</v>
      </c>
      <c r="M717" s="21">
        <v>130</v>
      </c>
      <c r="N717" s="21">
        <v>221</v>
      </c>
      <c r="O717" s="19">
        <v>391</v>
      </c>
      <c r="P717" s="22">
        <v>15</v>
      </c>
      <c r="Q717" s="22">
        <v>4</v>
      </c>
      <c r="R717" s="20"/>
      <c r="S717" s="234">
        <f>COUNTIFS(INP_DATA!$R$5:$R$3027,S$4,INP_DATA!$D$5:$D$3027,$D717,INP_DATA!$B$5:$B$3027,$B717)</f>
        <v>0</v>
      </c>
      <c r="T717" s="235">
        <f>COUNTIFS(INP_DATA!$R$5:$R$3027,T$4,INP_DATA!$D$5:$D$3027,$D717,INP_DATA!$B$5:$B$3027,$B717)</f>
        <v>0</v>
      </c>
    </row>
    <row r="718" spans="1:20" x14ac:dyDescent="0.35">
      <c r="A718" s="3" t="s">
        <v>16</v>
      </c>
      <c r="B718" s="165">
        <v>45292</v>
      </c>
      <c r="C718" s="57" t="str">
        <f>IF($B718="","",YEAR($B718)&amp;"-"&amp;IFERROR(VLOOKUP(MONTH(B718),KEY!$AE$5:$AF$16,2,FALSE),""))</f>
        <v>2024-Q1</v>
      </c>
      <c r="D718" s="3" t="s">
        <v>164</v>
      </c>
      <c r="E718" s="219">
        <v>10</v>
      </c>
      <c r="F718" s="166">
        <v>67</v>
      </c>
      <c r="G718" s="166">
        <v>82</v>
      </c>
      <c r="H718" s="21">
        <v>222</v>
      </c>
      <c r="I718" s="21">
        <v>21</v>
      </c>
      <c r="J718" s="21">
        <v>55</v>
      </c>
      <c r="K718" s="21">
        <v>10</v>
      </c>
      <c r="L718" s="21">
        <v>127</v>
      </c>
      <c r="M718" s="21">
        <v>51</v>
      </c>
      <c r="N718" s="21">
        <v>70</v>
      </c>
      <c r="O718" s="19">
        <v>161</v>
      </c>
      <c r="P718" s="22">
        <v>10</v>
      </c>
      <c r="Q718" s="22">
        <v>6</v>
      </c>
      <c r="R718" s="20"/>
      <c r="S718" s="234">
        <f>COUNTIFS(INP_DATA!$R$5:$R$3027,S$4,INP_DATA!$D$5:$D$3027,$D718,INP_DATA!$B$5:$B$3027,$B718)</f>
        <v>0</v>
      </c>
      <c r="T718" s="235">
        <f>COUNTIFS(INP_DATA!$R$5:$R$3027,T$4,INP_DATA!$D$5:$D$3027,$D718,INP_DATA!$B$5:$B$3027,$B718)</f>
        <v>0</v>
      </c>
    </row>
    <row r="719" spans="1:20" x14ac:dyDescent="0.35">
      <c r="A719" s="3" t="s">
        <v>107</v>
      </c>
      <c r="B719" s="165">
        <v>45292</v>
      </c>
      <c r="C719" s="57" t="str">
        <f>IF($B719="","",YEAR($B719)&amp;"-"&amp;IFERROR(VLOOKUP(MONTH(B719),KEY!$AE$5:$AF$16,2,FALSE),""))</f>
        <v>2024-Q1</v>
      </c>
      <c r="D719" s="3" t="s">
        <v>165</v>
      </c>
      <c r="E719" s="219">
        <v>18</v>
      </c>
      <c r="F719" s="166">
        <v>71</v>
      </c>
      <c r="G719" s="166">
        <v>98</v>
      </c>
      <c r="H719" s="21">
        <v>238</v>
      </c>
      <c r="I719" s="21">
        <v>18</v>
      </c>
      <c r="J719" s="21">
        <v>50</v>
      </c>
      <c r="K719" s="21">
        <v>7</v>
      </c>
      <c r="L719" s="21">
        <v>114</v>
      </c>
      <c r="M719" s="21">
        <v>32</v>
      </c>
      <c r="N719" s="21">
        <v>72</v>
      </c>
      <c r="O719" s="19">
        <v>184</v>
      </c>
      <c r="P719" s="22">
        <v>31</v>
      </c>
      <c r="Q719" s="22">
        <v>12</v>
      </c>
      <c r="R719" s="20"/>
      <c r="S719" s="234">
        <f>COUNTIFS(INP_DATA!$R$5:$R$3027,S$4,INP_DATA!$D$5:$D$3027,$D719,INP_DATA!$B$5:$B$3027,$B719)</f>
        <v>0</v>
      </c>
      <c r="T719" s="235">
        <f>COUNTIFS(INP_DATA!$R$5:$R$3027,T$4,INP_DATA!$D$5:$D$3027,$D719,INP_DATA!$B$5:$B$3027,$B719)</f>
        <v>0</v>
      </c>
    </row>
    <row r="720" spans="1:20" x14ac:dyDescent="0.35">
      <c r="A720" s="3" t="s">
        <v>16</v>
      </c>
      <c r="B720" s="165">
        <v>45323</v>
      </c>
      <c r="C720" s="57" t="str">
        <f>IF($B720="","",YEAR($B720)&amp;"-"&amp;IFERROR(VLOOKUP(MONTH(B720),KEY!$AE$5:$AF$16,2,FALSE),""))</f>
        <v>2024-Q1</v>
      </c>
      <c r="D720" s="3" t="s">
        <v>111</v>
      </c>
      <c r="E720" s="219">
        <v>14</v>
      </c>
      <c r="F720" s="166">
        <v>63</v>
      </c>
      <c r="G720" s="166">
        <v>71</v>
      </c>
      <c r="H720" s="21">
        <v>91</v>
      </c>
      <c r="I720" s="21">
        <v>11</v>
      </c>
      <c r="J720" s="21">
        <v>64</v>
      </c>
      <c r="K720" s="21">
        <v>11</v>
      </c>
      <c r="L720" s="21">
        <v>117</v>
      </c>
      <c r="M720" s="21">
        <v>38</v>
      </c>
      <c r="N720" s="21">
        <v>63</v>
      </c>
      <c r="O720" s="19">
        <v>168</v>
      </c>
      <c r="P720" s="22">
        <v>22</v>
      </c>
      <c r="Q720" s="22">
        <v>17</v>
      </c>
      <c r="R720" s="20"/>
      <c r="S720" s="234">
        <f>COUNTIFS(INP_DATA!$R$5:$R$3027,S$4,INP_DATA!$D$5:$D$3027,$D720,INP_DATA!$B$5:$B$3027,$B720)</f>
        <v>0</v>
      </c>
      <c r="T720" s="235">
        <f>COUNTIFS(INP_DATA!$R$5:$R$3027,T$4,INP_DATA!$D$5:$D$3027,$D720,INP_DATA!$B$5:$B$3027,$B720)</f>
        <v>0</v>
      </c>
    </row>
    <row r="721" spans="1:20" x14ac:dyDescent="0.35">
      <c r="A721" s="3" t="s">
        <v>108</v>
      </c>
      <c r="B721" s="165">
        <v>45323</v>
      </c>
      <c r="C721" s="57" t="str">
        <f>IF($B721="","",YEAR($B721)&amp;"-"&amp;IFERROR(VLOOKUP(MONTH(B721),KEY!$AE$5:$AF$16,2,FALSE),""))</f>
        <v>2024-Q1</v>
      </c>
      <c r="D721" s="3" t="s">
        <v>112</v>
      </c>
      <c r="E721" s="219">
        <v>9</v>
      </c>
      <c r="F721" s="166">
        <v>29</v>
      </c>
      <c r="G721" s="166">
        <v>32</v>
      </c>
      <c r="H721" s="21">
        <v>56</v>
      </c>
      <c r="I721" s="21">
        <v>9</v>
      </c>
      <c r="J721" s="21">
        <v>17</v>
      </c>
      <c r="K721" s="21">
        <v>5</v>
      </c>
      <c r="L721" s="21">
        <v>47</v>
      </c>
      <c r="M721" s="21">
        <v>22</v>
      </c>
      <c r="N721" s="21">
        <v>29</v>
      </c>
      <c r="O721" s="19">
        <v>84</v>
      </c>
      <c r="P721" s="22">
        <v>11</v>
      </c>
      <c r="Q721" s="22">
        <v>8</v>
      </c>
      <c r="R721" s="20"/>
      <c r="S721" s="234">
        <f>COUNTIFS(INP_DATA!$R$5:$R$3027,S$4,INP_DATA!$D$5:$D$3027,$D721,INP_DATA!$B$5:$B$3027,$B721)</f>
        <v>0</v>
      </c>
      <c r="T721" s="235">
        <f>COUNTIFS(INP_DATA!$R$5:$R$3027,T$4,INP_DATA!$D$5:$D$3027,$D721,INP_DATA!$B$5:$B$3027,$B721)</f>
        <v>0</v>
      </c>
    </row>
    <row r="722" spans="1:20" x14ac:dyDescent="0.35">
      <c r="A722" s="3" t="s">
        <v>16</v>
      </c>
      <c r="B722" s="165">
        <v>45323</v>
      </c>
      <c r="C722" s="57" t="str">
        <f>IF($B722="","",YEAR($B722)&amp;"-"&amp;IFERROR(VLOOKUP(MONTH(B722),KEY!$AE$5:$AF$16,2,FALSE),""))</f>
        <v>2024-Q1</v>
      </c>
      <c r="D722" s="3" t="s">
        <v>113</v>
      </c>
      <c r="E722" s="219">
        <v>9</v>
      </c>
      <c r="F722" s="166">
        <v>73</v>
      </c>
      <c r="G722" s="166">
        <v>76</v>
      </c>
      <c r="H722" s="21">
        <v>207</v>
      </c>
      <c r="I722" s="21">
        <v>34</v>
      </c>
      <c r="J722" s="21">
        <v>70</v>
      </c>
      <c r="K722" s="21">
        <v>14</v>
      </c>
      <c r="L722" s="21">
        <v>135</v>
      </c>
      <c r="M722" s="21">
        <v>48</v>
      </c>
      <c r="N722" s="21">
        <v>75</v>
      </c>
      <c r="O722" s="19">
        <v>189</v>
      </c>
      <c r="P722" s="22">
        <v>13</v>
      </c>
      <c r="Q722" s="22">
        <v>7</v>
      </c>
      <c r="R722" s="20"/>
      <c r="S722" s="234">
        <f>COUNTIFS(INP_DATA!$R$5:$R$3027,S$4,INP_DATA!$D$5:$D$3027,$D722,INP_DATA!$B$5:$B$3027,$B722)</f>
        <v>0</v>
      </c>
      <c r="T722" s="235">
        <f>COUNTIFS(INP_DATA!$R$5:$R$3027,T$4,INP_DATA!$D$5:$D$3027,$D722,INP_DATA!$B$5:$B$3027,$B722)</f>
        <v>0</v>
      </c>
    </row>
    <row r="723" spans="1:20" x14ac:dyDescent="0.35">
      <c r="A723" s="3" t="s">
        <v>108</v>
      </c>
      <c r="B723" s="165">
        <v>45323</v>
      </c>
      <c r="C723" s="57" t="str">
        <f>IF($B723="","",YEAR($B723)&amp;"-"&amp;IFERROR(VLOOKUP(MONTH(B723),KEY!$AE$5:$AF$16,2,FALSE),""))</f>
        <v>2024-Q1</v>
      </c>
      <c r="D723" s="3" t="s">
        <v>114</v>
      </c>
      <c r="E723" s="219">
        <v>16</v>
      </c>
      <c r="F723" s="166">
        <v>62</v>
      </c>
      <c r="G723" s="166">
        <v>44</v>
      </c>
      <c r="H723" s="21">
        <v>114</v>
      </c>
      <c r="I723" s="21">
        <v>21</v>
      </c>
      <c r="J723" s="21">
        <v>47</v>
      </c>
      <c r="K723" s="21">
        <v>9</v>
      </c>
      <c r="L723" s="21">
        <v>61</v>
      </c>
      <c r="M723" s="21">
        <v>29</v>
      </c>
      <c r="N723" s="21">
        <v>62</v>
      </c>
      <c r="O723" s="19">
        <v>147</v>
      </c>
      <c r="P723" s="22">
        <v>17</v>
      </c>
      <c r="Q723" s="22">
        <v>12</v>
      </c>
      <c r="R723" s="20"/>
      <c r="S723" s="234">
        <f>COUNTIFS(INP_DATA!$R$5:$R$3027,S$4,INP_DATA!$D$5:$D$3027,$D723,INP_DATA!$B$5:$B$3027,$B723)</f>
        <v>0</v>
      </c>
      <c r="T723" s="235">
        <f>COUNTIFS(INP_DATA!$R$5:$R$3027,T$4,INP_DATA!$D$5:$D$3027,$D723,INP_DATA!$B$5:$B$3027,$B723)</f>
        <v>0</v>
      </c>
    </row>
    <row r="724" spans="1:20" x14ac:dyDescent="0.35">
      <c r="A724" s="3" t="s">
        <v>107</v>
      </c>
      <c r="B724" s="165">
        <v>45323</v>
      </c>
      <c r="C724" s="57" t="str">
        <f>IF($B724="","",YEAR($B724)&amp;"-"&amp;IFERROR(VLOOKUP(MONTH(B724),KEY!$AE$5:$AF$16,2,FALSE),""))</f>
        <v>2024-Q1</v>
      </c>
      <c r="D724" s="3" t="s">
        <v>115</v>
      </c>
      <c r="E724" s="219">
        <v>5</v>
      </c>
      <c r="F724" s="166">
        <v>59</v>
      </c>
      <c r="G724" s="166">
        <v>51</v>
      </c>
      <c r="H724" s="21">
        <v>96</v>
      </c>
      <c r="I724" s="21">
        <v>20</v>
      </c>
      <c r="J724" s="21">
        <v>48</v>
      </c>
      <c r="K724" s="21">
        <v>13</v>
      </c>
      <c r="L724" s="21">
        <v>88</v>
      </c>
      <c r="M724" s="21">
        <v>39</v>
      </c>
      <c r="N724" s="21">
        <v>59</v>
      </c>
      <c r="O724" s="19">
        <v>126</v>
      </c>
      <c r="P724" s="22">
        <v>0</v>
      </c>
      <c r="Q724" s="22">
        <v>0</v>
      </c>
      <c r="R724" s="20"/>
      <c r="S724" s="234">
        <f>COUNTIFS(INP_DATA!$R$5:$R$3027,S$4,INP_DATA!$D$5:$D$3027,$D724,INP_DATA!$B$5:$B$3027,$B724)</f>
        <v>0</v>
      </c>
      <c r="T724" s="235">
        <f>COUNTIFS(INP_DATA!$R$5:$R$3027,T$4,INP_DATA!$D$5:$D$3027,$D724,INP_DATA!$B$5:$B$3027,$B724)</f>
        <v>0</v>
      </c>
    </row>
    <row r="725" spans="1:20" x14ac:dyDescent="0.35">
      <c r="A725" s="3" t="s">
        <v>16</v>
      </c>
      <c r="B725" s="165">
        <v>45323</v>
      </c>
      <c r="C725" s="57" t="str">
        <f>IF($B725="","",YEAR($B725)&amp;"-"&amp;IFERROR(VLOOKUP(MONTH(B725),KEY!$AE$5:$AF$16,2,FALSE),""))</f>
        <v>2024-Q1</v>
      </c>
      <c r="D725" s="3" t="s">
        <v>116</v>
      </c>
      <c r="E725" s="219">
        <v>35</v>
      </c>
      <c r="F725" s="166">
        <v>138</v>
      </c>
      <c r="G725" s="166">
        <v>130</v>
      </c>
      <c r="H725" s="21">
        <v>174</v>
      </c>
      <c r="I725" s="21">
        <v>30</v>
      </c>
      <c r="J725" s="21">
        <v>111</v>
      </c>
      <c r="K725" s="21">
        <v>20</v>
      </c>
      <c r="L725" s="21">
        <v>229</v>
      </c>
      <c r="M725" s="21">
        <v>73</v>
      </c>
      <c r="N725" s="21">
        <v>144</v>
      </c>
      <c r="O725" s="19">
        <v>315</v>
      </c>
      <c r="P725" s="22">
        <v>27</v>
      </c>
      <c r="Q725" s="22">
        <v>5</v>
      </c>
      <c r="R725" s="20"/>
      <c r="S725" s="234">
        <f>COUNTIFS(INP_DATA!$R$5:$R$3027,S$4,INP_DATA!$D$5:$D$3027,$D725,INP_DATA!$B$5:$B$3027,$B725)</f>
        <v>0</v>
      </c>
      <c r="T725" s="235">
        <f>COUNTIFS(INP_DATA!$R$5:$R$3027,T$4,INP_DATA!$D$5:$D$3027,$D725,INP_DATA!$B$5:$B$3027,$B725)</f>
        <v>0</v>
      </c>
    </row>
    <row r="726" spans="1:20" x14ac:dyDescent="0.35">
      <c r="A726" s="3" t="s">
        <v>107</v>
      </c>
      <c r="B726" s="165">
        <v>45323</v>
      </c>
      <c r="C726" s="57" t="str">
        <f>IF($B726="","",YEAR($B726)&amp;"-"&amp;IFERROR(VLOOKUP(MONTH(B726),KEY!$AE$5:$AF$16,2,FALSE),""))</f>
        <v>2024-Q1</v>
      </c>
      <c r="D726" s="3" t="s">
        <v>117</v>
      </c>
      <c r="E726" s="219">
        <v>20</v>
      </c>
      <c r="F726" s="166">
        <v>94</v>
      </c>
      <c r="G726" s="166">
        <v>169</v>
      </c>
      <c r="H726" s="21">
        <v>101</v>
      </c>
      <c r="I726" s="21">
        <v>18</v>
      </c>
      <c r="J726" s="21">
        <v>73</v>
      </c>
      <c r="K726" s="21">
        <v>17</v>
      </c>
      <c r="L726" s="21">
        <v>147</v>
      </c>
      <c r="M726" s="21">
        <v>62</v>
      </c>
      <c r="N726" s="21">
        <v>94</v>
      </c>
      <c r="O726" s="19">
        <v>189</v>
      </c>
      <c r="P726" s="22">
        <v>59</v>
      </c>
      <c r="Q726" s="22">
        <v>34</v>
      </c>
      <c r="R726" s="20"/>
      <c r="S726" s="234">
        <f>COUNTIFS(INP_DATA!$R$5:$R$3027,S$4,INP_DATA!$D$5:$D$3027,$D726,INP_DATA!$B$5:$B$3027,$B726)</f>
        <v>0</v>
      </c>
      <c r="T726" s="235">
        <f>COUNTIFS(INP_DATA!$R$5:$R$3027,T$4,INP_DATA!$D$5:$D$3027,$D726,INP_DATA!$B$5:$B$3027,$B726)</f>
        <v>0</v>
      </c>
    </row>
    <row r="727" spans="1:20" x14ac:dyDescent="0.35">
      <c r="A727" s="3" t="s">
        <v>106</v>
      </c>
      <c r="B727" s="165">
        <v>45323</v>
      </c>
      <c r="C727" s="57" t="str">
        <f>IF($B727="","",YEAR($B727)&amp;"-"&amp;IFERROR(VLOOKUP(MONTH(B727),KEY!$AE$5:$AF$16,2,FALSE),""))</f>
        <v>2024-Q1</v>
      </c>
      <c r="D727" s="3" t="s">
        <v>118</v>
      </c>
      <c r="E727" s="219">
        <v>32</v>
      </c>
      <c r="F727" s="166">
        <v>168</v>
      </c>
      <c r="G727" s="166">
        <v>230</v>
      </c>
      <c r="H727" s="21">
        <v>562</v>
      </c>
      <c r="I727" s="21">
        <v>45</v>
      </c>
      <c r="J727" s="21">
        <v>135</v>
      </c>
      <c r="K727" s="21">
        <v>38</v>
      </c>
      <c r="L727" s="21">
        <v>300</v>
      </c>
      <c r="M727" s="21">
        <v>78</v>
      </c>
      <c r="N727" s="21">
        <v>172</v>
      </c>
      <c r="O727" s="19">
        <v>273</v>
      </c>
      <c r="P727" s="22">
        <v>74</v>
      </c>
      <c r="Q727" s="22">
        <v>47</v>
      </c>
      <c r="R727" s="20"/>
      <c r="S727" s="234">
        <f>COUNTIFS(INP_DATA!$R$5:$R$3027,S$4,INP_DATA!$D$5:$D$3027,$D727,INP_DATA!$B$5:$B$3027,$B727)</f>
        <v>0</v>
      </c>
      <c r="T727" s="235">
        <f>COUNTIFS(INP_DATA!$R$5:$R$3027,T$4,INP_DATA!$D$5:$D$3027,$D727,INP_DATA!$B$5:$B$3027,$B727)</f>
        <v>0</v>
      </c>
    </row>
    <row r="728" spans="1:20" x14ac:dyDescent="0.35">
      <c r="A728" s="3" t="s">
        <v>16</v>
      </c>
      <c r="B728" s="165">
        <v>45323</v>
      </c>
      <c r="C728" s="57" t="str">
        <f>IF($B728="","",YEAR($B728)&amp;"-"&amp;IFERROR(VLOOKUP(MONTH(B728),KEY!$AE$5:$AF$16,2,FALSE),""))</f>
        <v>2024-Q1</v>
      </c>
      <c r="D728" s="3" t="s">
        <v>119</v>
      </c>
      <c r="E728" s="219">
        <v>8</v>
      </c>
      <c r="F728" s="166">
        <v>16</v>
      </c>
      <c r="G728" s="166">
        <v>25</v>
      </c>
      <c r="H728" s="21">
        <v>35</v>
      </c>
      <c r="I728" s="21">
        <v>3</v>
      </c>
      <c r="J728" s="21">
        <v>22</v>
      </c>
      <c r="K728" s="21">
        <v>4</v>
      </c>
      <c r="L728" s="21">
        <v>89</v>
      </c>
      <c r="M728" s="21">
        <v>9</v>
      </c>
      <c r="N728" s="21">
        <v>16</v>
      </c>
      <c r="O728" s="19">
        <v>84</v>
      </c>
      <c r="P728" s="22">
        <v>1</v>
      </c>
      <c r="Q728" s="22">
        <v>0</v>
      </c>
      <c r="R728" s="20"/>
      <c r="S728" s="234">
        <f>COUNTIFS(INP_DATA!$R$5:$R$3027,S$4,INP_DATA!$D$5:$D$3027,$D728,INP_DATA!$B$5:$B$3027,$B728)</f>
        <v>0</v>
      </c>
      <c r="T728" s="235">
        <f>COUNTIFS(INP_DATA!$R$5:$R$3027,T$4,INP_DATA!$D$5:$D$3027,$D728,INP_DATA!$B$5:$B$3027,$B728)</f>
        <v>0</v>
      </c>
    </row>
    <row r="729" spans="1:20" x14ac:dyDescent="0.35">
      <c r="A729" s="3" t="s">
        <v>16</v>
      </c>
      <c r="B729" s="165">
        <v>45323</v>
      </c>
      <c r="C729" s="57" t="str">
        <f>IF($B729="","",YEAR($B729)&amp;"-"&amp;IFERROR(VLOOKUP(MONTH(B729),KEY!$AE$5:$AF$16,2,FALSE),""))</f>
        <v>2024-Q1</v>
      </c>
      <c r="D729" s="3" t="s">
        <v>120</v>
      </c>
      <c r="E729" s="219">
        <v>49</v>
      </c>
      <c r="F729" s="166">
        <v>313</v>
      </c>
      <c r="G729" s="166">
        <v>326</v>
      </c>
      <c r="H729" s="21">
        <v>515</v>
      </c>
      <c r="I729" s="21">
        <v>82</v>
      </c>
      <c r="J729" s="21">
        <v>235</v>
      </c>
      <c r="K729" s="21">
        <v>39</v>
      </c>
      <c r="L729" s="21">
        <v>459</v>
      </c>
      <c r="M729" s="21">
        <v>181</v>
      </c>
      <c r="N729" s="21">
        <v>314</v>
      </c>
      <c r="O729" s="19">
        <v>588</v>
      </c>
      <c r="P729" s="22">
        <v>52</v>
      </c>
      <c r="Q729" s="22">
        <v>31</v>
      </c>
      <c r="R729" s="20"/>
      <c r="S729" s="234">
        <f>COUNTIFS(INP_DATA!$R$5:$R$3027,S$4,INP_DATA!$D$5:$D$3027,$D729,INP_DATA!$B$5:$B$3027,$B729)</f>
        <v>0</v>
      </c>
      <c r="T729" s="235">
        <f>COUNTIFS(INP_DATA!$R$5:$R$3027,T$4,INP_DATA!$D$5:$D$3027,$D729,INP_DATA!$B$5:$B$3027,$B729)</f>
        <v>0</v>
      </c>
    </row>
    <row r="730" spans="1:20" x14ac:dyDescent="0.35">
      <c r="A730" s="3" t="s">
        <v>109</v>
      </c>
      <c r="B730" s="165">
        <v>45323</v>
      </c>
      <c r="C730" s="57" t="str">
        <f>IF($B730="","",YEAR($B730)&amp;"-"&amp;IFERROR(VLOOKUP(MONTH(B730),KEY!$AE$5:$AF$16,2,FALSE),""))</f>
        <v>2024-Q1</v>
      </c>
      <c r="D730" s="3" t="s">
        <v>121</v>
      </c>
      <c r="E730" s="219">
        <v>66</v>
      </c>
      <c r="F730" s="166">
        <v>223</v>
      </c>
      <c r="G730" s="166">
        <v>226</v>
      </c>
      <c r="H730" s="21">
        <v>623</v>
      </c>
      <c r="I730" s="21">
        <v>73</v>
      </c>
      <c r="J730" s="21">
        <v>255</v>
      </c>
      <c r="K730" s="21">
        <v>38</v>
      </c>
      <c r="L730" s="21">
        <v>628</v>
      </c>
      <c r="M730" s="21">
        <v>179</v>
      </c>
      <c r="N730" s="21">
        <v>224</v>
      </c>
      <c r="O730" s="19">
        <v>441</v>
      </c>
      <c r="P730" s="22">
        <v>12</v>
      </c>
      <c r="Q730" s="22">
        <v>7</v>
      </c>
      <c r="R730" s="20"/>
      <c r="S730" s="234">
        <f>COUNTIFS(INP_DATA!$R$5:$R$3027,S$4,INP_DATA!$D$5:$D$3027,$D730,INP_DATA!$B$5:$B$3027,$B730)</f>
        <v>0</v>
      </c>
      <c r="T730" s="235">
        <f>COUNTIFS(INP_DATA!$R$5:$R$3027,T$4,INP_DATA!$D$5:$D$3027,$D730,INP_DATA!$B$5:$B$3027,$B730)</f>
        <v>0</v>
      </c>
    </row>
    <row r="731" spans="1:20" x14ac:dyDescent="0.35">
      <c r="A731" s="3" t="s">
        <v>108</v>
      </c>
      <c r="B731" s="165">
        <v>45323</v>
      </c>
      <c r="C731" s="57" t="str">
        <f>IF($B731="","",YEAR($B731)&amp;"-"&amp;IFERROR(VLOOKUP(MONTH(B731),KEY!$AE$5:$AF$16,2,FALSE),""))</f>
        <v>2024-Q1</v>
      </c>
      <c r="D731" s="3" t="s">
        <v>122</v>
      </c>
      <c r="E731" s="219">
        <v>1</v>
      </c>
      <c r="F731" s="166">
        <v>64</v>
      </c>
      <c r="G731" s="166">
        <v>64</v>
      </c>
      <c r="H731" s="21">
        <v>199</v>
      </c>
      <c r="I731" s="21">
        <v>24</v>
      </c>
      <c r="J731" s="21">
        <v>102</v>
      </c>
      <c r="K731" s="21">
        <v>13</v>
      </c>
      <c r="L731" s="21">
        <v>130</v>
      </c>
      <c r="M731" s="21">
        <v>43</v>
      </c>
      <c r="N731" s="21">
        <v>64</v>
      </c>
      <c r="O731" s="19">
        <v>210</v>
      </c>
      <c r="P731" s="22">
        <v>15</v>
      </c>
      <c r="Q731" s="22">
        <v>0</v>
      </c>
      <c r="R731" s="20"/>
      <c r="S731" s="234">
        <f>COUNTIFS(INP_DATA!$R$5:$R$3027,S$4,INP_DATA!$D$5:$D$3027,$D731,INP_DATA!$B$5:$B$3027,$B731)</f>
        <v>0</v>
      </c>
      <c r="T731" s="235">
        <f>COUNTIFS(INP_DATA!$R$5:$R$3027,T$4,INP_DATA!$D$5:$D$3027,$D731,INP_DATA!$B$5:$B$3027,$B731)</f>
        <v>0</v>
      </c>
    </row>
    <row r="732" spans="1:20" x14ac:dyDescent="0.35">
      <c r="A732" s="3" t="s">
        <v>107</v>
      </c>
      <c r="B732" s="165">
        <v>45323</v>
      </c>
      <c r="C732" s="57" t="str">
        <f>IF($B732="","",YEAR($B732)&amp;"-"&amp;IFERROR(VLOOKUP(MONTH(B732),KEY!$AE$5:$AF$16,2,FALSE),""))</f>
        <v>2024-Q1</v>
      </c>
      <c r="D732" s="3" t="s">
        <v>123</v>
      </c>
      <c r="E732" s="219">
        <v>49</v>
      </c>
      <c r="F732" s="166">
        <v>199</v>
      </c>
      <c r="G732" s="166">
        <v>155</v>
      </c>
      <c r="H732" s="21">
        <v>231</v>
      </c>
      <c r="I732" s="21">
        <v>50</v>
      </c>
      <c r="J732" s="21">
        <v>110</v>
      </c>
      <c r="K732" s="21">
        <v>24</v>
      </c>
      <c r="L732" s="21">
        <v>349</v>
      </c>
      <c r="M732" s="21">
        <v>153</v>
      </c>
      <c r="N732" s="21">
        <v>201</v>
      </c>
      <c r="O732" s="19">
        <v>378</v>
      </c>
      <c r="P732" s="22">
        <v>50</v>
      </c>
      <c r="Q732" s="22">
        <v>33</v>
      </c>
      <c r="R732" s="20"/>
      <c r="S732" s="234">
        <f>COUNTIFS(INP_DATA!$R$5:$R$3027,S$4,INP_DATA!$D$5:$D$3027,$D732,INP_DATA!$B$5:$B$3027,$B732)</f>
        <v>0</v>
      </c>
      <c r="T732" s="235">
        <f>COUNTIFS(INP_DATA!$R$5:$R$3027,T$4,INP_DATA!$D$5:$D$3027,$D732,INP_DATA!$B$5:$B$3027,$B732)</f>
        <v>0</v>
      </c>
    </row>
    <row r="733" spans="1:20" x14ac:dyDescent="0.35">
      <c r="A733" s="3" t="s">
        <v>108</v>
      </c>
      <c r="B733" s="165">
        <v>45323</v>
      </c>
      <c r="C733" s="57" t="str">
        <f>IF($B733="","",YEAR($B733)&amp;"-"&amp;IFERROR(VLOOKUP(MONTH(B733),KEY!$AE$5:$AF$16,2,FALSE),""))</f>
        <v>2024-Q1</v>
      </c>
      <c r="D733" s="3" t="s">
        <v>124</v>
      </c>
      <c r="E733" s="219">
        <v>84</v>
      </c>
      <c r="F733" s="166">
        <v>202</v>
      </c>
      <c r="G733" s="166">
        <v>226</v>
      </c>
      <c r="H733" s="21">
        <v>249</v>
      </c>
      <c r="I733" s="21">
        <v>40</v>
      </c>
      <c r="J733" s="21">
        <v>147</v>
      </c>
      <c r="K733" s="21">
        <v>28</v>
      </c>
      <c r="L733" s="21">
        <v>411</v>
      </c>
      <c r="M733" s="21">
        <v>133</v>
      </c>
      <c r="N733" s="21">
        <v>204</v>
      </c>
      <c r="O733" s="19">
        <v>483</v>
      </c>
      <c r="P733" s="22">
        <v>51</v>
      </c>
      <c r="Q733" s="22">
        <v>33</v>
      </c>
      <c r="R733" s="20"/>
      <c r="S733" s="234">
        <f>COUNTIFS(INP_DATA!$R$5:$R$3027,S$4,INP_DATA!$D$5:$D$3027,$D733,INP_DATA!$B$5:$B$3027,$B733)</f>
        <v>0</v>
      </c>
      <c r="T733" s="235">
        <f>COUNTIFS(INP_DATA!$R$5:$R$3027,T$4,INP_DATA!$D$5:$D$3027,$D733,INP_DATA!$B$5:$B$3027,$B733)</f>
        <v>0</v>
      </c>
    </row>
    <row r="734" spans="1:20" x14ac:dyDescent="0.35">
      <c r="A734" s="3" t="s">
        <v>106</v>
      </c>
      <c r="B734" s="165">
        <v>45323</v>
      </c>
      <c r="C734" s="57" t="str">
        <f>IF($B734="","",YEAR($B734)&amp;"-"&amp;IFERROR(VLOOKUP(MONTH(B734),KEY!$AE$5:$AF$16,2,FALSE),""))</f>
        <v>2024-Q1</v>
      </c>
      <c r="D734" s="3" t="s">
        <v>195</v>
      </c>
      <c r="E734" s="219">
        <v>5</v>
      </c>
      <c r="F734" s="166">
        <v>28</v>
      </c>
      <c r="G734" s="166">
        <v>36</v>
      </c>
      <c r="H734" s="21">
        <v>114</v>
      </c>
      <c r="I734" s="21">
        <v>14</v>
      </c>
      <c r="J734" s="21">
        <v>31</v>
      </c>
      <c r="K734" s="21">
        <v>5</v>
      </c>
      <c r="L734" s="21">
        <v>80</v>
      </c>
      <c r="M734" s="21">
        <v>15</v>
      </c>
      <c r="N734" s="21">
        <v>30</v>
      </c>
      <c r="O734" s="19">
        <v>126</v>
      </c>
      <c r="P734" s="22">
        <v>6</v>
      </c>
      <c r="Q734" s="22">
        <v>5</v>
      </c>
      <c r="R734" s="20"/>
      <c r="S734" s="234">
        <f>COUNTIFS(INP_DATA!$R$5:$R$3027,S$4,INP_DATA!$D$5:$D$3027,$D734,INP_DATA!$B$5:$B$3027,$B734)</f>
        <v>0</v>
      </c>
      <c r="T734" s="235">
        <f>COUNTIFS(INP_DATA!$R$5:$R$3027,T$4,INP_DATA!$D$5:$D$3027,$D734,INP_DATA!$B$5:$B$3027,$B734)</f>
        <v>0</v>
      </c>
    </row>
    <row r="735" spans="1:20" x14ac:dyDescent="0.35">
      <c r="A735" s="3" t="s">
        <v>106</v>
      </c>
      <c r="B735" s="165">
        <v>45323</v>
      </c>
      <c r="C735" s="57" t="str">
        <f>IF($B735="","",YEAR($B735)&amp;"-"&amp;IFERROR(VLOOKUP(MONTH(B735),KEY!$AE$5:$AF$16,2,FALSE),""))</f>
        <v>2024-Q1</v>
      </c>
      <c r="D735" s="3" t="s">
        <v>125</v>
      </c>
      <c r="E735" s="219">
        <v>42</v>
      </c>
      <c r="F735" s="166">
        <v>255</v>
      </c>
      <c r="G735" s="166">
        <v>263</v>
      </c>
      <c r="H735" s="21">
        <v>387</v>
      </c>
      <c r="I735" s="21">
        <v>63</v>
      </c>
      <c r="J735" s="21">
        <v>123</v>
      </c>
      <c r="K735" s="21">
        <v>32</v>
      </c>
      <c r="L735" s="21">
        <v>387</v>
      </c>
      <c r="M735" s="21">
        <v>105</v>
      </c>
      <c r="N735" s="21">
        <v>266</v>
      </c>
      <c r="O735" s="19">
        <v>378</v>
      </c>
      <c r="P735" s="22">
        <v>20</v>
      </c>
      <c r="Q735" s="22">
        <v>14</v>
      </c>
      <c r="R735" s="20"/>
      <c r="S735" s="234">
        <f>COUNTIFS(INP_DATA!$R$5:$R$3027,S$4,INP_DATA!$D$5:$D$3027,$D735,INP_DATA!$B$5:$B$3027,$B735)</f>
        <v>0</v>
      </c>
      <c r="T735" s="235">
        <f>COUNTIFS(INP_DATA!$R$5:$R$3027,T$4,INP_DATA!$D$5:$D$3027,$D735,INP_DATA!$B$5:$B$3027,$B735)</f>
        <v>0</v>
      </c>
    </row>
    <row r="736" spans="1:20" x14ac:dyDescent="0.35">
      <c r="A736" s="3" t="s">
        <v>107</v>
      </c>
      <c r="B736" s="165">
        <v>45323</v>
      </c>
      <c r="C736" s="57" t="str">
        <f>IF($B736="","",YEAR($B736)&amp;"-"&amp;IFERROR(VLOOKUP(MONTH(B736),KEY!$AE$5:$AF$16,2,FALSE),""))</f>
        <v>2024-Q1</v>
      </c>
      <c r="D736" s="3" t="s">
        <v>126</v>
      </c>
      <c r="E736" s="219">
        <v>94</v>
      </c>
      <c r="F736" s="166">
        <v>333</v>
      </c>
      <c r="G736" s="166">
        <v>401</v>
      </c>
      <c r="H736" s="21">
        <v>464</v>
      </c>
      <c r="I736" s="21">
        <v>83</v>
      </c>
      <c r="J736" s="21">
        <v>282</v>
      </c>
      <c r="K736" s="21">
        <v>64</v>
      </c>
      <c r="L736" s="21">
        <v>609</v>
      </c>
      <c r="M736" s="21">
        <v>202</v>
      </c>
      <c r="N736" s="21">
        <v>342</v>
      </c>
      <c r="O736" s="19">
        <v>693</v>
      </c>
      <c r="P736" s="22">
        <v>145</v>
      </c>
      <c r="Q736" s="22">
        <v>91</v>
      </c>
      <c r="R736" s="20"/>
      <c r="S736" s="234">
        <f>COUNTIFS(INP_DATA!$R$5:$R$3027,S$4,INP_DATA!$D$5:$D$3027,$D736,INP_DATA!$B$5:$B$3027,$B736)</f>
        <v>0</v>
      </c>
      <c r="T736" s="235">
        <f>COUNTIFS(INP_DATA!$R$5:$R$3027,T$4,INP_DATA!$D$5:$D$3027,$D736,INP_DATA!$B$5:$B$3027,$B736)</f>
        <v>0</v>
      </c>
    </row>
    <row r="737" spans="1:20" x14ac:dyDescent="0.35">
      <c r="A737" s="3" t="s">
        <v>107</v>
      </c>
      <c r="B737" s="165">
        <v>45323</v>
      </c>
      <c r="C737" s="57" t="str">
        <f>IF($B737="","",YEAR($B737)&amp;"-"&amp;IFERROR(VLOOKUP(MONTH(B737),KEY!$AE$5:$AF$16,2,FALSE),""))</f>
        <v>2024-Q1</v>
      </c>
      <c r="D737" s="3" t="s">
        <v>127</v>
      </c>
      <c r="E737" s="219">
        <v>13</v>
      </c>
      <c r="F737" s="166">
        <v>50</v>
      </c>
      <c r="G737" s="166">
        <v>56</v>
      </c>
      <c r="H737" s="21">
        <v>88</v>
      </c>
      <c r="I737" s="21">
        <v>10</v>
      </c>
      <c r="J737" s="21">
        <v>28</v>
      </c>
      <c r="K737" s="21">
        <v>6</v>
      </c>
      <c r="L737" s="21">
        <v>84</v>
      </c>
      <c r="M737" s="21">
        <v>41</v>
      </c>
      <c r="N737" s="21">
        <v>50</v>
      </c>
      <c r="O737" s="19">
        <v>84</v>
      </c>
      <c r="P737" s="22">
        <v>11</v>
      </c>
      <c r="Q737" s="22">
        <v>5</v>
      </c>
      <c r="R737" s="20"/>
      <c r="S737" s="234">
        <f>COUNTIFS(INP_DATA!$R$5:$R$3027,S$4,INP_DATA!$D$5:$D$3027,$D737,INP_DATA!$B$5:$B$3027,$B737)</f>
        <v>0</v>
      </c>
      <c r="T737" s="235">
        <f>COUNTIFS(INP_DATA!$R$5:$R$3027,T$4,INP_DATA!$D$5:$D$3027,$D737,INP_DATA!$B$5:$B$3027,$B737)</f>
        <v>0</v>
      </c>
    </row>
    <row r="738" spans="1:20" x14ac:dyDescent="0.35">
      <c r="A738" s="3" t="s">
        <v>109</v>
      </c>
      <c r="B738" s="165">
        <v>45323</v>
      </c>
      <c r="C738" s="57" t="str">
        <f>IF($B738="","",YEAR($B738)&amp;"-"&amp;IFERROR(VLOOKUP(MONTH(B738),KEY!$AE$5:$AF$16,2,FALSE),""))</f>
        <v>2024-Q1</v>
      </c>
      <c r="D738" s="3" t="s">
        <v>128</v>
      </c>
      <c r="E738" s="219">
        <v>6</v>
      </c>
      <c r="F738" s="166">
        <v>226</v>
      </c>
      <c r="G738" s="166">
        <v>217</v>
      </c>
      <c r="H738" s="21">
        <v>535</v>
      </c>
      <c r="I738" s="21">
        <v>66</v>
      </c>
      <c r="J738" s="21">
        <v>251</v>
      </c>
      <c r="K738" s="21">
        <v>42</v>
      </c>
      <c r="L738" s="21">
        <v>362</v>
      </c>
      <c r="M738" s="21">
        <v>122</v>
      </c>
      <c r="N738" s="21">
        <v>227</v>
      </c>
      <c r="O738" s="19">
        <v>252</v>
      </c>
      <c r="P738" s="22">
        <v>0</v>
      </c>
      <c r="Q738" s="22">
        <v>0</v>
      </c>
      <c r="R738" s="20"/>
      <c r="S738" s="234">
        <f>COUNTIFS(INP_DATA!$R$5:$R$3027,S$4,INP_DATA!$D$5:$D$3027,$D738,INP_DATA!$B$5:$B$3027,$B738)</f>
        <v>0</v>
      </c>
      <c r="T738" s="235">
        <f>COUNTIFS(INP_DATA!$R$5:$R$3027,T$4,INP_DATA!$D$5:$D$3027,$D738,INP_DATA!$B$5:$B$3027,$B738)</f>
        <v>0</v>
      </c>
    </row>
    <row r="739" spans="1:20" x14ac:dyDescent="0.35">
      <c r="A739" s="3" t="s">
        <v>106</v>
      </c>
      <c r="B739" s="165">
        <v>45323</v>
      </c>
      <c r="C739" s="57" t="str">
        <f>IF($B739="","",YEAR($B739)&amp;"-"&amp;IFERROR(VLOOKUP(MONTH(B739),KEY!$AE$5:$AF$16,2,FALSE),""))</f>
        <v>2024-Q1</v>
      </c>
      <c r="D739" s="3" t="s">
        <v>129</v>
      </c>
      <c r="E739" s="219">
        <v>9</v>
      </c>
      <c r="F739" s="166">
        <v>144</v>
      </c>
      <c r="G739" s="166">
        <v>156</v>
      </c>
      <c r="H739" s="21">
        <v>227</v>
      </c>
      <c r="I739" s="21">
        <v>24</v>
      </c>
      <c r="J739" s="21">
        <v>174</v>
      </c>
      <c r="K739" s="21">
        <v>41</v>
      </c>
      <c r="L739" s="21">
        <v>245</v>
      </c>
      <c r="M739" s="21">
        <v>66</v>
      </c>
      <c r="N739" s="21">
        <v>147</v>
      </c>
      <c r="O739" s="19">
        <v>357</v>
      </c>
      <c r="P739" s="22">
        <v>34</v>
      </c>
      <c r="Q739" s="22">
        <v>23</v>
      </c>
      <c r="R739" s="20"/>
      <c r="S739" s="234">
        <f>COUNTIFS(INP_DATA!$R$5:$R$3027,S$4,INP_DATA!$D$5:$D$3027,$D739,INP_DATA!$B$5:$B$3027,$B739)</f>
        <v>0</v>
      </c>
      <c r="T739" s="235">
        <f>COUNTIFS(INP_DATA!$R$5:$R$3027,T$4,INP_DATA!$D$5:$D$3027,$D739,INP_DATA!$B$5:$B$3027,$B739)</f>
        <v>0</v>
      </c>
    </row>
    <row r="740" spans="1:20" x14ac:dyDescent="0.35">
      <c r="A740" s="3" t="s">
        <v>108</v>
      </c>
      <c r="B740" s="165">
        <v>45323</v>
      </c>
      <c r="C740" s="57" t="str">
        <f>IF($B740="","",YEAR($B740)&amp;"-"&amp;IFERROR(VLOOKUP(MONTH(B740),KEY!$AE$5:$AF$16,2,FALSE),""))</f>
        <v>2024-Q1</v>
      </c>
      <c r="D740" s="3" t="s">
        <v>130</v>
      </c>
      <c r="E740" s="219">
        <v>19</v>
      </c>
      <c r="F740" s="166">
        <v>115</v>
      </c>
      <c r="G740" s="166">
        <v>116</v>
      </c>
      <c r="H740" s="21">
        <v>274</v>
      </c>
      <c r="I740" s="21">
        <v>33</v>
      </c>
      <c r="J740" s="21">
        <v>125</v>
      </c>
      <c r="K740" s="21">
        <v>29</v>
      </c>
      <c r="L740" s="21">
        <v>124</v>
      </c>
      <c r="M740" s="21">
        <v>46</v>
      </c>
      <c r="N740" s="21">
        <v>128</v>
      </c>
      <c r="O740" s="19">
        <v>189</v>
      </c>
      <c r="P740" s="22">
        <v>61</v>
      </c>
      <c r="Q740" s="22">
        <v>37</v>
      </c>
      <c r="R740" s="20"/>
      <c r="S740" s="234">
        <f>COUNTIFS(INP_DATA!$R$5:$R$3027,S$4,INP_DATA!$D$5:$D$3027,$D740,INP_DATA!$B$5:$B$3027,$B740)</f>
        <v>0</v>
      </c>
      <c r="T740" s="235">
        <f>COUNTIFS(INP_DATA!$R$5:$R$3027,T$4,INP_DATA!$D$5:$D$3027,$D740,INP_DATA!$B$5:$B$3027,$B740)</f>
        <v>0</v>
      </c>
    </row>
    <row r="741" spans="1:20" x14ac:dyDescent="0.35">
      <c r="A741" s="3" t="s">
        <v>109</v>
      </c>
      <c r="B741" s="165">
        <v>45323</v>
      </c>
      <c r="C741" s="57" t="str">
        <f>IF($B741="","",YEAR($B741)&amp;"-"&amp;IFERROR(VLOOKUP(MONTH(B741),KEY!$AE$5:$AF$16,2,FALSE),""))</f>
        <v>2024-Q1</v>
      </c>
      <c r="D741" s="3" t="s">
        <v>131</v>
      </c>
      <c r="E741" s="219">
        <v>55</v>
      </c>
      <c r="F741" s="166">
        <v>165</v>
      </c>
      <c r="G741" s="166">
        <v>163</v>
      </c>
      <c r="H741" s="21">
        <v>190</v>
      </c>
      <c r="I741" s="21">
        <v>12</v>
      </c>
      <c r="J741" s="21">
        <v>155</v>
      </c>
      <c r="K741" s="21">
        <v>20</v>
      </c>
      <c r="L741" s="21">
        <v>302</v>
      </c>
      <c r="M741" s="21">
        <v>37</v>
      </c>
      <c r="N741" s="21">
        <v>182</v>
      </c>
      <c r="O741" s="19">
        <v>336</v>
      </c>
      <c r="P741" s="22">
        <v>3</v>
      </c>
      <c r="Q741" s="22">
        <v>2</v>
      </c>
      <c r="R741" s="20"/>
      <c r="S741" s="234">
        <f>COUNTIFS(INP_DATA!$R$5:$R$3027,S$4,INP_DATA!$D$5:$D$3027,$D741,INP_DATA!$B$5:$B$3027,$B741)</f>
        <v>0</v>
      </c>
      <c r="T741" s="235">
        <f>COUNTIFS(INP_DATA!$R$5:$R$3027,T$4,INP_DATA!$D$5:$D$3027,$D741,INP_DATA!$B$5:$B$3027,$B741)</f>
        <v>0</v>
      </c>
    </row>
    <row r="742" spans="1:20" x14ac:dyDescent="0.35">
      <c r="A742" s="3" t="s">
        <v>108</v>
      </c>
      <c r="B742" s="165">
        <v>45323</v>
      </c>
      <c r="C742" s="57" t="str">
        <f>IF($B742="","",YEAR($B742)&amp;"-"&amp;IFERROR(VLOOKUP(MONTH(B742),KEY!$AE$5:$AF$16,2,FALSE),""))</f>
        <v>2024-Q1</v>
      </c>
      <c r="D742" s="3" t="s">
        <v>134</v>
      </c>
      <c r="E742" s="219">
        <v>9</v>
      </c>
      <c r="F742" s="166">
        <v>25</v>
      </c>
      <c r="G742" s="166">
        <v>41</v>
      </c>
      <c r="H742" s="21">
        <v>48</v>
      </c>
      <c r="I742" s="21">
        <v>7</v>
      </c>
      <c r="J742" s="21">
        <v>22</v>
      </c>
      <c r="K742" s="21">
        <v>4</v>
      </c>
      <c r="L742" s="21">
        <v>38</v>
      </c>
      <c r="M742" s="21">
        <v>15</v>
      </c>
      <c r="N742" s="21">
        <v>25</v>
      </c>
      <c r="O742" s="19">
        <v>63</v>
      </c>
      <c r="P742" s="22">
        <v>23</v>
      </c>
      <c r="Q742" s="22">
        <v>15</v>
      </c>
      <c r="R742" s="20"/>
      <c r="S742" s="234">
        <f>COUNTIFS(INP_DATA!$R$5:$R$3027,S$4,INP_DATA!$D$5:$D$3027,$D742,INP_DATA!$B$5:$B$3027,$B742)</f>
        <v>0</v>
      </c>
      <c r="T742" s="235">
        <f>COUNTIFS(INP_DATA!$R$5:$R$3027,T$4,INP_DATA!$D$5:$D$3027,$D742,INP_DATA!$B$5:$B$3027,$B742)</f>
        <v>0</v>
      </c>
    </row>
    <row r="743" spans="1:20" x14ac:dyDescent="0.35">
      <c r="A743" s="3" t="s">
        <v>108</v>
      </c>
      <c r="B743" s="165">
        <v>45323</v>
      </c>
      <c r="C743" s="57" t="str">
        <f>IF($B743="","",YEAR($B743)&amp;"-"&amp;IFERROR(VLOOKUP(MONTH(B743),KEY!$AE$5:$AF$16,2,FALSE),""))</f>
        <v>2024-Q1</v>
      </c>
      <c r="D743" s="3" t="s">
        <v>135</v>
      </c>
      <c r="E743" s="219">
        <v>56</v>
      </c>
      <c r="F743" s="166">
        <v>239</v>
      </c>
      <c r="G743" s="166">
        <v>161</v>
      </c>
      <c r="H743" s="21">
        <v>497</v>
      </c>
      <c r="I743" s="21">
        <v>67</v>
      </c>
      <c r="J743" s="21">
        <v>217</v>
      </c>
      <c r="K743" s="21">
        <v>45</v>
      </c>
      <c r="L743" s="21">
        <v>599</v>
      </c>
      <c r="M743" s="21">
        <v>137</v>
      </c>
      <c r="N743" s="21">
        <v>246</v>
      </c>
      <c r="O743" s="19">
        <v>336</v>
      </c>
      <c r="P743" s="22">
        <v>61</v>
      </c>
      <c r="Q743" s="22">
        <v>41</v>
      </c>
      <c r="R743" s="20"/>
      <c r="S743" s="234">
        <f>COUNTIFS(INP_DATA!$R$5:$R$3027,S$4,INP_DATA!$D$5:$D$3027,$D743,INP_DATA!$B$5:$B$3027,$B743)</f>
        <v>0</v>
      </c>
      <c r="T743" s="235">
        <f>COUNTIFS(INP_DATA!$R$5:$R$3027,T$4,INP_DATA!$D$5:$D$3027,$D743,INP_DATA!$B$5:$B$3027,$B743)</f>
        <v>0</v>
      </c>
    </row>
    <row r="744" spans="1:20" x14ac:dyDescent="0.35">
      <c r="A744" s="3" t="s">
        <v>16</v>
      </c>
      <c r="B744" s="165">
        <v>45323</v>
      </c>
      <c r="C744" s="57" t="str">
        <f>IF($B744="","",YEAR($B744)&amp;"-"&amp;IFERROR(VLOOKUP(MONTH(B744),KEY!$AE$5:$AF$16,2,FALSE),""))</f>
        <v>2024-Q1</v>
      </c>
      <c r="D744" s="3" t="s">
        <v>196</v>
      </c>
      <c r="E744" s="219">
        <v>11</v>
      </c>
      <c r="F744" s="166">
        <v>40</v>
      </c>
      <c r="G744" s="166">
        <v>27</v>
      </c>
      <c r="H744" s="21">
        <v>73</v>
      </c>
      <c r="I744" s="21">
        <v>14</v>
      </c>
      <c r="J744" s="21">
        <v>38</v>
      </c>
      <c r="K744" s="21">
        <v>7</v>
      </c>
      <c r="L744" s="21">
        <v>103</v>
      </c>
      <c r="M744" s="21">
        <v>35</v>
      </c>
      <c r="N744" s="21">
        <v>41</v>
      </c>
      <c r="O744" s="19">
        <v>105</v>
      </c>
      <c r="P744" s="22">
        <v>7</v>
      </c>
      <c r="Q744" s="22">
        <v>5</v>
      </c>
      <c r="R744" s="20"/>
      <c r="S744" s="234">
        <f>COUNTIFS(INP_DATA!$R$5:$R$3027,S$4,INP_DATA!$D$5:$D$3027,$D744,INP_DATA!$B$5:$B$3027,$B744)</f>
        <v>0</v>
      </c>
      <c r="T744" s="235">
        <f>COUNTIFS(INP_DATA!$R$5:$R$3027,T$4,INP_DATA!$D$5:$D$3027,$D744,INP_DATA!$B$5:$B$3027,$B744)</f>
        <v>0</v>
      </c>
    </row>
    <row r="745" spans="1:20" x14ac:dyDescent="0.35">
      <c r="A745" s="3" t="s">
        <v>16</v>
      </c>
      <c r="B745" s="165">
        <v>45323</v>
      </c>
      <c r="C745" s="57" t="str">
        <f>IF($B745="","",YEAR($B745)&amp;"-"&amp;IFERROR(VLOOKUP(MONTH(B745),KEY!$AE$5:$AF$16,2,FALSE),""))</f>
        <v>2024-Q1</v>
      </c>
      <c r="D745" s="3" t="s">
        <v>197</v>
      </c>
      <c r="E745" s="219">
        <v>24</v>
      </c>
      <c r="F745" s="166">
        <v>100</v>
      </c>
      <c r="G745" s="166">
        <v>47</v>
      </c>
      <c r="H745" s="21">
        <v>126</v>
      </c>
      <c r="I745" s="21">
        <v>18</v>
      </c>
      <c r="J745" s="21">
        <v>106</v>
      </c>
      <c r="K745" s="21">
        <v>23</v>
      </c>
      <c r="L745" s="21">
        <v>150</v>
      </c>
      <c r="M745" s="21">
        <v>69</v>
      </c>
      <c r="N745" s="21">
        <v>105</v>
      </c>
      <c r="O745" s="19">
        <v>231</v>
      </c>
      <c r="P745" s="22">
        <v>13</v>
      </c>
      <c r="Q745" s="22">
        <v>9</v>
      </c>
      <c r="R745" s="20"/>
      <c r="S745" s="234">
        <f>COUNTIFS(INP_DATA!$R$5:$R$3027,S$4,INP_DATA!$D$5:$D$3027,$D745,INP_DATA!$B$5:$B$3027,$B745)</f>
        <v>0</v>
      </c>
      <c r="T745" s="235">
        <f>COUNTIFS(INP_DATA!$R$5:$R$3027,T$4,INP_DATA!$D$5:$D$3027,$D745,INP_DATA!$B$5:$B$3027,$B745)</f>
        <v>0</v>
      </c>
    </row>
    <row r="746" spans="1:20" x14ac:dyDescent="0.35">
      <c r="A746" s="3" t="s">
        <v>109</v>
      </c>
      <c r="B746" s="165">
        <v>45323</v>
      </c>
      <c r="C746" s="57" t="str">
        <f>IF($B746="","",YEAR($B746)&amp;"-"&amp;IFERROR(VLOOKUP(MONTH(B746),KEY!$AE$5:$AF$16,2,FALSE),""))</f>
        <v>2024-Q1</v>
      </c>
      <c r="D746" s="3" t="s">
        <v>136</v>
      </c>
      <c r="E746" s="219">
        <v>61</v>
      </c>
      <c r="F746" s="166">
        <v>254</v>
      </c>
      <c r="G746" s="166">
        <v>207</v>
      </c>
      <c r="H746" s="21">
        <v>494</v>
      </c>
      <c r="I746" s="21">
        <v>53</v>
      </c>
      <c r="J746" s="21">
        <v>388</v>
      </c>
      <c r="K746" s="21">
        <v>30</v>
      </c>
      <c r="L746" s="21">
        <v>343</v>
      </c>
      <c r="M746" s="21">
        <v>135</v>
      </c>
      <c r="N746" s="21">
        <v>254</v>
      </c>
      <c r="O746" s="19">
        <v>315</v>
      </c>
      <c r="P746" s="22">
        <v>27</v>
      </c>
      <c r="Q746" s="22">
        <v>22</v>
      </c>
      <c r="R746" s="20"/>
      <c r="S746" s="234">
        <f>COUNTIFS(INP_DATA!$R$5:$R$3027,S$4,INP_DATA!$D$5:$D$3027,$D746,INP_DATA!$B$5:$B$3027,$B746)</f>
        <v>0</v>
      </c>
      <c r="T746" s="235">
        <f>COUNTIFS(INP_DATA!$R$5:$R$3027,T$4,INP_DATA!$D$5:$D$3027,$D746,INP_DATA!$B$5:$B$3027,$B746)</f>
        <v>0</v>
      </c>
    </row>
    <row r="747" spans="1:20" x14ac:dyDescent="0.35">
      <c r="A747" s="3" t="s">
        <v>16</v>
      </c>
      <c r="B747" s="165">
        <v>45323</v>
      </c>
      <c r="C747" s="57" t="str">
        <f>IF($B747="","",YEAR($B747)&amp;"-"&amp;IFERROR(VLOOKUP(MONTH(B747),KEY!$AE$5:$AF$16,2,FALSE),""))</f>
        <v>2024-Q1</v>
      </c>
      <c r="D747" s="3" t="s">
        <v>137</v>
      </c>
      <c r="E747" s="219">
        <v>20</v>
      </c>
      <c r="F747" s="166">
        <v>81</v>
      </c>
      <c r="G747" s="166">
        <v>89</v>
      </c>
      <c r="H747" s="21">
        <v>187</v>
      </c>
      <c r="I747" s="21">
        <v>23</v>
      </c>
      <c r="J747" s="21">
        <v>158</v>
      </c>
      <c r="K747" s="21">
        <v>32</v>
      </c>
      <c r="L747" s="21">
        <v>146</v>
      </c>
      <c r="M747" s="21">
        <v>60</v>
      </c>
      <c r="N747" s="21">
        <v>86</v>
      </c>
      <c r="O747" s="19">
        <v>189</v>
      </c>
      <c r="P747" s="22">
        <v>11</v>
      </c>
      <c r="Q747" s="22">
        <v>5</v>
      </c>
      <c r="R747" s="20"/>
      <c r="S747" s="234">
        <f>COUNTIFS(INP_DATA!$R$5:$R$3027,S$4,INP_DATA!$D$5:$D$3027,$D747,INP_DATA!$B$5:$B$3027,$B747)</f>
        <v>0</v>
      </c>
      <c r="T747" s="235">
        <f>COUNTIFS(INP_DATA!$R$5:$R$3027,T$4,INP_DATA!$D$5:$D$3027,$D747,INP_DATA!$B$5:$B$3027,$B747)</f>
        <v>0</v>
      </c>
    </row>
    <row r="748" spans="1:20" x14ac:dyDescent="0.35">
      <c r="A748" s="3" t="s">
        <v>109</v>
      </c>
      <c r="B748" s="165">
        <v>45323</v>
      </c>
      <c r="C748" s="57" t="str">
        <f>IF($B748="","",YEAR($B748)&amp;"-"&amp;IFERROR(VLOOKUP(MONTH(B748),KEY!$AE$5:$AF$16,2,FALSE),""))</f>
        <v>2024-Q1</v>
      </c>
      <c r="D748" s="3" t="s">
        <v>138</v>
      </c>
      <c r="E748" s="219">
        <v>31</v>
      </c>
      <c r="F748" s="166">
        <v>151</v>
      </c>
      <c r="G748" s="166">
        <v>87</v>
      </c>
      <c r="H748" s="21">
        <v>405</v>
      </c>
      <c r="I748" s="21">
        <v>44</v>
      </c>
      <c r="J748" s="21">
        <v>238</v>
      </c>
      <c r="K748" s="21">
        <v>30</v>
      </c>
      <c r="L748" s="21">
        <v>309</v>
      </c>
      <c r="M748" s="21">
        <v>110</v>
      </c>
      <c r="N748" s="21">
        <v>151</v>
      </c>
      <c r="O748" s="19">
        <v>168</v>
      </c>
      <c r="P748" s="22">
        <v>12</v>
      </c>
      <c r="Q748" s="22">
        <v>10</v>
      </c>
      <c r="R748" s="20"/>
      <c r="S748" s="234">
        <f>COUNTIFS(INP_DATA!$R$5:$R$3027,S$4,INP_DATA!$D$5:$D$3027,$D748,INP_DATA!$B$5:$B$3027,$B748)</f>
        <v>0</v>
      </c>
      <c r="T748" s="235">
        <f>COUNTIFS(INP_DATA!$R$5:$R$3027,T$4,INP_DATA!$D$5:$D$3027,$D748,INP_DATA!$B$5:$B$3027,$B748)</f>
        <v>0</v>
      </c>
    </row>
    <row r="749" spans="1:20" x14ac:dyDescent="0.35">
      <c r="A749" s="3" t="s">
        <v>108</v>
      </c>
      <c r="B749" s="165">
        <v>45323</v>
      </c>
      <c r="C749" s="57" t="str">
        <f>IF($B749="","",YEAR($B749)&amp;"-"&amp;IFERROR(VLOOKUP(MONTH(B749),KEY!$AE$5:$AF$16,2,FALSE),""))</f>
        <v>2024-Q1</v>
      </c>
      <c r="D749" s="3" t="s">
        <v>139</v>
      </c>
      <c r="E749" s="219">
        <v>32</v>
      </c>
      <c r="F749" s="166">
        <v>153</v>
      </c>
      <c r="G749" s="166">
        <v>134</v>
      </c>
      <c r="H749" s="21">
        <v>329</v>
      </c>
      <c r="I749" s="21">
        <v>43</v>
      </c>
      <c r="J749" s="21">
        <v>80</v>
      </c>
      <c r="K749" s="21">
        <v>17</v>
      </c>
      <c r="L749" s="21">
        <v>435</v>
      </c>
      <c r="M749" s="21">
        <v>99</v>
      </c>
      <c r="N749" s="21">
        <v>155</v>
      </c>
      <c r="O749" s="19">
        <v>252</v>
      </c>
      <c r="P749" s="22">
        <v>45</v>
      </c>
      <c r="Q749" s="22">
        <v>35</v>
      </c>
      <c r="R749" s="20"/>
      <c r="S749" s="234">
        <f>COUNTIFS(INP_DATA!$R$5:$R$3027,S$4,INP_DATA!$D$5:$D$3027,$D749,INP_DATA!$B$5:$B$3027,$B749)</f>
        <v>0</v>
      </c>
      <c r="T749" s="235">
        <f>COUNTIFS(INP_DATA!$R$5:$R$3027,T$4,INP_DATA!$D$5:$D$3027,$D749,INP_DATA!$B$5:$B$3027,$B749)</f>
        <v>0</v>
      </c>
    </row>
    <row r="750" spans="1:20" x14ac:dyDescent="0.35">
      <c r="A750" s="3" t="s">
        <v>107</v>
      </c>
      <c r="B750" s="165">
        <v>45323</v>
      </c>
      <c r="C750" s="57" t="str">
        <f>IF($B750="","",YEAR($B750)&amp;"-"&amp;IFERROR(VLOOKUP(MONTH(B750),KEY!$AE$5:$AF$16,2,FALSE),""))</f>
        <v>2024-Q1</v>
      </c>
      <c r="D750" s="3" t="s">
        <v>140</v>
      </c>
      <c r="E750" s="219">
        <v>3</v>
      </c>
      <c r="F750" s="166">
        <v>21</v>
      </c>
      <c r="G750" s="166">
        <v>39</v>
      </c>
      <c r="H750" s="21">
        <v>82</v>
      </c>
      <c r="I750" s="21">
        <v>7</v>
      </c>
      <c r="J750" s="21">
        <v>23</v>
      </c>
      <c r="K750" s="21">
        <v>9</v>
      </c>
      <c r="L750" s="21">
        <v>56</v>
      </c>
      <c r="M750" s="21">
        <v>19</v>
      </c>
      <c r="N750" s="21">
        <v>21</v>
      </c>
      <c r="O750" s="19">
        <v>63</v>
      </c>
      <c r="P750" s="22">
        <v>12</v>
      </c>
      <c r="Q750" s="22">
        <v>6</v>
      </c>
      <c r="R750" s="20"/>
      <c r="S750" s="234">
        <f>COUNTIFS(INP_DATA!$R$5:$R$3027,S$4,INP_DATA!$D$5:$D$3027,$D750,INP_DATA!$B$5:$B$3027,$B750)</f>
        <v>0</v>
      </c>
      <c r="T750" s="235">
        <f>COUNTIFS(INP_DATA!$R$5:$R$3027,T$4,INP_DATA!$D$5:$D$3027,$D750,INP_DATA!$B$5:$B$3027,$B750)</f>
        <v>0</v>
      </c>
    </row>
    <row r="751" spans="1:20" x14ac:dyDescent="0.35">
      <c r="A751" s="3" t="s">
        <v>108</v>
      </c>
      <c r="B751" s="165">
        <v>45323</v>
      </c>
      <c r="C751" s="57" t="str">
        <f>IF($B751="","",YEAR($B751)&amp;"-"&amp;IFERROR(VLOOKUP(MONTH(B751),KEY!$AE$5:$AF$16,2,FALSE),""))</f>
        <v>2024-Q1</v>
      </c>
      <c r="D751" s="3" t="s">
        <v>142</v>
      </c>
      <c r="E751" s="219">
        <v>12</v>
      </c>
      <c r="F751" s="166">
        <v>61</v>
      </c>
      <c r="G751" s="166">
        <v>63</v>
      </c>
      <c r="H751" s="21">
        <v>178</v>
      </c>
      <c r="I751" s="21">
        <v>28</v>
      </c>
      <c r="J751" s="21">
        <v>40</v>
      </c>
      <c r="K751" s="21">
        <v>8</v>
      </c>
      <c r="L751" s="21">
        <v>88</v>
      </c>
      <c r="M751" s="21">
        <v>39</v>
      </c>
      <c r="N751" s="21">
        <v>61</v>
      </c>
      <c r="O751" s="19">
        <v>84</v>
      </c>
      <c r="P751" s="22">
        <v>23</v>
      </c>
      <c r="Q751" s="22">
        <v>11</v>
      </c>
      <c r="R751" s="20"/>
      <c r="S751" s="234">
        <f>COUNTIFS(INP_DATA!$R$5:$R$3027,S$4,INP_DATA!$D$5:$D$3027,$D751,INP_DATA!$B$5:$B$3027,$B751)</f>
        <v>0</v>
      </c>
      <c r="T751" s="235">
        <f>COUNTIFS(INP_DATA!$R$5:$R$3027,T$4,INP_DATA!$D$5:$D$3027,$D751,INP_DATA!$B$5:$B$3027,$B751)</f>
        <v>0</v>
      </c>
    </row>
    <row r="752" spans="1:20" x14ac:dyDescent="0.35">
      <c r="A752" s="3" t="s">
        <v>16</v>
      </c>
      <c r="B752" s="165">
        <v>45323</v>
      </c>
      <c r="C752" s="57" t="str">
        <f>IF($B752="","",YEAR($B752)&amp;"-"&amp;IFERROR(VLOOKUP(MONTH(B752),KEY!$AE$5:$AF$16,2,FALSE),""))</f>
        <v>2024-Q1</v>
      </c>
      <c r="D752" s="3" t="s">
        <v>143</v>
      </c>
      <c r="E752" s="219">
        <v>14</v>
      </c>
      <c r="F752" s="166">
        <v>63</v>
      </c>
      <c r="G752" s="166">
        <v>64</v>
      </c>
      <c r="H752" s="21">
        <v>108</v>
      </c>
      <c r="I752" s="21">
        <v>18</v>
      </c>
      <c r="J752" s="21">
        <v>72</v>
      </c>
      <c r="K752" s="21">
        <v>17</v>
      </c>
      <c r="L752" s="21">
        <v>148</v>
      </c>
      <c r="M752" s="21">
        <v>52</v>
      </c>
      <c r="N752" s="21">
        <v>64</v>
      </c>
      <c r="O752" s="19">
        <v>168</v>
      </c>
      <c r="P752" s="22">
        <v>14</v>
      </c>
      <c r="Q752" s="22">
        <v>7</v>
      </c>
      <c r="R752" s="20"/>
      <c r="S752" s="234">
        <f>COUNTIFS(INP_DATA!$R$5:$R$3027,S$4,INP_DATA!$D$5:$D$3027,$D752,INP_DATA!$B$5:$B$3027,$B752)</f>
        <v>0</v>
      </c>
      <c r="T752" s="235">
        <f>COUNTIFS(INP_DATA!$R$5:$R$3027,T$4,INP_DATA!$D$5:$D$3027,$D752,INP_DATA!$B$5:$B$3027,$B752)</f>
        <v>0</v>
      </c>
    </row>
    <row r="753" spans="1:20" x14ac:dyDescent="0.35">
      <c r="A753" s="3" t="s">
        <v>16</v>
      </c>
      <c r="B753" s="165">
        <v>45323</v>
      </c>
      <c r="C753" s="57" t="str">
        <f>IF($B753="","",YEAR($B753)&amp;"-"&amp;IFERROR(VLOOKUP(MONTH(B753),KEY!$AE$5:$AF$16,2,FALSE),""))</f>
        <v>2024-Q1</v>
      </c>
      <c r="D753" s="3" t="s">
        <v>144</v>
      </c>
      <c r="E753" s="219">
        <v>34</v>
      </c>
      <c r="F753" s="166">
        <v>189</v>
      </c>
      <c r="G753" s="166">
        <v>154</v>
      </c>
      <c r="H753" s="21">
        <v>255</v>
      </c>
      <c r="I753" s="21">
        <v>39</v>
      </c>
      <c r="J753" s="21">
        <v>156</v>
      </c>
      <c r="K753" s="21">
        <v>25</v>
      </c>
      <c r="L753" s="21">
        <v>372</v>
      </c>
      <c r="M753" s="21">
        <v>97</v>
      </c>
      <c r="N753" s="21">
        <v>189</v>
      </c>
      <c r="O753" s="19">
        <v>399</v>
      </c>
      <c r="P753" s="22">
        <v>16</v>
      </c>
      <c r="Q753" s="22">
        <v>14</v>
      </c>
      <c r="R753" s="20"/>
      <c r="S753" s="234">
        <f>COUNTIFS(INP_DATA!$R$5:$R$3027,S$4,INP_DATA!$D$5:$D$3027,$D753,INP_DATA!$B$5:$B$3027,$B753)</f>
        <v>0</v>
      </c>
      <c r="T753" s="235">
        <f>COUNTIFS(INP_DATA!$R$5:$R$3027,T$4,INP_DATA!$D$5:$D$3027,$D753,INP_DATA!$B$5:$B$3027,$B753)</f>
        <v>0</v>
      </c>
    </row>
    <row r="754" spans="1:20" x14ac:dyDescent="0.35">
      <c r="A754" s="3" t="s">
        <v>108</v>
      </c>
      <c r="B754" s="165">
        <v>45323</v>
      </c>
      <c r="C754" s="57" t="str">
        <f>IF($B754="","",YEAR($B754)&amp;"-"&amp;IFERROR(VLOOKUP(MONTH(B754),KEY!$AE$5:$AF$16,2,FALSE),""))</f>
        <v>2024-Q1</v>
      </c>
      <c r="D754" s="3" t="s">
        <v>145</v>
      </c>
      <c r="E754" s="219">
        <v>44</v>
      </c>
      <c r="F754" s="166">
        <v>134</v>
      </c>
      <c r="G754" s="166">
        <v>165</v>
      </c>
      <c r="H754" s="21">
        <v>243</v>
      </c>
      <c r="I754" s="21">
        <v>33</v>
      </c>
      <c r="J754" s="21">
        <v>171</v>
      </c>
      <c r="K754" s="21">
        <v>26</v>
      </c>
      <c r="L754" s="21">
        <v>323</v>
      </c>
      <c r="M754" s="21">
        <v>85</v>
      </c>
      <c r="N754" s="21">
        <v>134</v>
      </c>
      <c r="O754" s="19">
        <v>294</v>
      </c>
      <c r="P754" s="22">
        <v>41</v>
      </c>
      <c r="Q754" s="22">
        <v>27</v>
      </c>
      <c r="R754" s="20"/>
      <c r="S754" s="234">
        <f>COUNTIFS(INP_DATA!$R$5:$R$3027,S$4,INP_DATA!$D$5:$D$3027,$D754,INP_DATA!$B$5:$B$3027,$B754)</f>
        <v>0</v>
      </c>
      <c r="T754" s="235">
        <f>COUNTIFS(INP_DATA!$R$5:$R$3027,T$4,INP_DATA!$D$5:$D$3027,$D754,INP_DATA!$B$5:$B$3027,$B754)</f>
        <v>0</v>
      </c>
    </row>
    <row r="755" spans="1:20" x14ac:dyDescent="0.35">
      <c r="A755" s="3" t="s">
        <v>16</v>
      </c>
      <c r="B755" s="165">
        <v>45323</v>
      </c>
      <c r="C755" s="57" t="str">
        <f>IF($B755="","",YEAR($B755)&amp;"-"&amp;IFERROR(VLOOKUP(MONTH(B755),KEY!$AE$5:$AF$16,2,FALSE),""))</f>
        <v>2024-Q1</v>
      </c>
      <c r="D755" s="3" t="s">
        <v>146</v>
      </c>
      <c r="E755" s="219">
        <v>10</v>
      </c>
      <c r="F755" s="166">
        <v>39</v>
      </c>
      <c r="G755" s="166">
        <v>48</v>
      </c>
      <c r="H755" s="21">
        <v>88</v>
      </c>
      <c r="I755" s="21">
        <v>11</v>
      </c>
      <c r="J755" s="21">
        <v>30</v>
      </c>
      <c r="K755" s="21">
        <v>6</v>
      </c>
      <c r="L755" s="21">
        <v>65</v>
      </c>
      <c r="M755" s="21">
        <v>30</v>
      </c>
      <c r="N755" s="21">
        <v>40</v>
      </c>
      <c r="O755" s="19">
        <v>84</v>
      </c>
      <c r="P755" s="22">
        <v>2</v>
      </c>
      <c r="Q755" s="22">
        <v>0</v>
      </c>
      <c r="R755" s="20"/>
      <c r="S755" s="234">
        <f>COUNTIFS(INP_DATA!$R$5:$R$3027,S$4,INP_DATA!$D$5:$D$3027,$D755,INP_DATA!$B$5:$B$3027,$B755)</f>
        <v>0</v>
      </c>
      <c r="T755" s="235">
        <f>COUNTIFS(INP_DATA!$R$5:$R$3027,T$4,INP_DATA!$D$5:$D$3027,$D755,INP_DATA!$B$5:$B$3027,$B755)</f>
        <v>0</v>
      </c>
    </row>
    <row r="756" spans="1:20" x14ac:dyDescent="0.35">
      <c r="A756" s="3" t="s">
        <v>109</v>
      </c>
      <c r="B756" s="165">
        <v>45323</v>
      </c>
      <c r="C756" s="57" t="str">
        <f>IF($B756="","",YEAR($B756)&amp;"-"&amp;IFERROR(VLOOKUP(MONTH(B756),KEY!$AE$5:$AF$16,2,FALSE),""))</f>
        <v>2024-Q1</v>
      </c>
      <c r="D756" s="3" t="s">
        <v>147</v>
      </c>
      <c r="E756" s="219">
        <v>7</v>
      </c>
      <c r="F756" s="166">
        <v>41</v>
      </c>
      <c r="G756" s="166">
        <v>58</v>
      </c>
      <c r="H756" s="21">
        <v>104</v>
      </c>
      <c r="I756" s="21">
        <v>12</v>
      </c>
      <c r="J756" s="21">
        <v>60</v>
      </c>
      <c r="K756" s="21">
        <v>7</v>
      </c>
      <c r="L756" s="21">
        <v>58</v>
      </c>
      <c r="M756" s="21">
        <v>32</v>
      </c>
      <c r="N756" s="21">
        <v>41</v>
      </c>
      <c r="O756" s="19">
        <v>84</v>
      </c>
      <c r="P756" s="22">
        <v>5</v>
      </c>
      <c r="Q756" s="22">
        <v>2</v>
      </c>
      <c r="R756" s="20"/>
      <c r="S756" s="234">
        <f>COUNTIFS(INP_DATA!$R$5:$R$3027,S$4,INP_DATA!$D$5:$D$3027,$D756,INP_DATA!$B$5:$B$3027,$B756)</f>
        <v>0</v>
      </c>
      <c r="T756" s="235">
        <f>COUNTIFS(INP_DATA!$R$5:$R$3027,T$4,INP_DATA!$D$5:$D$3027,$D756,INP_DATA!$B$5:$B$3027,$B756)</f>
        <v>0</v>
      </c>
    </row>
    <row r="757" spans="1:20" x14ac:dyDescent="0.35">
      <c r="A757" s="3" t="s">
        <v>106</v>
      </c>
      <c r="B757" s="165">
        <v>45323</v>
      </c>
      <c r="C757" s="57" t="str">
        <f>IF($B757="","",YEAR($B757)&amp;"-"&amp;IFERROR(VLOOKUP(MONTH(B757),KEY!$AE$5:$AF$16,2,FALSE),""))</f>
        <v>2024-Q1</v>
      </c>
      <c r="D757" s="3" t="s">
        <v>148</v>
      </c>
      <c r="E757" s="219">
        <v>13</v>
      </c>
      <c r="F757" s="166">
        <v>38</v>
      </c>
      <c r="G757" s="166">
        <v>44</v>
      </c>
      <c r="H757" s="21">
        <v>96</v>
      </c>
      <c r="I757" s="21">
        <v>10</v>
      </c>
      <c r="J757" s="21">
        <v>67</v>
      </c>
      <c r="K757" s="21">
        <v>6</v>
      </c>
      <c r="L757" s="21">
        <v>92</v>
      </c>
      <c r="M757" s="21">
        <v>33</v>
      </c>
      <c r="N757" s="21">
        <v>38</v>
      </c>
      <c r="O757" s="19">
        <v>84</v>
      </c>
      <c r="P757" s="22">
        <v>7</v>
      </c>
      <c r="Q757" s="22">
        <v>3</v>
      </c>
      <c r="R757" s="20"/>
      <c r="S757" s="234">
        <f>COUNTIFS(INP_DATA!$R$5:$R$3027,S$4,INP_DATA!$D$5:$D$3027,$D757,INP_DATA!$B$5:$B$3027,$B757)</f>
        <v>0</v>
      </c>
      <c r="T757" s="235">
        <f>COUNTIFS(INP_DATA!$R$5:$R$3027,T$4,INP_DATA!$D$5:$D$3027,$D757,INP_DATA!$B$5:$B$3027,$B757)</f>
        <v>0</v>
      </c>
    </row>
    <row r="758" spans="1:20" x14ac:dyDescent="0.35">
      <c r="A758" s="3" t="s">
        <v>107</v>
      </c>
      <c r="B758" s="165">
        <v>45323</v>
      </c>
      <c r="C758" s="57" t="str">
        <f>IF($B758="","",YEAR($B758)&amp;"-"&amp;IFERROR(VLOOKUP(MONTH(B758),KEY!$AE$5:$AF$16,2,FALSE),""))</f>
        <v>2024-Q1</v>
      </c>
      <c r="D758" s="3" t="s">
        <v>149</v>
      </c>
      <c r="E758" s="219">
        <v>5</v>
      </c>
      <c r="F758" s="166">
        <v>16</v>
      </c>
      <c r="G758" s="166">
        <v>20</v>
      </c>
      <c r="H758" s="21">
        <v>37</v>
      </c>
      <c r="I758" s="21">
        <v>5</v>
      </c>
      <c r="J758" s="21">
        <v>11</v>
      </c>
      <c r="K758" s="21">
        <v>2</v>
      </c>
      <c r="L758" s="21">
        <v>38</v>
      </c>
      <c r="M758" s="21">
        <v>14</v>
      </c>
      <c r="N758" s="21">
        <v>16</v>
      </c>
      <c r="O758" s="19">
        <v>63</v>
      </c>
      <c r="P758" s="22">
        <v>1</v>
      </c>
      <c r="Q758" s="22">
        <v>1</v>
      </c>
      <c r="R758" s="20"/>
      <c r="S758" s="234">
        <f>COUNTIFS(INP_DATA!$R$5:$R$3027,S$4,INP_DATA!$D$5:$D$3027,$D758,INP_DATA!$B$5:$B$3027,$B758)</f>
        <v>0</v>
      </c>
      <c r="T758" s="235">
        <f>COUNTIFS(INP_DATA!$R$5:$R$3027,T$4,INP_DATA!$D$5:$D$3027,$D758,INP_DATA!$B$5:$B$3027,$B758)</f>
        <v>0</v>
      </c>
    </row>
    <row r="759" spans="1:20" x14ac:dyDescent="0.35">
      <c r="A759" s="3" t="s">
        <v>108</v>
      </c>
      <c r="B759" s="165">
        <v>45323</v>
      </c>
      <c r="C759" s="57" t="str">
        <f>IF($B759="","",YEAR($B759)&amp;"-"&amp;IFERROR(VLOOKUP(MONTH(B759),KEY!$AE$5:$AF$16,2,FALSE),""))</f>
        <v>2024-Q1</v>
      </c>
      <c r="D759" s="3" t="s">
        <v>150</v>
      </c>
      <c r="E759" s="219">
        <v>4</v>
      </c>
      <c r="F759" s="166">
        <v>44</v>
      </c>
      <c r="G759" s="166">
        <v>38</v>
      </c>
      <c r="H759" s="21">
        <v>48</v>
      </c>
      <c r="I759" s="21">
        <v>9</v>
      </c>
      <c r="J759" s="21">
        <v>9</v>
      </c>
      <c r="K759" s="21">
        <v>3</v>
      </c>
      <c r="L759" s="21">
        <v>76</v>
      </c>
      <c r="M759" s="21">
        <v>27</v>
      </c>
      <c r="N759" s="21">
        <v>44</v>
      </c>
      <c r="O759" s="19">
        <v>105</v>
      </c>
      <c r="P759" s="22">
        <v>4</v>
      </c>
      <c r="Q759" s="22">
        <v>3</v>
      </c>
      <c r="R759" s="20"/>
      <c r="S759" s="234">
        <f>COUNTIFS(INP_DATA!$R$5:$R$3027,S$4,INP_DATA!$D$5:$D$3027,$D759,INP_DATA!$B$5:$B$3027,$B759)</f>
        <v>0</v>
      </c>
      <c r="T759" s="235">
        <f>COUNTIFS(INP_DATA!$R$5:$R$3027,T$4,INP_DATA!$D$5:$D$3027,$D759,INP_DATA!$B$5:$B$3027,$B759)</f>
        <v>0</v>
      </c>
    </row>
    <row r="760" spans="1:20" x14ac:dyDescent="0.35">
      <c r="A760" s="3" t="s">
        <v>16</v>
      </c>
      <c r="B760" s="165">
        <v>45323</v>
      </c>
      <c r="C760" s="57" t="str">
        <f>IF($B760="","",YEAR($B760)&amp;"-"&amp;IFERROR(VLOOKUP(MONTH(B760),KEY!$AE$5:$AF$16,2,FALSE),""))</f>
        <v>2024-Q1</v>
      </c>
      <c r="D760" s="3" t="s">
        <v>151</v>
      </c>
      <c r="E760" s="219">
        <v>5</v>
      </c>
      <c r="F760" s="166">
        <v>33</v>
      </c>
      <c r="G760" s="166">
        <v>24</v>
      </c>
      <c r="H760" s="21">
        <v>54</v>
      </c>
      <c r="I760" s="21">
        <v>15</v>
      </c>
      <c r="J760" s="21">
        <v>22</v>
      </c>
      <c r="K760" s="21">
        <v>5</v>
      </c>
      <c r="L760" s="21">
        <v>51</v>
      </c>
      <c r="M760" s="21">
        <v>22</v>
      </c>
      <c r="N760" s="21">
        <v>34</v>
      </c>
      <c r="O760" s="19">
        <v>84</v>
      </c>
      <c r="P760" s="22">
        <v>3</v>
      </c>
      <c r="Q760" s="22">
        <v>0</v>
      </c>
      <c r="R760" s="20"/>
      <c r="S760" s="234">
        <f>COUNTIFS(INP_DATA!$R$5:$R$3027,S$4,INP_DATA!$D$5:$D$3027,$D760,INP_DATA!$B$5:$B$3027,$B760)</f>
        <v>0</v>
      </c>
      <c r="T760" s="235">
        <f>COUNTIFS(INP_DATA!$R$5:$R$3027,T$4,INP_DATA!$D$5:$D$3027,$D760,INP_DATA!$B$5:$B$3027,$B760)</f>
        <v>0</v>
      </c>
    </row>
    <row r="761" spans="1:20" x14ac:dyDescent="0.35">
      <c r="A761" s="3" t="s">
        <v>106</v>
      </c>
      <c r="B761" s="165">
        <v>45323</v>
      </c>
      <c r="C761" s="57" t="str">
        <f>IF($B761="","",YEAR($B761)&amp;"-"&amp;IFERROR(VLOOKUP(MONTH(B761),KEY!$AE$5:$AF$16,2,FALSE),""))</f>
        <v>2024-Q1</v>
      </c>
      <c r="D761" s="3" t="s">
        <v>152</v>
      </c>
      <c r="E761" s="219">
        <v>48</v>
      </c>
      <c r="F761" s="166">
        <v>180</v>
      </c>
      <c r="G761" s="166">
        <v>138</v>
      </c>
      <c r="H761" s="21">
        <v>392</v>
      </c>
      <c r="I761" s="21">
        <v>69</v>
      </c>
      <c r="J761" s="21">
        <v>134</v>
      </c>
      <c r="K761" s="21">
        <v>37</v>
      </c>
      <c r="L761" s="21">
        <v>382</v>
      </c>
      <c r="M761" s="21">
        <v>157</v>
      </c>
      <c r="N761" s="21">
        <v>180</v>
      </c>
      <c r="O761" s="19">
        <v>273</v>
      </c>
      <c r="P761" s="22">
        <v>58</v>
      </c>
      <c r="Q761" s="22">
        <v>36</v>
      </c>
      <c r="R761" s="20"/>
      <c r="S761" s="234">
        <f>COUNTIFS(INP_DATA!$R$5:$R$3027,S$4,INP_DATA!$D$5:$D$3027,$D761,INP_DATA!$B$5:$B$3027,$B761)</f>
        <v>0</v>
      </c>
      <c r="T761" s="235">
        <f>COUNTIFS(INP_DATA!$R$5:$R$3027,T$4,INP_DATA!$D$5:$D$3027,$D761,INP_DATA!$B$5:$B$3027,$B761)</f>
        <v>0</v>
      </c>
    </row>
    <row r="762" spans="1:20" x14ac:dyDescent="0.35">
      <c r="A762" s="3" t="s">
        <v>16</v>
      </c>
      <c r="B762" s="165">
        <v>45323</v>
      </c>
      <c r="C762" s="57" t="str">
        <f>IF($B762="","",YEAR($B762)&amp;"-"&amp;IFERROR(VLOOKUP(MONTH(B762),KEY!$AE$5:$AF$16,2,FALSE),""))</f>
        <v>2024-Q1</v>
      </c>
      <c r="D762" s="3" t="s">
        <v>153</v>
      </c>
      <c r="E762" s="219">
        <v>41</v>
      </c>
      <c r="F762" s="166">
        <v>103</v>
      </c>
      <c r="G762" s="166">
        <v>120</v>
      </c>
      <c r="H762" s="21">
        <v>238</v>
      </c>
      <c r="I762" s="21">
        <v>21</v>
      </c>
      <c r="J762" s="21">
        <v>86</v>
      </c>
      <c r="K762" s="21">
        <v>6</v>
      </c>
      <c r="L762" s="21">
        <v>310</v>
      </c>
      <c r="M762" s="21">
        <v>58</v>
      </c>
      <c r="N762" s="21">
        <v>104</v>
      </c>
      <c r="O762" s="19">
        <v>273</v>
      </c>
      <c r="P762" s="22">
        <v>8</v>
      </c>
      <c r="Q762" s="22">
        <v>3</v>
      </c>
      <c r="R762" s="20"/>
      <c r="S762" s="234">
        <f>COUNTIFS(INP_DATA!$R$5:$R$3027,S$4,INP_DATA!$D$5:$D$3027,$D762,INP_DATA!$B$5:$B$3027,$B762)</f>
        <v>0</v>
      </c>
      <c r="T762" s="235">
        <f>COUNTIFS(INP_DATA!$R$5:$R$3027,T$4,INP_DATA!$D$5:$D$3027,$D762,INP_DATA!$B$5:$B$3027,$B762)</f>
        <v>0</v>
      </c>
    </row>
    <row r="763" spans="1:20" x14ac:dyDescent="0.35">
      <c r="A763" s="3" t="s">
        <v>106</v>
      </c>
      <c r="B763" s="165">
        <v>45323</v>
      </c>
      <c r="C763" s="57" t="str">
        <f>IF($B763="","",YEAR($B763)&amp;"-"&amp;IFERROR(VLOOKUP(MONTH(B763),KEY!$AE$5:$AF$16,2,FALSE),""))</f>
        <v>2024-Q1</v>
      </c>
      <c r="D763" s="3" t="s">
        <v>154</v>
      </c>
      <c r="E763" s="219">
        <v>9</v>
      </c>
      <c r="F763" s="166">
        <v>37</v>
      </c>
      <c r="G763" s="166">
        <v>62</v>
      </c>
      <c r="H763" s="21">
        <v>263</v>
      </c>
      <c r="I763" s="21">
        <v>14</v>
      </c>
      <c r="J763" s="21">
        <v>139</v>
      </c>
      <c r="K763" s="21">
        <v>9</v>
      </c>
      <c r="L763" s="21">
        <v>174</v>
      </c>
      <c r="M763" s="21">
        <v>24</v>
      </c>
      <c r="N763" s="21">
        <v>38</v>
      </c>
      <c r="O763" s="19">
        <v>147</v>
      </c>
      <c r="P763" s="22">
        <v>9</v>
      </c>
      <c r="Q763" s="22">
        <v>5</v>
      </c>
      <c r="R763" s="20"/>
      <c r="S763" s="234">
        <f>COUNTIFS(INP_DATA!$R$5:$R$3027,S$4,INP_DATA!$D$5:$D$3027,$D763,INP_DATA!$B$5:$B$3027,$B763)</f>
        <v>0</v>
      </c>
      <c r="T763" s="235">
        <f>COUNTIFS(INP_DATA!$R$5:$R$3027,T$4,INP_DATA!$D$5:$D$3027,$D763,INP_DATA!$B$5:$B$3027,$B763)</f>
        <v>0</v>
      </c>
    </row>
    <row r="764" spans="1:20" x14ac:dyDescent="0.35">
      <c r="A764" s="3" t="s">
        <v>109</v>
      </c>
      <c r="B764" s="165">
        <v>45323</v>
      </c>
      <c r="C764" s="57" t="str">
        <f>IF($B764="","",YEAR($B764)&amp;"-"&amp;IFERROR(VLOOKUP(MONTH(B764),KEY!$AE$5:$AF$16,2,FALSE),""))</f>
        <v>2024-Q1</v>
      </c>
      <c r="D764" s="3" t="s">
        <v>155</v>
      </c>
      <c r="E764" s="219">
        <v>66</v>
      </c>
      <c r="F764" s="166">
        <v>287</v>
      </c>
      <c r="G764" s="166">
        <v>199</v>
      </c>
      <c r="H764" s="21">
        <v>597</v>
      </c>
      <c r="I764" s="21">
        <v>65</v>
      </c>
      <c r="J764" s="21">
        <v>266</v>
      </c>
      <c r="K764" s="21">
        <v>45</v>
      </c>
      <c r="L764" s="21">
        <v>452</v>
      </c>
      <c r="M764" s="21">
        <v>158</v>
      </c>
      <c r="N764" s="21">
        <v>286</v>
      </c>
      <c r="O764" s="19">
        <v>525</v>
      </c>
      <c r="P764" s="22">
        <v>36</v>
      </c>
      <c r="Q764" s="22">
        <v>20</v>
      </c>
      <c r="R764" s="20"/>
      <c r="S764" s="234">
        <f>COUNTIFS(INP_DATA!$R$5:$R$3027,S$4,INP_DATA!$D$5:$D$3027,$D764,INP_DATA!$B$5:$B$3027,$B764)</f>
        <v>0</v>
      </c>
      <c r="T764" s="235">
        <f>COUNTIFS(INP_DATA!$R$5:$R$3027,T$4,INP_DATA!$D$5:$D$3027,$D764,INP_DATA!$B$5:$B$3027,$B764)</f>
        <v>0</v>
      </c>
    </row>
    <row r="765" spans="1:20" x14ac:dyDescent="0.35">
      <c r="A765" s="3" t="s">
        <v>109</v>
      </c>
      <c r="B765" s="165">
        <v>45323</v>
      </c>
      <c r="C765" s="57" t="str">
        <f>IF($B765="","",YEAR($B765)&amp;"-"&amp;IFERROR(VLOOKUP(MONTH(B765),KEY!$AE$5:$AF$16,2,FALSE),""))</f>
        <v>2024-Q1</v>
      </c>
      <c r="D765" s="3" t="s">
        <v>156</v>
      </c>
      <c r="E765" s="219">
        <v>78</v>
      </c>
      <c r="F765" s="166">
        <v>264</v>
      </c>
      <c r="G765" s="166">
        <v>237</v>
      </c>
      <c r="H765" s="21">
        <v>552</v>
      </c>
      <c r="I765" s="21">
        <v>70</v>
      </c>
      <c r="J765" s="21">
        <v>274</v>
      </c>
      <c r="K765" s="21">
        <v>35</v>
      </c>
      <c r="L765" s="21">
        <v>479</v>
      </c>
      <c r="M765" s="21">
        <v>127</v>
      </c>
      <c r="N765" s="21">
        <v>268</v>
      </c>
      <c r="O765" s="19">
        <v>441</v>
      </c>
      <c r="P765" s="22">
        <v>11</v>
      </c>
      <c r="Q765" s="22">
        <v>7</v>
      </c>
      <c r="R765" s="20"/>
      <c r="S765" s="234">
        <f>COUNTIFS(INP_DATA!$R$5:$R$3027,S$4,INP_DATA!$D$5:$D$3027,$D765,INP_DATA!$B$5:$B$3027,$B765)</f>
        <v>0</v>
      </c>
      <c r="T765" s="235">
        <f>COUNTIFS(INP_DATA!$R$5:$R$3027,T$4,INP_DATA!$D$5:$D$3027,$D765,INP_DATA!$B$5:$B$3027,$B765)</f>
        <v>0</v>
      </c>
    </row>
    <row r="766" spans="1:20" x14ac:dyDescent="0.35">
      <c r="A766" s="3" t="s">
        <v>109</v>
      </c>
      <c r="B766" s="165">
        <v>45323</v>
      </c>
      <c r="C766" s="57" t="str">
        <f>IF($B766="","",YEAR($B766)&amp;"-"&amp;IFERROR(VLOOKUP(MONTH(B766),KEY!$AE$5:$AF$16,2,FALSE),""))</f>
        <v>2024-Q1</v>
      </c>
      <c r="D766" s="3" t="s">
        <v>157</v>
      </c>
      <c r="E766" s="219">
        <v>1</v>
      </c>
      <c r="F766" s="166">
        <v>417</v>
      </c>
      <c r="G766" s="166">
        <v>207</v>
      </c>
      <c r="H766" s="21">
        <v>1050</v>
      </c>
      <c r="I766" s="21">
        <v>88</v>
      </c>
      <c r="J766" s="21">
        <v>553</v>
      </c>
      <c r="K766" s="21">
        <v>67</v>
      </c>
      <c r="L766" s="21">
        <v>819</v>
      </c>
      <c r="M766" s="21">
        <v>188</v>
      </c>
      <c r="N766" s="21">
        <v>434</v>
      </c>
      <c r="O766" s="19">
        <v>714</v>
      </c>
      <c r="P766" s="22">
        <v>23</v>
      </c>
      <c r="Q766" s="22">
        <v>12</v>
      </c>
      <c r="R766" s="20"/>
      <c r="S766" s="234">
        <f>COUNTIFS(INP_DATA!$R$5:$R$3027,S$4,INP_DATA!$D$5:$D$3027,$D766,INP_DATA!$B$5:$B$3027,$B766)</f>
        <v>0</v>
      </c>
      <c r="T766" s="235">
        <f>COUNTIFS(INP_DATA!$R$5:$R$3027,T$4,INP_DATA!$D$5:$D$3027,$D766,INP_DATA!$B$5:$B$3027,$B766)</f>
        <v>0</v>
      </c>
    </row>
    <row r="767" spans="1:20" x14ac:dyDescent="0.35">
      <c r="A767" s="3" t="s">
        <v>16</v>
      </c>
      <c r="B767" s="165">
        <v>45323</v>
      </c>
      <c r="C767" s="57" t="str">
        <f>IF($B767="","",YEAR($B767)&amp;"-"&amp;IFERROR(VLOOKUP(MONTH(B767),KEY!$AE$5:$AF$16,2,FALSE),""))</f>
        <v>2024-Q1</v>
      </c>
      <c r="D767" s="3" t="s">
        <v>158</v>
      </c>
      <c r="E767" s="219">
        <v>9</v>
      </c>
      <c r="F767" s="166">
        <v>35</v>
      </c>
      <c r="G767" s="166">
        <v>23</v>
      </c>
      <c r="H767" s="21">
        <v>98</v>
      </c>
      <c r="I767" s="21">
        <v>5</v>
      </c>
      <c r="J767" s="21">
        <v>54</v>
      </c>
      <c r="K767" s="21">
        <v>13</v>
      </c>
      <c r="L767" s="21">
        <v>74</v>
      </c>
      <c r="M767" s="21">
        <v>28</v>
      </c>
      <c r="N767" s="21">
        <v>35</v>
      </c>
      <c r="O767" s="19">
        <v>126</v>
      </c>
      <c r="P767" s="22">
        <v>1</v>
      </c>
      <c r="Q767" s="22">
        <v>0</v>
      </c>
      <c r="R767" s="20"/>
      <c r="S767" s="234">
        <f>COUNTIFS(INP_DATA!$R$5:$R$3027,S$4,INP_DATA!$D$5:$D$3027,$D767,INP_DATA!$B$5:$B$3027,$B767)</f>
        <v>0</v>
      </c>
      <c r="T767" s="235">
        <f>COUNTIFS(INP_DATA!$R$5:$R$3027,T$4,INP_DATA!$D$5:$D$3027,$D767,INP_DATA!$B$5:$B$3027,$B767)</f>
        <v>0</v>
      </c>
    </row>
    <row r="768" spans="1:20" x14ac:dyDescent="0.35">
      <c r="A768" s="3" t="s">
        <v>107</v>
      </c>
      <c r="B768" s="165">
        <v>45323</v>
      </c>
      <c r="C768" s="57" t="str">
        <f>IF($B768="","",YEAR($B768)&amp;"-"&amp;IFERROR(VLOOKUP(MONTH(B768),KEY!$AE$5:$AF$16,2,FALSE),""))</f>
        <v>2024-Q1</v>
      </c>
      <c r="D768" s="3" t="s">
        <v>159</v>
      </c>
      <c r="E768" s="219">
        <v>16</v>
      </c>
      <c r="F768" s="166">
        <v>96</v>
      </c>
      <c r="G768" s="166">
        <v>94</v>
      </c>
      <c r="H768" s="21">
        <v>161</v>
      </c>
      <c r="I768" s="21">
        <v>30</v>
      </c>
      <c r="J768" s="21">
        <v>54</v>
      </c>
      <c r="K768" s="21">
        <v>11</v>
      </c>
      <c r="L768" s="21">
        <v>176</v>
      </c>
      <c r="M768" s="21">
        <v>72</v>
      </c>
      <c r="N768" s="21">
        <v>97</v>
      </c>
      <c r="O768" s="19">
        <v>168</v>
      </c>
      <c r="P768" s="22">
        <v>18</v>
      </c>
      <c r="Q768" s="22">
        <v>13</v>
      </c>
      <c r="R768" s="20"/>
      <c r="S768" s="234">
        <f>COUNTIFS(INP_DATA!$R$5:$R$3027,S$4,INP_DATA!$D$5:$D$3027,$D768,INP_DATA!$B$5:$B$3027,$B768)</f>
        <v>0</v>
      </c>
      <c r="T768" s="235">
        <f>COUNTIFS(INP_DATA!$R$5:$R$3027,T$4,INP_DATA!$D$5:$D$3027,$D768,INP_DATA!$B$5:$B$3027,$B768)</f>
        <v>0</v>
      </c>
    </row>
    <row r="769" spans="1:20" x14ac:dyDescent="0.35">
      <c r="A769" s="3" t="s">
        <v>16</v>
      </c>
      <c r="B769" s="165">
        <v>45323</v>
      </c>
      <c r="C769" s="57" t="str">
        <f>IF($B769="","",YEAR($B769)&amp;"-"&amp;IFERROR(VLOOKUP(MONTH(B769),KEY!$AE$5:$AF$16,2,FALSE),""))</f>
        <v>2024-Q1</v>
      </c>
      <c r="D769" s="3" t="s">
        <v>160</v>
      </c>
      <c r="E769" s="219">
        <v>47</v>
      </c>
      <c r="F769" s="166">
        <v>336</v>
      </c>
      <c r="G769" s="166">
        <v>306</v>
      </c>
      <c r="H769" s="21">
        <v>530</v>
      </c>
      <c r="I769" s="21">
        <v>80</v>
      </c>
      <c r="J769" s="21">
        <v>206</v>
      </c>
      <c r="K769" s="21">
        <v>43</v>
      </c>
      <c r="L769" s="21">
        <v>459</v>
      </c>
      <c r="M769" s="21">
        <v>200</v>
      </c>
      <c r="N769" s="21">
        <v>339</v>
      </c>
      <c r="O769" s="19">
        <v>462</v>
      </c>
      <c r="P769" s="22">
        <v>25</v>
      </c>
      <c r="Q769" s="22">
        <v>17</v>
      </c>
      <c r="R769" s="20"/>
      <c r="S769" s="234">
        <f>COUNTIFS(INP_DATA!$R$5:$R$3027,S$4,INP_DATA!$D$5:$D$3027,$D769,INP_DATA!$B$5:$B$3027,$B769)</f>
        <v>0</v>
      </c>
      <c r="T769" s="235">
        <f>COUNTIFS(INP_DATA!$R$5:$R$3027,T$4,INP_DATA!$D$5:$D$3027,$D769,INP_DATA!$B$5:$B$3027,$B769)</f>
        <v>0</v>
      </c>
    </row>
    <row r="770" spans="1:20" x14ac:dyDescent="0.35">
      <c r="A770" s="3" t="s">
        <v>106</v>
      </c>
      <c r="B770" s="165">
        <v>45323</v>
      </c>
      <c r="C770" s="57" t="str">
        <f>IF($B770="","",YEAR($B770)&amp;"-"&amp;IFERROR(VLOOKUP(MONTH(B770),KEY!$AE$5:$AF$16,2,FALSE),""))</f>
        <v>2024-Q1</v>
      </c>
      <c r="D770" s="3" t="s">
        <v>161</v>
      </c>
      <c r="E770" s="219">
        <v>30</v>
      </c>
      <c r="F770" s="166">
        <v>279</v>
      </c>
      <c r="G770" s="166">
        <v>292</v>
      </c>
      <c r="H770" s="21">
        <v>552</v>
      </c>
      <c r="I770" s="21">
        <v>104</v>
      </c>
      <c r="J770" s="21">
        <v>231</v>
      </c>
      <c r="K770" s="21">
        <v>57</v>
      </c>
      <c r="L770" s="21">
        <v>343</v>
      </c>
      <c r="M770" s="21">
        <v>119</v>
      </c>
      <c r="N770" s="21">
        <v>280</v>
      </c>
      <c r="O770" s="19">
        <v>441</v>
      </c>
      <c r="P770" s="22">
        <v>32</v>
      </c>
      <c r="Q770" s="22">
        <v>28</v>
      </c>
      <c r="R770" s="20"/>
      <c r="S770" s="234">
        <f>COUNTIFS(INP_DATA!$R$5:$R$3027,S$4,INP_DATA!$D$5:$D$3027,$D770,INP_DATA!$B$5:$B$3027,$B770)</f>
        <v>0</v>
      </c>
      <c r="T770" s="235">
        <f>COUNTIFS(INP_DATA!$R$5:$R$3027,T$4,INP_DATA!$D$5:$D$3027,$D770,INP_DATA!$B$5:$B$3027,$B770)</f>
        <v>0</v>
      </c>
    </row>
    <row r="771" spans="1:20" x14ac:dyDescent="0.35">
      <c r="A771" s="3" t="s">
        <v>109</v>
      </c>
      <c r="B771" s="165">
        <v>45323</v>
      </c>
      <c r="C771" s="57" t="str">
        <f>IF($B771="","",YEAR($B771)&amp;"-"&amp;IFERROR(VLOOKUP(MONTH(B771),KEY!$AE$5:$AF$16,2,FALSE),""))</f>
        <v>2024-Q1</v>
      </c>
      <c r="D771" s="3" t="s">
        <v>162</v>
      </c>
      <c r="E771" s="219">
        <v>114</v>
      </c>
      <c r="F771" s="166">
        <v>380</v>
      </c>
      <c r="G771" s="166">
        <v>331</v>
      </c>
      <c r="H771" s="21">
        <v>484</v>
      </c>
      <c r="I771" s="21">
        <v>75</v>
      </c>
      <c r="J771" s="21">
        <v>306</v>
      </c>
      <c r="K771" s="21">
        <v>63</v>
      </c>
      <c r="L771" s="21">
        <v>721</v>
      </c>
      <c r="M771" s="21">
        <v>160</v>
      </c>
      <c r="N771" s="21">
        <v>381</v>
      </c>
      <c r="O771" s="19">
        <v>651</v>
      </c>
      <c r="P771" s="22">
        <v>86</v>
      </c>
      <c r="Q771" s="22">
        <v>68</v>
      </c>
      <c r="R771" s="20"/>
      <c r="S771" s="234">
        <f>COUNTIFS(INP_DATA!$R$5:$R$3027,S$4,INP_DATA!$D$5:$D$3027,$D771,INP_DATA!$B$5:$B$3027,$B771)</f>
        <v>0</v>
      </c>
      <c r="T771" s="235">
        <f>COUNTIFS(INP_DATA!$R$5:$R$3027,T$4,INP_DATA!$D$5:$D$3027,$D771,INP_DATA!$B$5:$B$3027,$B771)</f>
        <v>0</v>
      </c>
    </row>
    <row r="772" spans="1:20" x14ac:dyDescent="0.35">
      <c r="A772" s="3" t="s">
        <v>16</v>
      </c>
      <c r="B772" s="165">
        <v>45323</v>
      </c>
      <c r="C772" s="57" t="str">
        <f>IF($B772="","",YEAR($B772)&amp;"-"&amp;IFERROR(VLOOKUP(MONTH(B772),KEY!$AE$5:$AF$16,2,FALSE),""))</f>
        <v>2024-Q1</v>
      </c>
      <c r="D772" s="3" t="s">
        <v>163</v>
      </c>
      <c r="E772" s="219">
        <v>52</v>
      </c>
      <c r="F772" s="166">
        <v>223</v>
      </c>
      <c r="G772" s="166">
        <v>186</v>
      </c>
      <c r="H772" s="21">
        <v>285</v>
      </c>
      <c r="I772" s="21">
        <v>48</v>
      </c>
      <c r="J772" s="21">
        <v>218</v>
      </c>
      <c r="K772" s="21">
        <v>42</v>
      </c>
      <c r="L772" s="21">
        <v>373</v>
      </c>
      <c r="M772" s="21">
        <v>146</v>
      </c>
      <c r="N772" s="21">
        <v>223</v>
      </c>
      <c r="O772" s="19">
        <v>399</v>
      </c>
      <c r="P772" s="22">
        <v>17</v>
      </c>
      <c r="Q772" s="22">
        <v>11</v>
      </c>
      <c r="R772" s="20"/>
      <c r="S772" s="234">
        <f>COUNTIFS(INP_DATA!$R$5:$R$3027,S$4,INP_DATA!$D$5:$D$3027,$D772,INP_DATA!$B$5:$B$3027,$B772)</f>
        <v>0</v>
      </c>
      <c r="T772" s="235">
        <f>COUNTIFS(INP_DATA!$R$5:$R$3027,T$4,INP_DATA!$D$5:$D$3027,$D772,INP_DATA!$B$5:$B$3027,$B772)</f>
        <v>0</v>
      </c>
    </row>
    <row r="773" spans="1:20" x14ac:dyDescent="0.35">
      <c r="A773" s="3" t="s">
        <v>16</v>
      </c>
      <c r="B773" s="165">
        <v>45323</v>
      </c>
      <c r="C773" s="57" t="str">
        <f>IF($B773="","",YEAR($B773)&amp;"-"&amp;IFERROR(VLOOKUP(MONTH(B773),KEY!$AE$5:$AF$16,2,FALSE),""))</f>
        <v>2024-Q1</v>
      </c>
      <c r="D773" s="3" t="s">
        <v>164</v>
      </c>
      <c r="E773" s="219">
        <v>11</v>
      </c>
      <c r="F773" s="166">
        <v>74</v>
      </c>
      <c r="G773" s="166">
        <v>77</v>
      </c>
      <c r="H773" s="21">
        <v>205</v>
      </c>
      <c r="I773" s="21">
        <v>22</v>
      </c>
      <c r="J773" s="21">
        <v>37</v>
      </c>
      <c r="K773" s="21">
        <v>10</v>
      </c>
      <c r="L773" s="21">
        <v>128</v>
      </c>
      <c r="M773" s="21">
        <v>55</v>
      </c>
      <c r="N773" s="21">
        <v>75</v>
      </c>
      <c r="O773" s="19">
        <v>126</v>
      </c>
      <c r="P773" s="22">
        <v>10</v>
      </c>
      <c r="Q773" s="22">
        <v>5</v>
      </c>
      <c r="R773" s="20"/>
      <c r="S773" s="234">
        <f>COUNTIFS(INP_DATA!$R$5:$R$3027,S$4,INP_DATA!$D$5:$D$3027,$D773,INP_DATA!$B$5:$B$3027,$B773)</f>
        <v>0</v>
      </c>
      <c r="T773" s="235">
        <f>COUNTIFS(INP_DATA!$R$5:$R$3027,T$4,INP_DATA!$D$5:$D$3027,$D773,INP_DATA!$B$5:$B$3027,$B773)</f>
        <v>0</v>
      </c>
    </row>
    <row r="774" spans="1:20" x14ac:dyDescent="0.35">
      <c r="A774" s="3" t="s">
        <v>107</v>
      </c>
      <c r="B774" s="165">
        <v>45323</v>
      </c>
      <c r="C774" s="57" t="str">
        <f>IF($B774="","",YEAR($B774)&amp;"-"&amp;IFERROR(VLOOKUP(MONTH(B774),KEY!$AE$5:$AF$16,2,FALSE),""))</f>
        <v>2024-Q1</v>
      </c>
      <c r="D774" s="3" t="s">
        <v>165</v>
      </c>
      <c r="E774" s="219">
        <v>20</v>
      </c>
      <c r="F774" s="166">
        <v>70</v>
      </c>
      <c r="G774" s="166">
        <v>100</v>
      </c>
      <c r="H774" s="21">
        <v>220</v>
      </c>
      <c r="I774" s="21">
        <v>29</v>
      </c>
      <c r="J774" s="21">
        <v>47</v>
      </c>
      <c r="K774" s="21">
        <v>13</v>
      </c>
      <c r="L774" s="21">
        <v>125</v>
      </c>
      <c r="M774" s="21">
        <v>41</v>
      </c>
      <c r="N774" s="21">
        <v>70</v>
      </c>
      <c r="O774" s="19">
        <v>189</v>
      </c>
      <c r="P774" s="22">
        <v>22</v>
      </c>
      <c r="Q774" s="22">
        <v>12</v>
      </c>
      <c r="R774" s="20"/>
      <c r="S774" s="234">
        <f>COUNTIFS(INP_DATA!$R$5:$R$3027,S$4,INP_DATA!$D$5:$D$3027,$D774,INP_DATA!$B$5:$B$3027,$B774)</f>
        <v>0</v>
      </c>
      <c r="T774" s="235">
        <f>COUNTIFS(INP_DATA!$R$5:$R$3027,T$4,INP_DATA!$D$5:$D$3027,$D774,INP_DATA!$B$5:$B$3027,$B774)</f>
        <v>0</v>
      </c>
    </row>
    <row r="775" spans="1:20" x14ac:dyDescent="0.35">
      <c r="A775" s="3" t="s">
        <v>16</v>
      </c>
      <c r="B775" s="165">
        <v>45352</v>
      </c>
      <c r="C775" s="57" t="str">
        <f>IF($B775="","",YEAR($B775)&amp;"-"&amp;IFERROR(VLOOKUP(MONTH(B775),KEY!$AE$5:$AF$16,2,FALSE),""))</f>
        <v>2024-Q1</v>
      </c>
      <c r="D775" s="3" t="s">
        <v>111</v>
      </c>
      <c r="E775" s="219">
        <v>12</v>
      </c>
      <c r="F775" s="166">
        <v>68</v>
      </c>
      <c r="G775" s="166">
        <v>91</v>
      </c>
      <c r="H775" s="21">
        <v>117</v>
      </c>
      <c r="I775" s="21">
        <v>20</v>
      </c>
      <c r="J775" s="21">
        <v>63</v>
      </c>
      <c r="K775" s="21">
        <v>8</v>
      </c>
      <c r="L775" s="21">
        <v>176</v>
      </c>
      <c r="M775" s="21">
        <v>50</v>
      </c>
      <c r="N775" s="21">
        <v>70</v>
      </c>
      <c r="O775" s="19">
        <v>176</v>
      </c>
      <c r="P775" s="22">
        <v>15</v>
      </c>
      <c r="Q775" s="22">
        <v>7</v>
      </c>
      <c r="R775" s="20"/>
      <c r="S775" s="234">
        <f>COUNTIFS(INP_DATA!$R$5:$R$3027,S$4,INP_DATA!$D$5:$D$3027,$D775,INP_DATA!$B$5:$B$3027,$B775)</f>
        <v>0</v>
      </c>
      <c r="T775" s="235">
        <f>COUNTIFS(INP_DATA!$R$5:$R$3027,T$4,INP_DATA!$D$5:$D$3027,$D775,INP_DATA!$B$5:$B$3027,$B775)</f>
        <v>0</v>
      </c>
    </row>
    <row r="776" spans="1:20" x14ac:dyDescent="0.35">
      <c r="A776" s="3" t="s">
        <v>108</v>
      </c>
      <c r="B776" s="165">
        <v>45352</v>
      </c>
      <c r="C776" s="57" t="str">
        <f>IF($B776="","",YEAR($B776)&amp;"-"&amp;IFERROR(VLOOKUP(MONTH(B776),KEY!$AE$5:$AF$16,2,FALSE),""))</f>
        <v>2024-Q1</v>
      </c>
      <c r="D776" s="3" t="s">
        <v>112</v>
      </c>
      <c r="E776" s="219">
        <v>7</v>
      </c>
      <c r="F776" s="166">
        <v>29</v>
      </c>
      <c r="G776" s="166">
        <v>38</v>
      </c>
      <c r="H776" s="21">
        <v>52</v>
      </c>
      <c r="I776" s="21">
        <v>7</v>
      </c>
      <c r="J776" s="21">
        <v>16</v>
      </c>
      <c r="K776" s="21">
        <v>5</v>
      </c>
      <c r="L776" s="21">
        <v>63</v>
      </c>
      <c r="M776" s="21">
        <v>20</v>
      </c>
      <c r="N776" s="21">
        <v>29</v>
      </c>
      <c r="O776" s="19">
        <v>88</v>
      </c>
      <c r="P776" s="22">
        <v>18</v>
      </c>
      <c r="Q776" s="22">
        <v>12</v>
      </c>
      <c r="R776" s="20"/>
      <c r="S776" s="234">
        <f>COUNTIFS(INP_DATA!$R$5:$R$3027,S$4,INP_DATA!$D$5:$D$3027,$D776,INP_DATA!$B$5:$B$3027,$B776)</f>
        <v>0</v>
      </c>
      <c r="T776" s="235">
        <f>COUNTIFS(INP_DATA!$R$5:$R$3027,T$4,INP_DATA!$D$5:$D$3027,$D776,INP_DATA!$B$5:$B$3027,$B776)</f>
        <v>0</v>
      </c>
    </row>
    <row r="777" spans="1:20" x14ac:dyDescent="0.35">
      <c r="A777" s="3" t="s">
        <v>16</v>
      </c>
      <c r="B777" s="165">
        <v>45352</v>
      </c>
      <c r="C777" s="57" t="str">
        <f>IF($B777="","",YEAR($B777)&amp;"-"&amp;IFERROR(VLOOKUP(MONTH(B777),KEY!$AE$5:$AF$16,2,FALSE),""))</f>
        <v>2024-Q1</v>
      </c>
      <c r="D777" s="3" t="s">
        <v>113</v>
      </c>
      <c r="E777" s="219">
        <v>18</v>
      </c>
      <c r="F777" s="166">
        <v>83</v>
      </c>
      <c r="G777" s="166">
        <v>94</v>
      </c>
      <c r="H777" s="21">
        <v>245</v>
      </c>
      <c r="I777" s="21">
        <v>26</v>
      </c>
      <c r="J777" s="21">
        <v>82</v>
      </c>
      <c r="K777" s="21">
        <v>16</v>
      </c>
      <c r="L777" s="21">
        <v>141</v>
      </c>
      <c r="M777" s="21">
        <v>60</v>
      </c>
      <c r="N777" s="21">
        <v>84</v>
      </c>
      <c r="O777" s="19">
        <v>176</v>
      </c>
      <c r="P777" s="22">
        <v>19</v>
      </c>
      <c r="Q777" s="22">
        <v>13</v>
      </c>
      <c r="R777" s="20"/>
      <c r="S777" s="234">
        <f>COUNTIFS(INP_DATA!$R$5:$R$3027,S$4,INP_DATA!$D$5:$D$3027,$D777,INP_DATA!$B$5:$B$3027,$B777)</f>
        <v>0</v>
      </c>
      <c r="T777" s="235">
        <f>COUNTIFS(INP_DATA!$R$5:$R$3027,T$4,INP_DATA!$D$5:$D$3027,$D777,INP_DATA!$B$5:$B$3027,$B777)</f>
        <v>0</v>
      </c>
    </row>
    <row r="778" spans="1:20" x14ac:dyDescent="0.35">
      <c r="A778" s="3" t="s">
        <v>108</v>
      </c>
      <c r="B778" s="165">
        <v>45352</v>
      </c>
      <c r="C778" s="57" t="str">
        <f>IF($B778="","",YEAR($B778)&amp;"-"&amp;IFERROR(VLOOKUP(MONTH(B778),KEY!$AE$5:$AF$16,2,FALSE),""))</f>
        <v>2024-Q1</v>
      </c>
      <c r="D778" s="3" t="s">
        <v>114</v>
      </c>
      <c r="E778" s="219">
        <v>10</v>
      </c>
      <c r="F778" s="166">
        <v>41</v>
      </c>
      <c r="G778" s="166">
        <v>72</v>
      </c>
      <c r="H778" s="21">
        <v>93</v>
      </c>
      <c r="I778" s="21">
        <v>15</v>
      </c>
      <c r="J778" s="21">
        <v>35</v>
      </c>
      <c r="K778" s="21">
        <v>9</v>
      </c>
      <c r="L778" s="21">
        <v>70</v>
      </c>
      <c r="M778" s="21">
        <v>27</v>
      </c>
      <c r="N778" s="21">
        <v>41</v>
      </c>
      <c r="O778" s="19">
        <v>154</v>
      </c>
      <c r="P778" s="22">
        <v>23</v>
      </c>
      <c r="Q778" s="22">
        <v>16</v>
      </c>
      <c r="R778" s="20"/>
      <c r="S778" s="234">
        <f>COUNTIFS(INP_DATA!$R$5:$R$3027,S$4,INP_DATA!$D$5:$D$3027,$D778,INP_DATA!$B$5:$B$3027,$B778)</f>
        <v>0</v>
      </c>
      <c r="T778" s="235">
        <f>COUNTIFS(INP_DATA!$R$5:$R$3027,T$4,INP_DATA!$D$5:$D$3027,$D778,INP_DATA!$B$5:$B$3027,$B778)</f>
        <v>0</v>
      </c>
    </row>
    <row r="779" spans="1:20" x14ac:dyDescent="0.35">
      <c r="A779" s="3" t="s">
        <v>107</v>
      </c>
      <c r="B779" s="165">
        <v>45352</v>
      </c>
      <c r="C779" s="57" t="str">
        <f>IF($B779="","",YEAR($B779)&amp;"-"&amp;IFERROR(VLOOKUP(MONTH(B779),KEY!$AE$5:$AF$16,2,FALSE),""))</f>
        <v>2024-Q1</v>
      </c>
      <c r="D779" s="3" t="s">
        <v>115</v>
      </c>
      <c r="E779" s="219">
        <v>3</v>
      </c>
      <c r="F779" s="166">
        <v>70</v>
      </c>
      <c r="G779" s="166">
        <v>53</v>
      </c>
      <c r="H779" s="21">
        <v>118</v>
      </c>
      <c r="I779" s="21">
        <v>26</v>
      </c>
      <c r="J779" s="21">
        <v>47</v>
      </c>
      <c r="K779" s="21">
        <v>16</v>
      </c>
      <c r="L779" s="21">
        <v>93</v>
      </c>
      <c r="M779" s="21">
        <v>43</v>
      </c>
      <c r="N779" s="21">
        <v>70</v>
      </c>
      <c r="O779" s="19">
        <v>132</v>
      </c>
      <c r="P779" s="22">
        <v>0</v>
      </c>
      <c r="Q779" s="22">
        <v>0</v>
      </c>
      <c r="R779" s="20"/>
      <c r="S779" s="234">
        <f>COUNTIFS(INP_DATA!$R$5:$R$3027,S$4,INP_DATA!$D$5:$D$3027,$D779,INP_DATA!$B$5:$B$3027,$B779)</f>
        <v>0</v>
      </c>
      <c r="T779" s="235">
        <f>COUNTIFS(INP_DATA!$R$5:$R$3027,T$4,INP_DATA!$D$5:$D$3027,$D779,INP_DATA!$B$5:$B$3027,$B779)</f>
        <v>0</v>
      </c>
    </row>
    <row r="780" spans="1:20" x14ac:dyDescent="0.35">
      <c r="A780" s="3" t="s">
        <v>16</v>
      </c>
      <c r="B780" s="165">
        <v>45352</v>
      </c>
      <c r="C780" s="57" t="str">
        <f>IF($B780="","",YEAR($B780)&amp;"-"&amp;IFERROR(VLOOKUP(MONTH(B780),KEY!$AE$5:$AF$16,2,FALSE),""))</f>
        <v>2024-Q1</v>
      </c>
      <c r="D780" s="3" t="s">
        <v>116</v>
      </c>
      <c r="E780" s="219">
        <v>39</v>
      </c>
      <c r="F780" s="166">
        <v>144</v>
      </c>
      <c r="G780" s="166">
        <v>203</v>
      </c>
      <c r="H780" s="21">
        <v>246</v>
      </c>
      <c r="I780" s="21">
        <v>18</v>
      </c>
      <c r="J780" s="21">
        <v>134</v>
      </c>
      <c r="K780" s="21">
        <v>20</v>
      </c>
      <c r="L780" s="21">
        <v>195</v>
      </c>
      <c r="M780" s="21">
        <v>78</v>
      </c>
      <c r="N780" s="21">
        <v>151</v>
      </c>
      <c r="O780" s="19">
        <v>220</v>
      </c>
      <c r="P780" s="22">
        <v>41</v>
      </c>
      <c r="Q780" s="22">
        <v>11</v>
      </c>
      <c r="R780" s="20"/>
      <c r="S780" s="234">
        <f>COUNTIFS(INP_DATA!$R$5:$R$3027,S$4,INP_DATA!$D$5:$D$3027,$D780,INP_DATA!$B$5:$B$3027,$B780)</f>
        <v>0</v>
      </c>
      <c r="T780" s="235">
        <f>COUNTIFS(INP_DATA!$R$5:$R$3027,T$4,INP_DATA!$D$5:$D$3027,$D780,INP_DATA!$B$5:$B$3027,$B780)</f>
        <v>0</v>
      </c>
    </row>
    <row r="781" spans="1:20" x14ac:dyDescent="0.35">
      <c r="A781" s="3" t="s">
        <v>107</v>
      </c>
      <c r="B781" s="165">
        <v>45352</v>
      </c>
      <c r="C781" s="57" t="str">
        <f>IF($B781="","",YEAR($B781)&amp;"-"&amp;IFERROR(VLOOKUP(MONTH(B781),KEY!$AE$5:$AF$16,2,FALSE),""))</f>
        <v>2024-Q1</v>
      </c>
      <c r="D781" s="3" t="s">
        <v>117</v>
      </c>
      <c r="E781" s="219">
        <v>21</v>
      </c>
      <c r="F781" s="166">
        <v>104</v>
      </c>
      <c r="G781" s="166">
        <v>186</v>
      </c>
      <c r="H781" s="21">
        <v>172</v>
      </c>
      <c r="I781" s="21">
        <v>35</v>
      </c>
      <c r="J781" s="21">
        <v>72</v>
      </c>
      <c r="K781" s="21">
        <v>14</v>
      </c>
      <c r="L781" s="21">
        <v>177</v>
      </c>
      <c r="M781" s="21">
        <v>79</v>
      </c>
      <c r="N781" s="21">
        <v>106</v>
      </c>
      <c r="O781" s="19">
        <v>154</v>
      </c>
      <c r="P781" s="22">
        <v>85</v>
      </c>
      <c r="Q781" s="22">
        <v>39</v>
      </c>
      <c r="R781" s="20"/>
      <c r="S781" s="234">
        <f>COUNTIFS(INP_DATA!$R$5:$R$3027,S$4,INP_DATA!$D$5:$D$3027,$D781,INP_DATA!$B$5:$B$3027,$B781)</f>
        <v>0</v>
      </c>
      <c r="T781" s="235">
        <f>COUNTIFS(INP_DATA!$R$5:$R$3027,T$4,INP_DATA!$D$5:$D$3027,$D781,INP_DATA!$B$5:$B$3027,$B781)</f>
        <v>0</v>
      </c>
    </row>
    <row r="782" spans="1:20" x14ac:dyDescent="0.35">
      <c r="A782" s="3" t="s">
        <v>106</v>
      </c>
      <c r="B782" s="165">
        <v>45352</v>
      </c>
      <c r="C782" s="57" t="str">
        <f>IF($B782="","",YEAR($B782)&amp;"-"&amp;IFERROR(VLOOKUP(MONTH(B782),KEY!$AE$5:$AF$16,2,FALSE),""))</f>
        <v>2024-Q1</v>
      </c>
      <c r="D782" s="3" t="s">
        <v>118</v>
      </c>
      <c r="E782" s="219">
        <v>37</v>
      </c>
      <c r="F782" s="166">
        <v>209</v>
      </c>
      <c r="G782" s="166">
        <v>213</v>
      </c>
      <c r="H782" s="21">
        <v>632</v>
      </c>
      <c r="I782" s="21">
        <v>85</v>
      </c>
      <c r="J782" s="21">
        <v>236</v>
      </c>
      <c r="K782" s="21">
        <v>35</v>
      </c>
      <c r="L782" s="21">
        <v>323</v>
      </c>
      <c r="M782" s="21">
        <v>115</v>
      </c>
      <c r="N782" s="21">
        <v>211</v>
      </c>
      <c r="O782" s="19">
        <v>286</v>
      </c>
      <c r="P782" s="22">
        <v>93</v>
      </c>
      <c r="Q782" s="22">
        <v>47</v>
      </c>
      <c r="R782" s="20"/>
      <c r="S782" s="234">
        <f>COUNTIFS(INP_DATA!$R$5:$R$3027,S$4,INP_DATA!$D$5:$D$3027,$D782,INP_DATA!$B$5:$B$3027,$B782)</f>
        <v>0</v>
      </c>
      <c r="T782" s="235">
        <f>COUNTIFS(INP_DATA!$R$5:$R$3027,T$4,INP_DATA!$D$5:$D$3027,$D782,INP_DATA!$B$5:$B$3027,$B782)</f>
        <v>0</v>
      </c>
    </row>
    <row r="783" spans="1:20" x14ac:dyDescent="0.35">
      <c r="A783" s="3" t="s">
        <v>16</v>
      </c>
      <c r="B783" s="165">
        <v>45352</v>
      </c>
      <c r="C783" s="57" t="str">
        <f>IF($B783="","",YEAR($B783)&amp;"-"&amp;IFERROR(VLOOKUP(MONTH(B783),KEY!$AE$5:$AF$16,2,FALSE),""))</f>
        <v>2024-Q1</v>
      </c>
      <c r="D783" s="3" t="s">
        <v>119</v>
      </c>
      <c r="E783" s="219">
        <v>9</v>
      </c>
      <c r="F783" s="166">
        <v>29</v>
      </c>
      <c r="G783" s="166">
        <v>23</v>
      </c>
      <c r="H783" s="21">
        <v>22</v>
      </c>
      <c r="I783" s="21">
        <v>4</v>
      </c>
      <c r="J783" s="21">
        <v>22</v>
      </c>
      <c r="K783" s="21">
        <v>5</v>
      </c>
      <c r="L783" s="21">
        <v>107</v>
      </c>
      <c r="M783" s="21">
        <v>12</v>
      </c>
      <c r="N783" s="21">
        <v>27</v>
      </c>
      <c r="O783" s="19">
        <v>88</v>
      </c>
      <c r="P783" s="22">
        <v>2</v>
      </c>
      <c r="Q783" s="22">
        <v>0</v>
      </c>
      <c r="R783" s="20"/>
      <c r="S783" s="234">
        <f>COUNTIFS(INP_DATA!$R$5:$R$3027,S$4,INP_DATA!$D$5:$D$3027,$D783,INP_DATA!$B$5:$B$3027,$B783)</f>
        <v>0</v>
      </c>
      <c r="T783" s="235">
        <f>COUNTIFS(INP_DATA!$R$5:$R$3027,T$4,INP_DATA!$D$5:$D$3027,$D783,INP_DATA!$B$5:$B$3027,$B783)</f>
        <v>0</v>
      </c>
    </row>
    <row r="784" spans="1:20" x14ac:dyDescent="0.35">
      <c r="A784" s="3" t="s">
        <v>16</v>
      </c>
      <c r="B784" s="165">
        <v>45352</v>
      </c>
      <c r="C784" s="57" t="str">
        <f>IF($B784="","",YEAR($B784)&amp;"-"&amp;IFERROR(VLOOKUP(MONTH(B784),KEY!$AE$5:$AF$16,2,FALSE),""))</f>
        <v>2024-Q1</v>
      </c>
      <c r="D784" s="3" t="s">
        <v>120</v>
      </c>
      <c r="E784" s="219">
        <v>56</v>
      </c>
      <c r="F784" s="166">
        <v>351</v>
      </c>
      <c r="G784" s="166">
        <v>432</v>
      </c>
      <c r="H784" s="21">
        <v>660</v>
      </c>
      <c r="I784" s="21">
        <v>94</v>
      </c>
      <c r="J784" s="21">
        <v>348</v>
      </c>
      <c r="K784" s="21">
        <v>43</v>
      </c>
      <c r="L784" s="21">
        <v>603</v>
      </c>
      <c r="M784" s="21">
        <v>218</v>
      </c>
      <c r="N784" s="21">
        <v>355</v>
      </c>
      <c r="O784" s="19">
        <v>616</v>
      </c>
      <c r="P784" s="22">
        <v>65</v>
      </c>
      <c r="Q784" s="22">
        <v>44</v>
      </c>
      <c r="R784" s="20"/>
      <c r="S784" s="234">
        <f>COUNTIFS(INP_DATA!$R$5:$R$3027,S$4,INP_DATA!$D$5:$D$3027,$D784,INP_DATA!$B$5:$B$3027,$B784)</f>
        <v>0</v>
      </c>
      <c r="T784" s="235">
        <f>COUNTIFS(INP_DATA!$R$5:$R$3027,T$4,INP_DATA!$D$5:$D$3027,$D784,INP_DATA!$B$5:$B$3027,$B784)</f>
        <v>0</v>
      </c>
    </row>
    <row r="785" spans="1:20" x14ac:dyDescent="0.35">
      <c r="A785" s="3" t="s">
        <v>109</v>
      </c>
      <c r="B785" s="165">
        <v>45352</v>
      </c>
      <c r="C785" s="57" t="str">
        <f>IF($B785="","",YEAR($B785)&amp;"-"&amp;IFERROR(VLOOKUP(MONTH(B785),KEY!$AE$5:$AF$16,2,FALSE),""))</f>
        <v>2024-Q1</v>
      </c>
      <c r="D785" s="3" t="s">
        <v>121</v>
      </c>
      <c r="E785" s="219">
        <v>81</v>
      </c>
      <c r="F785" s="166">
        <v>260</v>
      </c>
      <c r="G785" s="166">
        <v>224</v>
      </c>
      <c r="H785" s="21">
        <v>713</v>
      </c>
      <c r="I785" s="21">
        <v>68</v>
      </c>
      <c r="J785" s="21">
        <v>250</v>
      </c>
      <c r="K785" s="21">
        <v>37</v>
      </c>
      <c r="L785" s="21">
        <v>610</v>
      </c>
      <c r="M785" s="21">
        <v>170</v>
      </c>
      <c r="N785" s="21">
        <v>261</v>
      </c>
      <c r="O785" s="19">
        <v>462</v>
      </c>
      <c r="P785" s="22">
        <v>29</v>
      </c>
      <c r="Q785" s="22">
        <v>20</v>
      </c>
      <c r="R785" s="20"/>
      <c r="S785" s="234">
        <f>COUNTIFS(INP_DATA!$R$5:$R$3027,S$4,INP_DATA!$D$5:$D$3027,$D785,INP_DATA!$B$5:$B$3027,$B785)</f>
        <v>0</v>
      </c>
      <c r="T785" s="235">
        <f>COUNTIFS(INP_DATA!$R$5:$R$3027,T$4,INP_DATA!$D$5:$D$3027,$D785,INP_DATA!$B$5:$B$3027,$B785)</f>
        <v>0</v>
      </c>
    </row>
    <row r="786" spans="1:20" x14ac:dyDescent="0.35">
      <c r="A786" s="3" t="s">
        <v>108</v>
      </c>
      <c r="B786" s="165">
        <v>45352</v>
      </c>
      <c r="C786" s="57" t="str">
        <f>IF($B786="","",YEAR($B786)&amp;"-"&amp;IFERROR(VLOOKUP(MONTH(B786),KEY!$AE$5:$AF$16,2,FALSE),""))</f>
        <v>2024-Q1</v>
      </c>
      <c r="D786" s="3" t="s">
        <v>122</v>
      </c>
      <c r="E786" s="219">
        <v>4</v>
      </c>
      <c r="F786" s="166">
        <v>75</v>
      </c>
      <c r="G786" s="166">
        <v>104</v>
      </c>
      <c r="H786" s="21">
        <v>238</v>
      </c>
      <c r="I786" s="21">
        <v>18</v>
      </c>
      <c r="J786" s="21">
        <v>112</v>
      </c>
      <c r="K786" s="21">
        <v>14</v>
      </c>
      <c r="L786" s="21">
        <v>145</v>
      </c>
      <c r="M786" s="21">
        <v>46</v>
      </c>
      <c r="N786" s="21">
        <v>76</v>
      </c>
      <c r="O786" s="19">
        <v>220</v>
      </c>
      <c r="P786" s="22">
        <v>29</v>
      </c>
      <c r="Q786" s="22">
        <v>8</v>
      </c>
      <c r="R786" s="20"/>
      <c r="S786" s="234">
        <f>COUNTIFS(INP_DATA!$R$5:$R$3027,S$4,INP_DATA!$D$5:$D$3027,$D786,INP_DATA!$B$5:$B$3027,$B786)</f>
        <v>0</v>
      </c>
      <c r="T786" s="235">
        <f>COUNTIFS(INP_DATA!$R$5:$R$3027,T$4,INP_DATA!$D$5:$D$3027,$D786,INP_DATA!$B$5:$B$3027,$B786)</f>
        <v>0</v>
      </c>
    </row>
    <row r="787" spans="1:20" x14ac:dyDescent="0.35">
      <c r="A787" s="3" t="s">
        <v>107</v>
      </c>
      <c r="B787" s="165">
        <v>45352</v>
      </c>
      <c r="C787" s="57" t="str">
        <f>IF($B787="","",YEAR($B787)&amp;"-"&amp;IFERROR(VLOOKUP(MONTH(B787),KEY!$AE$5:$AF$16,2,FALSE),""))</f>
        <v>2024-Q1</v>
      </c>
      <c r="D787" s="3" t="s">
        <v>123</v>
      </c>
      <c r="E787" s="219">
        <v>57</v>
      </c>
      <c r="F787" s="166">
        <v>256</v>
      </c>
      <c r="G787" s="166">
        <v>245</v>
      </c>
      <c r="H787" s="21">
        <v>295</v>
      </c>
      <c r="I787" s="21">
        <v>56</v>
      </c>
      <c r="J787" s="21">
        <v>185</v>
      </c>
      <c r="K787" s="21">
        <v>52</v>
      </c>
      <c r="L787" s="21">
        <v>459</v>
      </c>
      <c r="M787" s="21">
        <v>218</v>
      </c>
      <c r="N787" s="21">
        <v>256</v>
      </c>
      <c r="O787" s="19">
        <v>396</v>
      </c>
      <c r="P787" s="22">
        <v>50</v>
      </c>
      <c r="Q787" s="22">
        <v>30</v>
      </c>
      <c r="R787" s="20"/>
      <c r="S787" s="234">
        <f>COUNTIFS(INP_DATA!$R$5:$R$3027,S$4,INP_DATA!$D$5:$D$3027,$D787,INP_DATA!$B$5:$B$3027,$B787)</f>
        <v>0</v>
      </c>
      <c r="T787" s="235">
        <f>COUNTIFS(INP_DATA!$R$5:$R$3027,T$4,INP_DATA!$D$5:$D$3027,$D787,INP_DATA!$B$5:$B$3027,$B787)</f>
        <v>0</v>
      </c>
    </row>
    <row r="788" spans="1:20" x14ac:dyDescent="0.35">
      <c r="A788" s="3" t="s">
        <v>108</v>
      </c>
      <c r="B788" s="165">
        <v>45352</v>
      </c>
      <c r="C788" s="57" t="str">
        <f>IF($B788="","",YEAR($B788)&amp;"-"&amp;IFERROR(VLOOKUP(MONTH(B788),KEY!$AE$5:$AF$16,2,FALSE),""))</f>
        <v>2024-Q1</v>
      </c>
      <c r="D788" s="3" t="s">
        <v>124</v>
      </c>
      <c r="E788" s="219">
        <v>82</v>
      </c>
      <c r="F788" s="166">
        <v>224</v>
      </c>
      <c r="G788" s="166">
        <v>245</v>
      </c>
      <c r="H788" s="21">
        <v>263</v>
      </c>
      <c r="I788" s="21">
        <v>49</v>
      </c>
      <c r="J788" s="21">
        <v>190</v>
      </c>
      <c r="K788" s="21">
        <v>38</v>
      </c>
      <c r="L788" s="21">
        <v>413</v>
      </c>
      <c r="M788" s="21">
        <v>141</v>
      </c>
      <c r="N788" s="21">
        <v>222</v>
      </c>
      <c r="O788" s="19">
        <v>506</v>
      </c>
      <c r="P788" s="22">
        <v>78</v>
      </c>
      <c r="Q788" s="22">
        <v>51</v>
      </c>
      <c r="R788" s="20"/>
      <c r="S788" s="234">
        <f>COUNTIFS(INP_DATA!$R$5:$R$3027,S$4,INP_DATA!$D$5:$D$3027,$D788,INP_DATA!$B$5:$B$3027,$B788)</f>
        <v>0</v>
      </c>
      <c r="T788" s="235">
        <f>COUNTIFS(INP_DATA!$R$5:$R$3027,T$4,INP_DATA!$D$5:$D$3027,$D788,INP_DATA!$B$5:$B$3027,$B788)</f>
        <v>0</v>
      </c>
    </row>
    <row r="789" spans="1:20" x14ac:dyDescent="0.35">
      <c r="A789" s="3" t="s">
        <v>106</v>
      </c>
      <c r="B789" s="165">
        <v>45352</v>
      </c>
      <c r="C789" s="57" t="str">
        <f>IF($B789="","",YEAR($B789)&amp;"-"&amp;IFERROR(VLOOKUP(MONTH(B789),KEY!$AE$5:$AF$16,2,FALSE),""))</f>
        <v>2024-Q1</v>
      </c>
      <c r="D789" s="3" t="s">
        <v>195</v>
      </c>
      <c r="E789" s="219">
        <v>13</v>
      </c>
      <c r="F789" s="166">
        <v>47</v>
      </c>
      <c r="G789" s="166">
        <v>37</v>
      </c>
      <c r="H789" s="21">
        <v>114</v>
      </c>
      <c r="I789" s="21">
        <v>16</v>
      </c>
      <c r="J789" s="21">
        <v>36</v>
      </c>
      <c r="K789" s="21">
        <v>7</v>
      </c>
      <c r="L789" s="21">
        <v>132</v>
      </c>
      <c r="M789" s="21">
        <v>38</v>
      </c>
      <c r="N789" s="21">
        <v>49</v>
      </c>
      <c r="O789" s="19">
        <v>132</v>
      </c>
      <c r="P789" s="22">
        <v>13</v>
      </c>
      <c r="Q789" s="22">
        <v>11</v>
      </c>
      <c r="R789" s="20"/>
      <c r="S789" s="234">
        <f>COUNTIFS(INP_DATA!$R$5:$R$3027,S$4,INP_DATA!$D$5:$D$3027,$D789,INP_DATA!$B$5:$B$3027,$B789)</f>
        <v>0</v>
      </c>
      <c r="T789" s="235">
        <f>COUNTIFS(INP_DATA!$R$5:$R$3027,T$4,INP_DATA!$D$5:$D$3027,$D789,INP_DATA!$B$5:$B$3027,$B789)</f>
        <v>0</v>
      </c>
    </row>
    <row r="790" spans="1:20" x14ac:dyDescent="0.35">
      <c r="A790" s="3" t="s">
        <v>106</v>
      </c>
      <c r="B790" s="165">
        <v>45352</v>
      </c>
      <c r="C790" s="57" t="str">
        <f>IF($B790="","",YEAR($B790)&amp;"-"&amp;IFERROR(VLOOKUP(MONTH(B790),KEY!$AE$5:$AF$16,2,FALSE),""))</f>
        <v>2024-Q1</v>
      </c>
      <c r="D790" s="3" t="s">
        <v>125</v>
      </c>
      <c r="E790" s="219">
        <v>41</v>
      </c>
      <c r="F790" s="166">
        <v>274</v>
      </c>
      <c r="G790" s="166">
        <v>231</v>
      </c>
      <c r="H790" s="21">
        <v>484</v>
      </c>
      <c r="I790" s="21">
        <v>79</v>
      </c>
      <c r="J790" s="21">
        <v>149</v>
      </c>
      <c r="K790" s="21">
        <v>42</v>
      </c>
      <c r="L790" s="21">
        <v>428</v>
      </c>
      <c r="M790" s="21">
        <v>114</v>
      </c>
      <c r="N790" s="21">
        <v>292</v>
      </c>
      <c r="O790" s="19">
        <v>396</v>
      </c>
      <c r="P790" s="22">
        <v>38</v>
      </c>
      <c r="Q790" s="22">
        <v>25</v>
      </c>
      <c r="R790" s="20"/>
      <c r="S790" s="234">
        <f>COUNTIFS(INP_DATA!$R$5:$R$3027,S$4,INP_DATA!$D$5:$D$3027,$D790,INP_DATA!$B$5:$B$3027,$B790)</f>
        <v>0</v>
      </c>
      <c r="T790" s="235">
        <f>COUNTIFS(INP_DATA!$R$5:$R$3027,T$4,INP_DATA!$D$5:$D$3027,$D790,INP_DATA!$B$5:$B$3027,$B790)</f>
        <v>0</v>
      </c>
    </row>
    <row r="791" spans="1:20" x14ac:dyDescent="0.35">
      <c r="A791" s="3" t="s">
        <v>107</v>
      </c>
      <c r="B791" s="165">
        <v>45352</v>
      </c>
      <c r="C791" s="57" t="str">
        <f>IF($B791="","",YEAR($B791)&amp;"-"&amp;IFERROR(VLOOKUP(MONTH(B791),KEY!$AE$5:$AF$16,2,FALSE),""))</f>
        <v>2024-Q1</v>
      </c>
      <c r="D791" s="3" t="s">
        <v>126</v>
      </c>
      <c r="E791" s="219">
        <v>112</v>
      </c>
      <c r="F791" s="166">
        <v>485</v>
      </c>
      <c r="G791" s="166">
        <v>588</v>
      </c>
      <c r="H791" s="21">
        <v>606</v>
      </c>
      <c r="I791" s="21">
        <v>103</v>
      </c>
      <c r="J791" s="21">
        <v>361</v>
      </c>
      <c r="K791" s="21">
        <v>94</v>
      </c>
      <c r="L791" s="21">
        <v>790</v>
      </c>
      <c r="M791" s="21">
        <v>291</v>
      </c>
      <c r="N791" s="21">
        <v>490</v>
      </c>
      <c r="O791" s="19">
        <v>616</v>
      </c>
      <c r="P791" s="22">
        <v>160</v>
      </c>
      <c r="Q791" s="22">
        <v>104</v>
      </c>
      <c r="R791" s="20"/>
      <c r="S791" s="234">
        <f>COUNTIFS(INP_DATA!$R$5:$R$3027,S$4,INP_DATA!$D$5:$D$3027,$D791,INP_DATA!$B$5:$B$3027,$B791)</f>
        <v>0</v>
      </c>
      <c r="T791" s="235">
        <f>COUNTIFS(INP_DATA!$R$5:$R$3027,T$4,INP_DATA!$D$5:$D$3027,$D791,INP_DATA!$B$5:$B$3027,$B791)</f>
        <v>0</v>
      </c>
    </row>
    <row r="792" spans="1:20" x14ac:dyDescent="0.35">
      <c r="A792" s="3" t="s">
        <v>107</v>
      </c>
      <c r="B792" s="165">
        <v>45352</v>
      </c>
      <c r="C792" s="57" t="str">
        <f>IF($B792="","",YEAR($B792)&amp;"-"&amp;IFERROR(VLOOKUP(MONTH(B792),KEY!$AE$5:$AF$16,2,FALSE),""))</f>
        <v>2024-Q1</v>
      </c>
      <c r="D792" s="3" t="s">
        <v>127</v>
      </c>
      <c r="E792" s="219">
        <v>9</v>
      </c>
      <c r="F792" s="166">
        <v>48</v>
      </c>
      <c r="G792" s="166">
        <v>54</v>
      </c>
      <c r="H792" s="21">
        <v>102</v>
      </c>
      <c r="I792" s="21">
        <v>12</v>
      </c>
      <c r="J792" s="21">
        <v>34</v>
      </c>
      <c r="K792" s="21">
        <v>7</v>
      </c>
      <c r="L792" s="21">
        <v>71</v>
      </c>
      <c r="M792" s="21">
        <v>36</v>
      </c>
      <c r="N792" s="21">
        <v>49</v>
      </c>
      <c r="O792" s="19">
        <v>88</v>
      </c>
      <c r="P792" s="22">
        <v>11</v>
      </c>
      <c r="Q792" s="22">
        <v>5</v>
      </c>
      <c r="R792" s="20"/>
      <c r="S792" s="234">
        <f>COUNTIFS(INP_DATA!$R$5:$R$3027,S$4,INP_DATA!$D$5:$D$3027,$D792,INP_DATA!$B$5:$B$3027,$B792)</f>
        <v>0</v>
      </c>
      <c r="T792" s="235">
        <f>COUNTIFS(INP_DATA!$R$5:$R$3027,T$4,INP_DATA!$D$5:$D$3027,$D792,INP_DATA!$B$5:$B$3027,$B792)</f>
        <v>0</v>
      </c>
    </row>
    <row r="793" spans="1:20" x14ac:dyDescent="0.35">
      <c r="A793" s="3" t="s">
        <v>109</v>
      </c>
      <c r="B793" s="165">
        <v>45352</v>
      </c>
      <c r="C793" s="57" t="str">
        <f>IF($B793="","",YEAR($B793)&amp;"-"&amp;IFERROR(VLOOKUP(MONTH(B793),KEY!$AE$5:$AF$16,2,FALSE),""))</f>
        <v>2024-Q1</v>
      </c>
      <c r="D793" s="3" t="s">
        <v>128</v>
      </c>
      <c r="E793" s="219">
        <v>5</v>
      </c>
      <c r="F793" s="166">
        <v>249</v>
      </c>
      <c r="G793" s="166">
        <v>260</v>
      </c>
      <c r="H793" s="21">
        <v>797</v>
      </c>
      <c r="I793" s="21">
        <v>95</v>
      </c>
      <c r="J793" s="21">
        <v>302</v>
      </c>
      <c r="K793" s="21">
        <v>38</v>
      </c>
      <c r="L793" s="21">
        <v>408</v>
      </c>
      <c r="M793" s="21">
        <v>127</v>
      </c>
      <c r="N793" s="21">
        <v>249</v>
      </c>
      <c r="O793" s="19">
        <v>264</v>
      </c>
      <c r="P793" s="22">
        <v>0</v>
      </c>
      <c r="Q793" s="22">
        <v>0</v>
      </c>
      <c r="R793" s="20"/>
      <c r="S793" s="234">
        <f>COUNTIFS(INP_DATA!$R$5:$R$3027,S$4,INP_DATA!$D$5:$D$3027,$D793,INP_DATA!$B$5:$B$3027,$B793)</f>
        <v>0</v>
      </c>
      <c r="T793" s="235">
        <f>COUNTIFS(INP_DATA!$R$5:$R$3027,T$4,INP_DATA!$D$5:$D$3027,$D793,INP_DATA!$B$5:$B$3027,$B793)</f>
        <v>0</v>
      </c>
    </row>
    <row r="794" spans="1:20" x14ac:dyDescent="0.35">
      <c r="A794" s="3" t="s">
        <v>106</v>
      </c>
      <c r="B794" s="165">
        <v>45352</v>
      </c>
      <c r="C794" s="57" t="str">
        <f>IF($B794="","",YEAR($B794)&amp;"-"&amp;IFERROR(VLOOKUP(MONTH(B794),KEY!$AE$5:$AF$16,2,FALSE),""))</f>
        <v>2024-Q1</v>
      </c>
      <c r="D794" s="3" t="s">
        <v>129</v>
      </c>
      <c r="E794" s="219">
        <v>22</v>
      </c>
      <c r="F794" s="166">
        <v>214</v>
      </c>
      <c r="G794" s="166">
        <v>160</v>
      </c>
      <c r="H794" s="21">
        <v>238</v>
      </c>
      <c r="I794" s="21">
        <v>32</v>
      </c>
      <c r="J794" s="21">
        <v>163</v>
      </c>
      <c r="K794" s="21">
        <v>42</v>
      </c>
      <c r="L794" s="21">
        <v>319</v>
      </c>
      <c r="M794" s="21">
        <v>90</v>
      </c>
      <c r="N794" s="21">
        <v>215</v>
      </c>
      <c r="O794" s="19">
        <v>374</v>
      </c>
      <c r="P794" s="22">
        <v>45</v>
      </c>
      <c r="Q794" s="22">
        <v>29</v>
      </c>
      <c r="R794" s="20"/>
      <c r="S794" s="234">
        <f>COUNTIFS(INP_DATA!$R$5:$R$3027,S$4,INP_DATA!$D$5:$D$3027,$D794,INP_DATA!$B$5:$B$3027,$B794)</f>
        <v>0</v>
      </c>
      <c r="T794" s="235">
        <f>COUNTIFS(INP_DATA!$R$5:$R$3027,T$4,INP_DATA!$D$5:$D$3027,$D794,INP_DATA!$B$5:$B$3027,$B794)</f>
        <v>0</v>
      </c>
    </row>
    <row r="795" spans="1:20" x14ac:dyDescent="0.35">
      <c r="A795" s="3" t="s">
        <v>108</v>
      </c>
      <c r="B795" s="165">
        <v>45352</v>
      </c>
      <c r="C795" s="57" t="str">
        <f>IF($B795="","",YEAR($B795)&amp;"-"&amp;IFERROR(VLOOKUP(MONTH(B795),KEY!$AE$5:$AF$16,2,FALSE),""))</f>
        <v>2024-Q1</v>
      </c>
      <c r="D795" s="3" t="s">
        <v>130</v>
      </c>
      <c r="E795" s="219">
        <v>25</v>
      </c>
      <c r="F795" s="166">
        <v>142</v>
      </c>
      <c r="G795" s="166">
        <v>119</v>
      </c>
      <c r="H795" s="21">
        <v>275</v>
      </c>
      <c r="I795" s="21">
        <v>42</v>
      </c>
      <c r="J795" s="21">
        <v>141</v>
      </c>
      <c r="K795" s="21">
        <v>34</v>
      </c>
      <c r="L795" s="21">
        <v>187</v>
      </c>
      <c r="M795" s="21">
        <v>86</v>
      </c>
      <c r="N795" s="21">
        <v>144</v>
      </c>
      <c r="O795" s="19">
        <v>198</v>
      </c>
      <c r="P795" s="22">
        <v>84</v>
      </c>
      <c r="Q795" s="22">
        <v>53</v>
      </c>
      <c r="R795" s="20"/>
      <c r="S795" s="234">
        <f>COUNTIFS(INP_DATA!$R$5:$R$3027,S$4,INP_DATA!$D$5:$D$3027,$D795,INP_DATA!$B$5:$B$3027,$B795)</f>
        <v>0</v>
      </c>
      <c r="T795" s="235">
        <f>COUNTIFS(INP_DATA!$R$5:$R$3027,T$4,INP_DATA!$D$5:$D$3027,$D795,INP_DATA!$B$5:$B$3027,$B795)</f>
        <v>0</v>
      </c>
    </row>
    <row r="796" spans="1:20" x14ac:dyDescent="0.35">
      <c r="A796" s="3" t="s">
        <v>109</v>
      </c>
      <c r="B796" s="165">
        <v>45352</v>
      </c>
      <c r="C796" s="57" t="str">
        <f>IF($B796="","",YEAR($B796)&amp;"-"&amp;IFERROR(VLOOKUP(MONTH(B796),KEY!$AE$5:$AF$16,2,FALSE),""))</f>
        <v>2024-Q1</v>
      </c>
      <c r="D796" s="3" t="s">
        <v>131</v>
      </c>
      <c r="E796" s="219">
        <v>39</v>
      </c>
      <c r="F796" s="166">
        <v>164</v>
      </c>
      <c r="G796" s="166">
        <v>199</v>
      </c>
      <c r="H796" s="21">
        <v>161</v>
      </c>
      <c r="I796" s="21">
        <v>21</v>
      </c>
      <c r="J796" s="21">
        <v>135</v>
      </c>
      <c r="K796" s="21">
        <v>24</v>
      </c>
      <c r="L796" s="21">
        <v>274</v>
      </c>
      <c r="M796" s="21">
        <v>52</v>
      </c>
      <c r="N796" s="21">
        <v>180</v>
      </c>
      <c r="O796" s="19">
        <v>308</v>
      </c>
      <c r="P796" s="22">
        <v>5</v>
      </c>
      <c r="Q796" s="22">
        <v>4</v>
      </c>
      <c r="R796" s="20"/>
      <c r="S796" s="234">
        <f>COUNTIFS(INP_DATA!$R$5:$R$3027,S$4,INP_DATA!$D$5:$D$3027,$D796,INP_DATA!$B$5:$B$3027,$B796)</f>
        <v>0</v>
      </c>
      <c r="T796" s="235">
        <f>COUNTIFS(INP_DATA!$R$5:$R$3027,T$4,INP_DATA!$D$5:$D$3027,$D796,INP_DATA!$B$5:$B$3027,$B796)</f>
        <v>0</v>
      </c>
    </row>
    <row r="797" spans="1:20" x14ac:dyDescent="0.35">
      <c r="A797" s="3" t="s">
        <v>108</v>
      </c>
      <c r="B797" s="165">
        <v>45352</v>
      </c>
      <c r="C797" s="57" t="str">
        <f>IF($B797="","",YEAR($B797)&amp;"-"&amp;IFERROR(VLOOKUP(MONTH(B797),KEY!$AE$5:$AF$16,2,FALSE),""))</f>
        <v>2024-Q1</v>
      </c>
      <c r="D797" s="3" t="s">
        <v>134</v>
      </c>
      <c r="E797" s="219">
        <v>8</v>
      </c>
      <c r="F797" s="166">
        <v>32</v>
      </c>
      <c r="G797" s="166">
        <v>37</v>
      </c>
      <c r="H797" s="21">
        <v>57</v>
      </c>
      <c r="I797" s="21">
        <v>9</v>
      </c>
      <c r="J797" s="21">
        <v>21</v>
      </c>
      <c r="K797" s="21">
        <v>5</v>
      </c>
      <c r="L797" s="21">
        <v>45</v>
      </c>
      <c r="M797" s="21">
        <v>20</v>
      </c>
      <c r="N797" s="21">
        <v>32</v>
      </c>
      <c r="O797" s="19">
        <v>66</v>
      </c>
      <c r="P797" s="22">
        <v>21</v>
      </c>
      <c r="Q797" s="22">
        <v>14</v>
      </c>
      <c r="R797" s="20"/>
      <c r="S797" s="234">
        <f>COUNTIFS(INP_DATA!$R$5:$R$3027,S$4,INP_DATA!$D$5:$D$3027,$D797,INP_DATA!$B$5:$B$3027,$B797)</f>
        <v>0</v>
      </c>
      <c r="T797" s="235">
        <f>COUNTIFS(INP_DATA!$R$5:$R$3027,T$4,INP_DATA!$D$5:$D$3027,$D797,INP_DATA!$B$5:$B$3027,$B797)</f>
        <v>0</v>
      </c>
    </row>
    <row r="798" spans="1:20" x14ac:dyDescent="0.35">
      <c r="A798" s="3" t="s">
        <v>108</v>
      </c>
      <c r="B798" s="165">
        <v>45352</v>
      </c>
      <c r="C798" s="57" t="str">
        <f>IF($B798="","",YEAR($B798)&amp;"-"&amp;IFERROR(VLOOKUP(MONTH(B798),KEY!$AE$5:$AF$16,2,FALSE),""))</f>
        <v>2024-Q1</v>
      </c>
      <c r="D798" s="3" t="s">
        <v>135</v>
      </c>
      <c r="E798" s="219">
        <v>57</v>
      </c>
      <c r="F798" s="166">
        <v>253</v>
      </c>
      <c r="G798" s="166">
        <v>154</v>
      </c>
      <c r="H798" s="21">
        <v>513</v>
      </c>
      <c r="I798" s="21">
        <v>68</v>
      </c>
      <c r="J798" s="21">
        <v>191</v>
      </c>
      <c r="K798" s="21">
        <v>44</v>
      </c>
      <c r="L798" s="21">
        <v>613</v>
      </c>
      <c r="M798" s="21">
        <v>142</v>
      </c>
      <c r="N798" s="21">
        <v>261</v>
      </c>
      <c r="O798" s="19">
        <v>352</v>
      </c>
      <c r="P798" s="22">
        <v>83</v>
      </c>
      <c r="Q798" s="22">
        <v>55</v>
      </c>
      <c r="R798" s="20"/>
      <c r="S798" s="234">
        <f>COUNTIFS(INP_DATA!$R$5:$R$3027,S$4,INP_DATA!$D$5:$D$3027,$D798,INP_DATA!$B$5:$B$3027,$B798)</f>
        <v>0</v>
      </c>
      <c r="T798" s="235">
        <f>COUNTIFS(INP_DATA!$R$5:$R$3027,T$4,INP_DATA!$D$5:$D$3027,$D798,INP_DATA!$B$5:$B$3027,$B798)</f>
        <v>0</v>
      </c>
    </row>
    <row r="799" spans="1:20" x14ac:dyDescent="0.35">
      <c r="A799" s="3" t="s">
        <v>16</v>
      </c>
      <c r="B799" s="165">
        <v>45352</v>
      </c>
      <c r="C799" s="57" t="str">
        <f>IF($B799="","",YEAR($B799)&amp;"-"&amp;IFERROR(VLOOKUP(MONTH(B799),KEY!$AE$5:$AF$16,2,FALSE),""))</f>
        <v>2024-Q1</v>
      </c>
      <c r="D799" s="3" t="s">
        <v>196</v>
      </c>
      <c r="E799" s="219">
        <v>14</v>
      </c>
      <c r="F799" s="166">
        <v>39</v>
      </c>
      <c r="G799" s="166">
        <v>46</v>
      </c>
      <c r="H799" s="21">
        <v>78</v>
      </c>
      <c r="I799" s="21">
        <v>10</v>
      </c>
      <c r="J799" s="21">
        <v>55</v>
      </c>
      <c r="K799" s="21">
        <v>8</v>
      </c>
      <c r="L799" s="21">
        <v>130</v>
      </c>
      <c r="M799" s="21">
        <v>32</v>
      </c>
      <c r="N799" s="21">
        <v>40</v>
      </c>
      <c r="O799" s="19">
        <v>110</v>
      </c>
      <c r="P799" s="22">
        <v>9</v>
      </c>
      <c r="Q799" s="22">
        <v>7</v>
      </c>
      <c r="R799" s="20"/>
      <c r="S799" s="234">
        <f>COUNTIFS(INP_DATA!$R$5:$R$3027,S$4,INP_DATA!$D$5:$D$3027,$D799,INP_DATA!$B$5:$B$3027,$B799)</f>
        <v>0</v>
      </c>
      <c r="T799" s="235">
        <f>COUNTIFS(INP_DATA!$R$5:$R$3027,T$4,INP_DATA!$D$5:$D$3027,$D799,INP_DATA!$B$5:$B$3027,$B799)</f>
        <v>0</v>
      </c>
    </row>
    <row r="800" spans="1:20" x14ac:dyDescent="0.35">
      <c r="A800" s="3" t="s">
        <v>16</v>
      </c>
      <c r="B800" s="165">
        <v>45352</v>
      </c>
      <c r="C800" s="57" t="str">
        <f>IF($B800="","",YEAR($B800)&amp;"-"&amp;IFERROR(VLOOKUP(MONTH(B800),KEY!$AE$5:$AF$16,2,FALSE),""))</f>
        <v>2024-Q1</v>
      </c>
      <c r="D800" s="3" t="s">
        <v>197</v>
      </c>
      <c r="E800" s="219">
        <v>28</v>
      </c>
      <c r="F800" s="166">
        <v>116</v>
      </c>
      <c r="G800" s="166">
        <v>110</v>
      </c>
      <c r="H800" s="21">
        <v>157</v>
      </c>
      <c r="I800" s="21">
        <v>27</v>
      </c>
      <c r="J800" s="21">
        <v>105</v>
      </c>
      <c r="K800" s="21">
        <v>24</v>
      </c>
      <c r="L800" s="21">
        <v>165</v>
      </c>
      <c r="M800" s="21">
        <v>84</v>
      </c>
      <c r="N800" s="21">
        <v>121</v>
      </c>
      <c r="O800" s="19">
        <v>220</v>
      </c>
      <c r="P800" s="22">
        <v>10</v>
      </c>
      <c r="Q800" s="22">
        <v>7</v>
      </c>
      <c r="R800" s="20"/>
      <c r="S800" s="234">
        <f>COUNTIFS(INP_DATA!$R$5:$R$3027,S$4,INP_DATA!$D$5:$D$3027,$D800,INP_DATA!$B$5:$B$3027,$B800)</f>
        <v>0</v>
      </c>
      <c r="T800" s="235">
        <f>COUNTIFS(INP_DATA!$R$5:$R$3027,T$4,INP_DATA!$D$5:$D$3027,$D800,INP_DATA!$B$5:$B$3027,$B800)</f>
        <v>0</v>
      </c>
    </row>
    <row r="801" spans="1:20" x14ac:dyDescent="0.35">
      <c r="A801" s="3" t="s">
        <v>109</v>
      </c>
      <c r="B801" s="165">
        <v>45352</v>
      </c>
      <c r="C801" s="57" t="str">
        <f>IF($B801="","",YEAR($B801)&amp;"-"&amp;IFERROR(VLOOKUP(MONTH(B801),KEY!$AE$5:$AF$16,2,FALSE),""))</f>
        <v>2024-Q1</v>
      </c>
      <c r="D801" s="3" t="s">
        <v>136</v>
      </c>
      <c r="E801" s="219">
        <v>79</v>
      </c>
      <c r="F801" s="166">
        <v>306</v>
      </c>
      <c r="G801" s="166">
        <v>224</v>
      </c>
      <c r="H801" s="21">
        <v>511</v>
      </c>
      <c r="I801" s="21">
        <v>70</v>
      </c>
      <c r="J801" s="21">
        <v>437</v>
      </c>
      <c r="K801" s="21">
        <v>42</v>
      </c>
      <c r="L801" s="21">
        <v>392</v>
      </c>
      <c r="M801" s="21">
        <v>169</v>
      </c>
      <c r="N801" s="21">
        <v>311</v>
      </c>
      <c r="O801" s="19">
        <v>330</v>
      </c>
      <c r="P801" s="22">
        <v>50</v>
      </c>
      <c r="Q801" s="22">
        <v>41</v>
      </c>
      <c r="R801" s="20"/>
      <c r="S801" s="234">
        <f>COUNTIFS(INP_DATA!$R$5:$R$3027,S$4,INP_DATA!$D$5:$D$3027,$D801,INP_DATA!$B$5:$B$3027,$B801)</f>
        <v>0</v>
      </c>
      <c r="T801" s="235">
        <f>COUNTIFS(INP_DATA!$R$5:$R$3027,T$4,INP_DATA!$D$5:$D$3027,$D801,INP_DATA!$B$5:$B$3027,$B801)</f>
        <v>0</v>
      </c>
    </row>
    <row r="802" spans="1:20" x14ac:dyDescent="0.35">
      <c r="A802" s="3" t="s">
        <v>16</v>
      </c>
      <c r="B802" s="165">
        <v>45352</v>
      </c>
      <c r="C802" s="57" t="str">
        <f>IF($B802="","",YEAR($B802)&amp;"-"&amp;IFERROR(VLOOKUP(MONTH(B802),KEY!$AE$5:$AF$16,2,FALSE),""))</f>
        <v>2024-Q1</v>
      </c>
      <c r="D802" s="3" t="s">
        <v>137</v>
      </c>
      <c r="E802" s="219">
        <v>22</v>
      </c>
      <c r="F802" s="166">
        <v>93</v>
      </c>
      <c r="G802" s="166">
        <v>91</v>
      </c>
      <c r="H802" s="21">
        <v>224</v>
      </c>
      <c r="I802" s="21">
        <v>29</v>
      </c>
      <c r="J802" s="21">
        <v>189</v>
      </c>
      <c r="K802" s="21">
        <v>43</v>
      </c>
      <c r="L802" s="21">
        <v>142</v>
      </c>
      <c r="M802" s="21">
        <v>65</v>
      </c>
      <c r="N802" s="21">
        <v>96</v>
      </c>
      <c r="O802" s="19">
        <v>198</v>
      </c>
      <c r="P802" s="22">
        <v>17</v>
      </c>
      <c r="Q802" s="22">
        <v>9</v>
      </c>
      <c r="R802" s="20"/>
      <c r="S802" s="234">
        <f>COUNTIFS(INP_DATA!$R$5:$R$3027,S$4,INP_DATA!$D$5:$D$3027,$D802,INP_DATA!$B$5:$B$3027,$B802)</f>
        <v>0</v>
      </c>
      <c r="T802" s="235">
        <f>COUNTIFS(INP_DATA!$R$5:$R$3027,T$4,INP_DATA!$D$5:$D$3027,$D802,INP_DATA!$B$5:$B$3027,$B802)</f>
        <v>0</v>
      </c>
    </row>
    <row r="803" spans="1:20" x14ac:dyDescent="0.35">
      <c r="A803" s="3" t="s">
        <v>109</v>
      </c>
      <c r="B803" s="165">
        <v>45352</v>
      </c>
      <c r="C803" s="57" t="str">
        <f>IF($B803="","",YEAR($B803)&amp;"-"&amp;IFERROR(VLOOKUP(MONTH(B803),KEY!$AE$5:$AF$16,2,FALSE),""))</f>
        <v>2024-Q1</v>
      </c>
      <c r="D803" s="3" t="s">
        <v>138</v>
      </c>
      <c r="E803" s="219">
        <v>32</v>
      </c>
      <c r="F803" s="166">
        <v>156</v>
      </c>
      <c r="G803" s="166">
        <v>126</v>
      </c>
      <c r="H803" s="21">
        <v>421</v>
      </c>
      <c r="I803" s="21">
        <v>53</v>
      </c>
      <c r="J803" s="21">
        <v>275</v>
      </c>
      <c r="K803" s="21">
        <v>29</v>
      </c>
      <c r="L803" s="21">
        <v>319</v>
      </c>
      <c r="M803" s="21">
        <v>115</v>
      </c>
      <c r="N803" s="21">
        <v>158</v>
      </c>
      <c r="O803" s="19">
        <v>176</v>
      </c>
      <c r="P803" s="22">
        <v>27</v>
      </c>
      <c r="Q803" s="22">
        <v>19</v>
      </c>
      <c r="R803" s="20"/>
      <c r="S803" s="234">
        <f>COUNTIFS(INP_DATA!$R$5:$R$3027,S$4,INP_DATA!$D$5:$D$3027,$D803,INP_DATA!$B$5:$B$3027,$B803)</f>
        <v>0</v>
      </c>
      <c r="T803" s="235">
        <f>COUNTIFS(INP_DATA!$R$5:$R$3027,T$4,INP_DATA!$D$5:$D$3027,$D803,INP_DATA!$B$5:$B$3027,$B803)</f>
        <v>0</v>
      </c>
    </row>
    <row r="804" spans="1:20" x14ac:dyDescent="0.35">
      <c r="A804" s="3" t="s">
        <v>108</v>
      </c>
      <c r="B804" s="165">
        <v>45352</v>
      </c>
      <c r="C804" s="57" t="str">
        <f>IF($B804="","",YEAR($B804)&amp;"-"&amp;IFERROR(VLOOKUP(MONTH(B804),KEY!$AE$5:$AF$16,2,FALSE),""))</f>
        <v>2024-Q1</v>
      </c>
      <c r="D804" s="3" t="s">
        <v>139</v>
      </c>
      <c r="E804" s="219">
        <v>35</v>
      </c>
      <c r="F804" s="166">
        <v>166</v>
      </c>
      <c r="G804" s="166">
        <v>165</v>
      </c>
      <c r="H804" s="21">
        <v>366</v>
      </c>
      <c r="I804" s="21">
        <v>54</v>
      </c>
      <c r="J804" s="21">
        <v>108</v>
      </c>
      <c r="K804" s="21">
        <v>26</v>
      </c>
      <c r="L804" s="21">
        <v>462</v>
      </c>
      <c r="M804" s="21">
        <v>111</v>
      </c>
      <c r="N804" s="21">
        <v>168</v>
      </c>
      <c r="O804" s="19">
        <v>264</v>
      </c>
      <c r="P804" s="22">
        <v>69</v>
      </c>
      <c r="Q804" s="22">
        <v>49</v>
      </c>
      <c r="R804" s="20"/>
      <c r="S804" s="234">
        <f>COUNTIFS(INP_DATA!$R$5:$R$3027,S$4,INP_DATA!$D$5:$D$3027,$D804,INP_DATA!$B$5:$B$3027,$B804)</f>
        <v>0</v>
      </c>
      <c r="T804" s="235">
        <f>COUNTIFS(INP_DATA!$R$5:$R$3027,T$4,INP_DATA!$D$5:$D$3027,$D804,INP_DATA!$B$5:$B$3027,$B804)</f>
        <v>0</v>
      </c>
    </row>
    <row r="805" spans="1:20" x14ac:dyDescent="0.35">
      <c r="A805" s="3" t="s">
        <v>107</v>
      </c>
      <c r="B805" s="165">
        <v>45352</v>
      </c>
      <c r="C805" s="57" t="str">
        <f>IF($B805="","",YEAR($B805)&amp;"-"&amp;IFERROR(VLOOKUP(MONTH(B805),KEY!$AE$5:$AF$16,2,FALSE),""))</f>
        <v>2024-Q1</v>
      </c>
      <c r="D805" s="3" t="s">
        <v>140</v>
      </c>
      <c r="E805" s="219">
        <v>10</v>
      </c>
      <c r="F805" s="166">
        <v>40</v>
      </c>
      <c r="G805" s="166">
        <v>31</v>
      </c>
      <c r="H805" s="21">
        <v>109</v>
      </c>
      <c r="I805" s="21">
        <v>13</v>
      </c>
      <c r="J805" s="21">
        <v>35</v>
      </c>
      <c r="K805" s="21">
        <v>8</v>
      </c>
      <c r="L805" s="21">
        <v>59</v>
      </c>
      <c r="M805" s="21">
        <v>31</v>
      </c>
      <c r="N805" s="21">
        <v>40</v>
      </c>
      <c r="O805" s="19">
        <v>66</v>
      </c>
      <c r="P805" s="22">
        <v>5</v>
      </c>
      <c r="Q805" s="22">
        <v>2</v>
      </c>
      <c r="R805" s="20"/>
      <c r="S805" s="234">
        <f>COUNTIFS(INP_DATA!$R$5:$R$3027,S$4,INP_DATA!$D$5:$D$3027,$D805,INP_DATA!$B$5:$B$3027,$B805)</f>
        <v>0</v>
      </c>
      <c r="T805" s="235">
        <f>COUNTIFS(INP_DATA!$R$5:$R$3027,T$4,INP_DATA!$D$5:$D$3027,$D805,INP_DATA!$B$5:$B$3027,$B805)</f>
        <v>0</v>
      </c>
    </row>
    <row r="806" spans="1:20" x14ac:dyDescent="0.35">
      <c r="A806" s="3" t="s">
        <v>108</v>
      </c>
      <c r="B806" s="165">
        <v>45352</v>
      </c>
      <c r="C806" s="57" t="str">
        <f>IF($B806="","",YEAR($B806)&amp;"-"&amp;IFERROR(VLOOKUP(MONTH(B806),KEY!$AE$5:$AF$16,2,FALSE),""))</f>
        <v>2024-Q1</v>
      </c>
      <c r="D806" s="3" t="s">
        <v>142</v>
      </c>
      <c r="E806" s="219">
        <v>10</v>
      </c>
      <c r="F806" s="166">
        <v>47</v>
      </c>
      <c r="G806" s="166">
        <v>71</v>
      </c>
      <c r="H806" s="21">
        <v>146</v>
      </c>
      <c r="I806" s="21">
        <v>13</v>
      </c>
      <c r="J806" s="21">
        <v>41</v>
      </c>
      <c r="K806" s="21">
        <v>5</v>
      </c>
      <c r="L806" s="21">
        <v>68</v>
      </c>
      <c r="M806" s="21">
        <v>23</v>
      </c>
      <c r="N806" s="21">
        <v>47</v>
      </c>
      <c r="O806" s="19">
        <v>88</v>
      </c>
      <c r="P806" s="22">
        <v>37</v>
      </c>
      <c r="Q806" s="22">
        <v>25</v>
      </c>
      <c r="R806" s="20"/>
      <c r="S806" s="234">
        <f>COUNTIFS(INP_DATA!$R$5:$R$3027,S$4,INP_DATA!$D$5:$D$3027,$D806,INP_DATA!$B$5:$B$3027,$B806)</f>
        <v>0</v>
      </c>
      <c r="T806" s="235">
        <f>COUNTIFS(INP_DATA!$R$5:$R$3027,T$4,INP_DATA!$D$5:$D$3027,$D806,INP_DATA!$B$5:$B$3027,$B806)</f>
        <v>0</v>
      </c>
    </row>
    <row r="807" spans="1:20" x14ac:dyDescent="0.35">
      <c r="A807" s="3" t="s">
        <v>16</v>
      </c>
      <c r="B807" s="165">
        <v>45352</v>
      </c>
      <c r="C807" s="57" t="str">
        <f>IF($B807="","",YEAR($B807)&amp;"-"&amp;IFERROR(VLOOKUP(MONTH(B807),KEY!$AE$5:$AF$16,2,FALSE),""))</f>
        <v>2024-Q1</v>
      </c>
      <c r="D807" s="3" t="s">
        <v>143</v>
      </c>
      <c r="E807" s="219">
        <v>11</v>
      </c>
      <c r="F807" s="166">
        <v>53</v>
      </c>
      <c r="G807" s="166">
        <v>72</v>
      </c>
      <c r="H807" s="21">
        <v>119</v>
      </c>
      <c r="I807" s="21">
        <v>11</v>
      </c>
      <c r="J807" s="21">
        <v>78</v>
      </c>
      <c r="K807" s="21">
        <v>15</v>
      </c>
      <c r="L807" s="21">
        <v>142</v>
      </c>
      <c r="M807" s="21">
        <v>37</v>
      </c>
      <c r="N807" s="21">
        <v>55</v>
      </c>
      <c r="O807" s="19">
        <v>176</v>
      </c>
      <c r="P807" s="22">
        <v>4</v>
      </c>
      <c r="Q807" s="22">
        <v>2</v>
      </c>
      <c r="R807" s="20"/>
      <c r="S807" s="234">
        <f>COUNTIFS(INP_DATA!$R$5:$R$3027,S$4,INP_DATA!$D$5:$D$3027,$D807,INP_DATA!$B$5:$B$3027,$B807)</f>
        <v>0</v>
      </c>
      <c r="T807" s="235">
        <f>COUNTIFS(INP_DATA!$R$5:$R$3027,T$4,INP_DATA!$D$5:$D$3027,$D807,INP_DATA!$B$5:$B$3027,$B807)</f>
        <v>0</v>
      </c>
    </row>
    <row r="808" spans="1:20" x14ac:dyDescent="0.35">
      <c r="A808" s="3" t="s">
        <v>16</v>
      </c>
      <c r="B808" s="165">
        <v>45352</v>
      </c>
      <c r="C808" s="57" t="str">
        <f>IF($B808="","",YEAR($B808)&amp;"-"&amp;IFERROR(VLOOKUP(MONTH(B808),KEY!$AE$5:$AF$16,2,FALSE),""))</f>
        <v>2024-Q1</v>
      </c>
      <c r="D808" s="3" t="s">
        <v>144</v>
      </c>
      <c r="E808" s="219">
        <v>36</v>
      </c>
      <c r="F808" s="166">
        <v>197</v>
      </c>
      <c r="G808" s="166">
        <v>197</v>
      </c>
      <c r="H808" s="21">
        <v>293</v>
      </c>
      <c r="I808" s="21">
        <v>45</v>
      </c>
      <c r="J808" s="21">
        <v>172</v>
      </c>
      <c r="K808" s="21">
        <v>31</v>
      </c>
      <c r="L808" s="21">
        <v>422</v>
      </c>
      <c r="M808" s="21">
        <v>106</v>
      </c>
      <c r="N808" s="21">
        <v>201</v>
      </c>
      <c r="O808" s="19">
        <v>418</v>
      </c>
      <c r="P808" s="22">
        <v>24</v>
      </c>
      <c r="Q808" s="22">
        <v>20</v>
      </c>
      <c r="R808" s="20"/>
      <c r="S808" s="234">
        <f>COUNTIFS(INP_DATA!$R$5:$R$3027,S$4,INP_DATA!$D$5:$D$3027,$D808,INP_DATA!$B$5:$B$3027,$B808)</f>
        <v>0</v>
      </c>
      <c r="T808" s="235">
        <f>COUNTIFS(INP_DATA!$R$5:$R$3027,T$4,INP_DATA!$D$5:$D$3027,$D808,INP_DATA!$B$5:$B$3027,$B808)</f>
        <v>0</v>
      </c>
    </row>
    <row r="809" spans="1:20" x14ac:dyDescent="0.35">
      <c r="A809" s="3" t="s">
        <v>108</v>
      </c>
      <c r="B809" s="165">
        <v>45352</v>
      </c>
      <c r="C809" s="57" t="str">
        <f>IF($B809="","",YEAR($B809)&amp;"-"&amp;IFERROR(VLOOKUP(MONTH(B809),KEY!$AE$5:$AF$16,2,FALSE),""))</f>
        <v>2024-Q1</v>
      </c>
      <c r="D809" s="3" t="s">
        <v>145</v>
      </c>
      <c r="E809" s="219">
        <v>45</v>
      </c>
      <c r="F809" s="166">
        <v>157</v>
      </c>
      <c r="G809" s="166">
        <v>169</v>
      </c>
      <c r="H809" s="21">
        <v>276</v>
      </c>
      <c r="I809" s="21">
        <v>35</v>
      </c>
      <c r="J809" s="21">
        <v>185</v>
      </c>
      <c r="K809" s="21">
        <v>39</v>
      </c>
      <c r="L809" s="21">
        <v>323</v>
      </c>
      <c r="M809" s="21">
        <v>86</v>
      </c>
      <c r="N809" s="21">
        <v>156</v>
      </c>
      <c r="O809" s="19">
        <v>308</v>
      </c>
      <c r="P809" s="22">
        <v>48</v>
      </c>
      <c r="Q809" s="22">
        <v>34</v>
      </c>
      <c r="R809" s="20"/>
      <c r="S809" s="234">
        <f>COUNTIFS(INP_DATA!$R$5:$R$3027,S$4,INP_DATA!$D$5:$D$3027,$D809,INP_DATA!$B$5:$B$3027,$B809)</f>
        <v>0</v>
      </c>
      <c r="T809" s="235">
        <f>COUNTIFS(INP_DATA!$R$5:$R$3027,T$4,INP_DATA!$D$5:$D$3027,$D809,INP_DATA!$B$5:$B$3027,$B809)</f>
        <v>0</v>
      </c>
    </row>
    <row r="810" spans="1:20" x14ac:dyDescent="0.35">
      <c r="A810" s="3" t="s">
        <v>16</v>
      </c>
      <c r="B810" s="165">
        <v>45352</v>
      </c>
      <c r="C810" s="57" t="str">
        <f>IF($B810="","",YEAR($B810)&amp;"-"&amp;IFERROR(VLOOKUP(MONTH(B810),KEY!$AE$5:$AF$16,2,FALSE),""))</f>
        <v>2024-Q1</v>
      </c>
      <c r="D810" s="3" t="s">
        <v>146</v>
      </c>
      <c r="E810" s="219">
        <v>3</v>
      </c>
      <c r="F810" s="166">
        <v>43</v>
      </c>
      <c r="G810" s="166">
        <v>46</v>
      </c>
      <c r="H810" s="21">
        <v>73</v>
      </c>
      <c r="I810" s="21">
        <v>15</v>
      </c>
      <c r="J810" s="21">
        <v>33</v>
      </c>
      <c r="K810" s="21">
        <v>7</v>
      </c>
      <c r="L810" s="21">
        <v>57</v>
      </c>
      <c r="M810" s="21">
        <v>30</v>
      </c>
      <c r="N810" s="21">
        <v>43</v>
      </c>
      <c r="O810" s="19">
        <v>88</v>
      </c>
      <c r="P810" s="22">
        <v>4</v>
      </c>
      <c r="Q810" s="22">
        <v>3</v>
      </c>
      <c r="R810" s="20"/>
      <c r="S810" s="234">
        <f>COUNTIFS(INP_DATA!$R$5:$R$3027,S$4,INP_DATA!$D$5:$D$3027,$D810,INP_DATA!$B$5:$B$3027,$B810)</f>
        <v>0</v>
      </c>
      <c r="T810" s="235">
        <f>COUNTIFS(INP_DATA!$R$5:$R$3027,T$4,INP_DATA!$D$5:$D$3027,$D810,INP_DATA!$B$5:$B$3027,$B810)</f>
        <v>0</v>
      </c>
    </row>
    <row r="811" spans="1:20" x14ac:dyDescent="0.35">
      <c r="A811" s="3" t="s">
        <v>109</v>
      </c>
      <c r="B811" s="165">
        <v>45352</v>
      </c>
      <c r="C811" s="57" t="str">
        <f>IF($B811="","",YEAR($B811)&amp;"-"&amp;IFERROR(VLOOKUP(MONTH(B811),KEY!$AE$5:$AF$16,2,FALSE),""))</f>
        <v>2024-Q1</v>
      </c>
      <c r="D811" s="3" t="s">
        <v>147</v>
      </c>
      <c r="E811" s="219">
        <v>8</v>
      </c>
      <c r="F811" s="166">
        <v>55</v>
      </c>
      <c r="G811" s="166">
        <v>68</v>
      </c>
      <c r="H811" s="21">
        <v>123</v>
      </c>
      <c r="I811" s="21">
        <v>18</v>
      </c>
      <c r="J811" s="21">
        <v>31</v>
      </c>
      <c r="K811" s="21">
        <v>7</v>
      </c>
      <c r="L811" s="21">
        <v>68</v>
      </c>
      <c r="M811" s="21">
        <v>38</v>
      </c>
      <c r="N811" s="21">
        <v>55</v>
      </c>
      <c r="O811" s="19">
        <v>88</v>
      </c>
      <c r="P811" s="22">
        <v>5</v>
      </c>
      <c r="Q811" s="22">
        <v>0</v>
      </c>
      <c r="R811" s="20"/>
      <c r="S811" s="234">
        <f>COUNTIFS(INP_DATA!$R$5:$R$3027,S$4,INP_DATA!$D$5:$D$3027,$D811,INP_DATA!$B$5:$B$3027,$B811)</f>
        <v>0</v>
      </c>
      <c r="T811" s="235">
        <f>COUNTIFS(INP_DATA!$R$5:$R$3027,T$4,INP_DATA!$D$5:$D$3027,$D811,INP_DATA!$B$5:$B$3027,$B811)</f>
        <v>0</v>
      </c>
    </row>
    <row r="812" spans="1:20" x14ac:dyDescent="0.35">
      <c r="A812" s="3" t="s">
        <v>106</v>
      </c>
      <c r="B812" s="165">
        <v>45352</v>
      </c>
      <c r="C812" s="57" t="str">
        <f>IF($B812="","",YEAR($B812)&amp;"-"&amp;IFERROR(VLOOKUP(MONTH(B812),KEY!$AE$5:$AF$16,2,FALSE),""))</f>
        <v>2024-Q1</v>
      </c>
      <c r="D812" s="3" t="s">
        <v>148</v>
      </c>
      <c r="E812" s="219">
        <v>23</v>
      </c>
      <c r="F812" s="166">
        <v>47</v>
      </c>
      <c r="G812" s="166">
        <v>56</v>
      </c>
      <c r="H812" s="21">
        <v>93</v>
      </c>
      <c r="I812" s="21">
        <v>9</v>
      </c>
      <c r="J812" s="21">
        <v>85</v>
      </c>
      <c r="K812" s="21">
        <v>7</v>
      </c>
      <c r="L812" s="21">
        <v>112</v>
      </c>
      <c r="M812" s="21">
        <v>39</v>
      </c>
      <c r="N812" s="21">
        <v>47</v>
      </c>
      <c r="O812" s="19">
        <v>88</v>
      </c>
      <c r="P812" s="22">
        <v>11</v>
      </c>
      <c r="Q812" s="22">
        <v>10</v>
      </c>
      <c r="R812" s="20"/>
      <c r="S812" s="234">
        <f>COUNTIFS(INP_DATA!$R$5:$R$3027,S$4,INP_DATA!$D$5:$D$3027,$D812,INP_DATA!$B$5:$B$3027,$B812)</f>
        <v>0</v>
      </c>
      <c r="T812" s="235">
        <f>COUNTIFS(INP_DATA!$R$5:$R$3027,T$4,INP_DATA!$D$5:$D$3027,$D812,INP_DATA!$B$5:$B$3027,$B812)</f>
        <v>0</v>
      </c>
    </row>
    <row r="813" spans="1:20" x14ac:dyDescent="0.35">
      <c r="A813" s="3" t="s">
        <v>107</v>
      </c>
      <c r="B813" s="165">
        <v>45352</v>
      </c>
      <c r="C813" s="57" t="str">
        <f>IF($B813="","",YEAR($B813)&amp;"-"&amp;IFERROR(VLOOKUP(MONTH(B813),KEY!$AE$5:$AF$16,2,FALSE),""))</f>
        <v>2024-Q1</v>
      </c>
      <c r="D813" s="3" t="s">
        <v>149</v>
      </c>
      <c r="E813" s="219">
        <v>7</v>
      </c>
      <c r="F813" s="166">
        <v>27</v>
      </c>
      <c r="G813" s="166">
        <v>32</v>
      </c>
      <c r="H813" s="21">
        <v>47</v>
      </c>
      <c r="I813" s="21">
        <v>8</v>
      </c>
      <c r="J813" s="21">
        <v>19</v>
      </c>
      <c r="K813" s="21">
        <v>3</v>
      </c>
      <c r="L813" s="21">
        <v>43</v>
      </c>
      <c r="M813" s="21">
        <v>20</v>
      </c>
      <c r="N813" s="21">
        <v>27</v>
      </c>
      <c r="O813" s="19">
        <v>66</v>
      </c>
      <c r="P813" s="22">
        <v>0</v>
      </c>
      <c r="Q813" s="22">
        <v>0</v>
      </c>
      <c r="R813" s="20"/>
      <c r="S813" s="234">
        <f>COUNTIFS(INP_DATA!$R$5:$R$3027,S$4,INP_DATA!$D$5:$D$3027,$D813,INP_DATA!$B$5:$B$3027,$B813)</f>
        <v>0</v>
      </c>
      <c r="T813" s="235">
        <f>COUNTIFS(INP_DATA!$R$5:$R$3027,T$4,INP_DATA!$D$5:$D$3027,$D813,INP_DATA!$B$5:$B$3027,$B813)</f>
        <v>0</v>
      </c>
    </row>
    <row r="814" spans="1:20" x14ac:dyDescent="0.35">
      <c r="A814" s="3" t="s">
        <v>108</v>
      </c>
      <c r="B814" s="165">
        <v>45352</v>
      </c>
      <c r="C814" s="57" t="str">
        <f>IF($B814="","",YEAR($B814)&amp;"-"&amp;IFERROR(VLOOKUP(MONTH(B814),KEY!$AE$5:$AF$16,2,FALSE),""))</f>
        <v>2024-Q1</v>
      </c>
      <c r="D814" s="3" t="s">
        <v>150</v>
      </c>
      <c r="E814" s="219">
        <v>5</v>
      </c>
      <c r="F814" s="166">
        <v>33</v>
      </c>
      <c r="G814" s="166">
        <v>55</v>
      </c>
      <c r="H814" s="21">
        <v>69</v>
      </c>
      <c r="I814" s="21">
        <v>11</v>
      </c>
      <c r="J814" s="21">
        <v>11</v>
      </c>
      <c r="K814" s="21">
        <v>3</v>
      </c>
      <c r="L814" s="21">
        <v>51</v>
      </c>
      <c r="M814" s="21">
        <v>19</v>
      </c>
      <c r="N814" s="21">
        <v>34</v>
      </c>
      <c r="O814" s="19">
        <v>110</v>
      </c>
      <c r="P814" s="22">
        <v>3</v>
      </c>
      <c r="Q814" s="22">
        <v>3</v>
      </c>
      <c r="R814" s="20"/>
      <c r="S814" s="234">
        <f>COUNTIFS(INP_DATA!$R$5:$R$3027,S$4,INP_DATA!$D$5:$D$3027,$D814,INP_DATA!$B$5:$B$3027,$B814)</f>
        <v>0</v>
      </c>
      <c r="T814" s="235">
        <f>COUNTIFS(INP_DATA!$R$5:$R$3027,T$4,INP_DATA!$D$5:$D$3027,$D814,INP_DATA!$B$5:$B$3027,$B814)</f>
        <v>0</v>
      </c>
    </row>
    <row r="815" spans="1:20" x14ac:dyDescent="0.35">
      <c r="A815" s="3" t="s">
        <v>16</v>
      </c>
      <c r="B815" s="165">
        <v>45352</v>
      </c>
      <c r="C815" s="57" t="str">
        <f>IF($B815="","",YEAR($B815)&amp;"-"&amp;IFERROR(VLOOKUP(MONTH(B815),KEY!$AE$5:$AF$16,2,FALSE),""))</f>
        <v>2024-Q1</v>
      </c>
      <c r="D815" s="3" t="s">
        <v>151</v>
      </c>
      <c r="E815" s="219">
        <v>8</v>
      </c>
      <c r="F815" s="166">
        <v>33</v>
      </c>
      <c r="G815" s="166">
        <v>31</v>
      </c>
      <c r="H815" s="21">
        <v>72</v>
      </c>
      <c r="I815" s="21">
        <v>10</v>
      </c>
      <c r="J815" s="21">
        <v>12</v>
      </c>
      <c r="K815" s="21">
        <v>2</v>
      </c>
      <c r="L815" s="21">
        <v>48</v>
      </c>
      <c r="M815" s="21">
        <v>20</v>
      </c>
      <c r="N815" s="21">
        <v>33</v>
      </c>
      <c r="O815" s="19">
        <v>88</v>
      </c>
      <c r="P815" s="22">
        <v>2</v>
      </c>
      <c r="Q815" s="22">
        <v>2</v>
      </c>
      <c r="R815" s="20"/>
      <c r="S815" s="234">
        <f>COUNTIFS(INP_DATA!$R$5:$R$3027,S$4,INP_DATA!$D$5:$D$3027,$D815,INP_DATA!$B$5:$B$3027,$B815)</f>
        <v>0</v>
      </c>
      <c r="T815" s="235">
        <f>COUNTIFS(INP_DATA!$R$5:$R$3027,T$4,INP_DATA!$D$5:$D$3027,$D815,INP_DATA!$B$5:$B$3027,$B815)</f>
        <v>0</v>
      </c>
    </row>
    <row r="816" spans="1:20" x14ac:dyDescent="0.35">
      <c r="A816" s="3" t="s">
        <v>106</v>
      </c>
      <c r="B816" s="165">
        <v>45352</v>
      </c>
      <c r="C816" s="57" t="str">
        <f>IF($B816="","",YEAR($B816)&amp;"-"&amp;IFERROR(VLOOKUP(MONTH(B816),KEY!$AE$5:$AF$16,2,FALSE),""))</f>
        <v>2024-Q1</v>
      </c>
      <c r="D816" s="3" t="s">
        <v>152</v>
      </c>
      <c r="E816" s="219">
        <v>54</v>
      </c>
      <c r="F816" s="166">
        <v>202</v>
      </c>
      <c r="G816" s="166">
        <v>193</v>
      </c>
      <c r="H816" s="21">
        <v>492</v>
      </c>
      <c r="I816" s="21">
        <v>69</v>
      </c>
      <c r="J816" s="21">
        <v>145</v>
      </c>
      <c r="K816" s="21">
        <v>32</v>
      </c>
      <c r="L816" s="21">
        <v>403</v>
      </c>
      <c r="M816" s="21">
        <v>170</v>
      </c>
      <c r="N816" s="21">
        <v>200</v>
      </c>
      <c r="O816" s="19">
        <v>264</v>
      </c>
      <c r="P816" s="22">
        <v>68</v>
      </c>
      <c r="Q816" s="22">
        <v>44</v>
      </c>
      <c r="R816" s="20"/>
      <c r="S816" s="234">
        <f>COUNTIFS(INP_DATA!$R$5:$R$3027,S$4,INP_DATA!$D$5:$D$3027,$D816,INP_DATA!$B$5:$B$3027,$B816)</f>
        <v>0</v>
      </c>
      <c r="T816" s="235">
        <f>COUNTIFS(INP_DATA!$R$5:$R$3027,T$4,INP_DATA!$D$5:$D$3027,$D816,INP_DATA!$B$5:$B$3027,$B816)</f>
        <v>0</v>
      </c>
    </row>
    <row r="817" spans="1:20" x14ac:dyDescent="0.35">
      <c r="A817" s="3" t="s">
        <v>16</v>
      </c>
      <c r="B817" s="165">
        <v>45352</v>
      </c>
      <c r="C817" s="57" t="str">
        <f>IF($B817="","",YEAR($B817)&amp;"-"&amp;IFERROR(VLOOKUP(MONTH(B817),KEY!$AE$5:$AF$16,2,FALSE),""))</f>
        <v>2024-Q1</v>
      </c>
      <c r="D817" s="3" t="s">
        <v>153</v>
      </c>
      <c r="E817" s="219">
        <v>34</v>
      </c>
      <c r="F817" s="166">
        <v>99</v>
      </c>
      <c r="G817" s="166">
        <v>130</v>
      </c>
      <c r="H817" s="21">
        <v>274</v>
      </c>
      <c r="I817" s="21">
        <v>18</v>
      </c>
      <c r="J817" s="21">
        <v>159</v>
      </c>
      <c r="K817" s="21">
        <v>9</v>
      </c>
      <c r="L817" s="21">
        <v>338</v>
      </c>
      <c r="M817" s="21">
        <v>64</v>
      </c>
      <c r="N817" s="21">
        <v>99</v>
      </c>
      <c r="O817" s="19">
        <v>286</v>
      </c>
      <c r="P817" s="22">
        <v>1</v>
      </c>
      <c r="Q817" s="22">
        <v>1</v>
      </c>
      <c r="R817" s="20"/>
      <c r="S817" s="234">
        <f>COUNTIFS(INP_DATA!$R$5:$R$3027,S$4,INP_DATA!$D$5:$D$3027,$D817,INP_DATA!$B$5:$B$3027,$B817)</f>
        <v>0</v>
      </c>
      <c r="T817" s="235">
        <f>COUNTIFS(INP_DATA!$R$5:$R$3027,T$4,INP_DATA!$D$5:$D$3027,$D817,INP_DATA!$B$5:$B$3027,$B817)</f>
        <v>0</v>
      </c>
    </row>
    <row r="818" spans="1:20" x14ac:dyDescent="0.35">
      <c r="A818" s="3" t="s">
        <v>106</v>
      </c>
      <c r="B818" s="165">
        <v>45352</v>
      </c>
      <c r="C818" s="57" t="str">
        <f>IF($B818="","",YEAR($B818)&amp;"-"&amp;IFERROR(VLOOKUP(MONTH(B818),KEY!$AE$5:$AF$16,2,FALSE),""))</f>
        <v>2024-Q1</v>
      </c>
      <c r="D818" s="3" t="s">
        <v>154</v>
      </c>
      <c r="E818" s="219">
        <v>18</v>
      </c>
      <c r="F818" s="166">
        <v>57</v>
      </c>
      <c r="G818" s="166">
        <v>55</v>
      </c>
      <c r="H818" s="21">
        <v>277</v>
      </c>
      <c r="I818" s="21">
        <v>27</v>
      </c>
      <c r="J818" s="21">
        <v>158</v>
      </c>
      <c r="K818" s="21">
        <v>14</v>
      </c>
      <c r="L818" s="21">
        <v>175</v>
      </c>
      <c r="M818" s="21">
        <v>32</v>
      </c>
      <c r="N818" s="21">
        <v>58</v>
      </c>
      <c r="O818" s="19">
        <v>154</v>
      </c>
      <c r="P818" s="22">
        <v>11</v>
      </c>
      <c r="Q818" s="22">
        <v>8</v>
      </c>
      <c r="R818" s="20"/>
      <c r="S818" s="234">
        <f>COUNTIFS(INP_DATA!$R$5:$R$3027,S$4,INP_DATA!$D$5:$D$3027,$D818,INP_DATA!$B$5:$B$3027,$B818)</f>
        <v>0</v>
      </c>
      <c r="T818" s="235">
        <f>COUNTIFS(INP_DATA!$R$5:$R$3027,T$4,INP_DATA!$D$5:$D$3027,$D818,INP_DATA!$B$5:$B$3027,$B818)</f>
        <v>0</v>
      </c>
    </row>
    <row r="819" spans="1:20" x14ac:dyDescent="0.35">
      <c r="A819" s="3" t="s">
        <v>109</v>
      </c>
      <c r="B819" s="165">
        <v>45352</v>
      </c>
      <c r="C819" s="57" t="str">
        <f>IF($B819="","",YEAR($B819)&amp;"-"&amp;IFERROR(VLOOKUP(MONTH(B819),KEY!$AE$5:$AF$16,2,FALSE),""))</f>
        <v>2024-Q1</v>
      </c>
      <c r="D819" s="3" t="s">
        <v>155</v>
      </c>
      <c r="E819" s="219">
        <v>70</v>
      </c>
      <c r="F819" s="166">
        <v>367</v>
      </c>
      <c r="G819" s="166">
        <v>276</v>
      </c>
      <c r="H819" s="21">
        <v>695</v>
      </c>
      <c r="I819" s="21">
        <v>91</v>
      </c>
      <c r="J819" s="21">
        <v>242</v>
      </c>
      <c r="K819" s="21">
        <v>44</v>
      </c>
      <c r="L819" s="21">
        <v>451</v>
      </c>
      <c r="M819" s="21">
        <v>180</v>
      </c>
      <c r="N819" s="21">
        <v>370</v>
      </c>
      <c r="O819" s="19">
        <v>528</v>
      </c>
      <c r="P819" s="22">
        <v>40</v>
      </c>
      <c r="Q819" s="22">
        <v>24</v>
      </c>
      <c r="R819" s="20"/>
      <c r="S819" s="234">
        <f>COUNTIFS(INP_DATA!$R$5:$R$3027,S$4,INP_DATA!$D$5:$D$3027,$D819,INP_DATA!$B$5:$B$3027,$B819)</f>
        <v>0</v>
      </c>
      <c r="T819" s="235">
        <f>COUNTIFS(INP_DATA!$R$5:$R$3027,T$4,INP_DATA!$D$5:$D$3027,$D819,INP_DATA!$B$5:$B$3027,$B819)</f>
        <v>0</v>
      </c>
    </row>
    <row r="820" spans="1:20" x14ac:dyDescent="0.35">
      <c r="A820" s="3" t="s">
        <v>109</v>
      </c>
      <c r="B820" s="165">
        <v>45352</v>
      </c>
      <c r="C820" s="57" t="str">
        <f>IF($B820="","",YEAR($B820)&amp;"-"&amp;IFERROR(VLOOKUP(MONTH(B820),KEY!$AE$5:$AF$16,2,FALSE),""))</f>
        <v>2024-Q1</v>
      </c>
      <c r="D820" s="3" t="s">
        <v>156</v>
      </c>
      <c r="E820" s="219">
        <v>66</v>
      </c>
      <c r="F820" s="166">
        <v>277</v>
      </c>
      <c r="G820" s="166">
        <v>340</v>
      </c>
      <c r="H820" s="21">
        <v>651</v>
      </c>
      <c r="I820" s="21">
        <v>84</v>
      </c>
      <c r="J820" s="21">
        <v>257</v>
      </c>
      <c r="K820" s="21">
        <v>43</v>
      </c>
      <c r="L820" s="21">
        <v>509</v>
      </c>
      <c r="M820" s="21">
        <v>130</v>
      </c>
      <c r="N820" s="21">
        <v>283</v>
      </c>
      <c r="O820" s="19">
        <v>462</v>
      </c>
      <c r="P820" s="22">
        <v>24</v>
      </c>
      <c r="Q820" s="22">
        <v>7</v>
      </c>
      <c r="R820" s="20"/>
      <c r="S820" s="234">
        <f>COUNTIFS(INP_DATA!$R$5:$R$3027,S$4,INP_DATA!$D$5:$D$3027,$D820,INP_DATA!$B$5:$B$3027,$B820)</f>
        <v>0</v>
      </c>
      <c r="T820" s="235">
        <f>COUNTIFS(INP_DATA!$R$5:$R$3027,T$4,INP_DATA!$D$5:$D$3027,$D820,INP_DATA!$B$5:$B$3027,$B820)</f>
        <v>0</v>
      </c>
    </row>
    <row r="821" spans="1:20" x14ac:dyDescent="0.35">
      <c r="A821" s="3" t="s">
        <v>109</v>
      </c>
      <c r="B821" s="165">
        <v>45352</v>
      </c>
      <c r="C821" s="57" t="str">
        <f>IF($B821="","",YEAR($B821)&amp;"-"&amp;IFERROR(VLOOKUP(MONTH(B821),KEY!$AE$5:$AF$16,2,FALSE),""))</f>
        <v>2024-Q1</v>
      </c>
      <c r="D821" s="3" t="s">
        <v>157</v>
      </c>
      <c r="E821" s="219">
        <v>1</v>
      </c>
      <c r="F821" s="166">
        <v>480</v>
      </c>
      <c r="G821" s="166">
        <v>228</v>
      </c>
      <c r="H821" s="21">
        <v>1060</v>
      </c>
      <c r="I821" s="21">
        <v>98</v>
      </c>
      <c r="J821" s="21">
        <v>521</v>
      </c>
      <c r="K821" s="21">
        <v>59</v>
      </c>
      <c r="L821" s="21">
        <v>839</v>
      </c>
      <c r="M821" s="21">
        <v>198</v>
      </c>
      <c r="N821" s="21">
        <v>483</v>
      </c>
      <c r="O821" s="19">
        <v>748</v>
      </c>
      <c r="P821" s="22">
        <v>45</v>
      </c>
      <c r="Q821" s="22">
        <v>19</v>
      </c>
      <c r="R821" s="20"/>
      <c r="S821" s="234">
        <f>COUNTIFS(INP_DATA!$R$5:$R$3027,S$4,INP_DATA!$D$5:$D$3027,$D821,INP_DATA!$B$5:$B$3027,$B821)</f>
        <v>0</v>
      </c>
      <c r="T821" s="235">
        <f>COUNTIFS(INP_DATA!$R$5:$R$3027,T$4,INP_DATA!$D$5:$D$3027,$D821,INP_DATA!$B$5:$B$3027,$B821)</f>
        <v>0</v>
      </c>
    </row>
    <row r="822" spans="1:20" x14ac:dyDescent="0.35">
      <c r="A822" s="3" t="s">
        <v>16</v>
      </c>
      <c r="B822" s="165">
        <v>45352</v>
      </c>
      <c r="C822" s="57" t="str">
        <f>IF($B822="","",YEAR($B822)&amp;"-"&amp;IFERROR(VLOOKUP(MONTH(B822),KEY!$AE$5:$AF$16,2,FALSE),""))</f>
        <v>2024-Q1</v>
      </c>
      <c r="D822" s="3" t="s">
        <v>158</v>
      </c>
      <c r="E822" s="219">
        <v>13</v>
      </c>
      <c r="F822" s="166">
        <v>37</v>
      </c>
      <c r="G822" s="166">
        <v>42</v>
      </c>
      <c r="H822" s="21">
        <v>92</v>
      </c>
      <c r="I822" s="21">
        <v>7</v>
      </c>
      <c r="J822" s="21">
        <v>37</v>
      </c>
      <c r="K822" s="21">
        <v>10</v>
      </c>
      <c r="L822" s="21">
        <v>103</v>
      </c>
      <c r="M822" s="21">
        <v>33</v>
      </c>
      <c r="N822" s="21">
        <v>37</v>
      </c>
      <c r="O822" s="19">
        <v>132</v>
      </c>
      <c r="P822" s="22">
        <v>2</v>
      </c>
      <c r="Q822" s="22">
        <v>0</v>
      </c>
      <c r="R822" s="20"/>
      <c r="S822" s="234">
        <f>COUNTIFS(INP_DATA!$R$5:$R$3027,S$4,INP_DATA!$D$5:$D$3027,$D822,INP_DATA!$B$5:$B$3027,$B822)</f>
        <v>0</v>
      </c>
      <c r="T822" s="235">
        <f>COUNTIFS(INP_DATA!$R$5:$R$3027,T$4,INP_DATA!$D$5:$D$3027,$D822,INP_DATA!$B$5:$B$3027,$B822)</f>
        <v>0</v>
      </c>
    </row>
    <row r="823" spans="1:20" x14ac:dyDescent="0.35">
      <c r="A823" s="3" t="s">
        <v>107</v>
      </c>
      <c r="B823" s="165">
        <v>45352</v>
      </c>
      <c r="C823" s="57" t="str">
        <f>IF($B823="","",YEAR($B823)&amp;"-"&amp;IFERROR(VLOOKUP(MONTH(B823),KEY!$AE$5:$AF$16,2,FALSE),""))</f>
        <v>2024-Q1</v>
      </c>
      <c r="D823" s="3" t="s">
        <v>159</v>
      </c>
      <c r="E823" s="219">
        <v>28</v>
      </c>
      <c r="F823" s="166">
        <v>129</v>
      </c>
      <c r="G823" s="166">
        <v>85</v>
      </c>
      <c r="H823" s="21">
        <v>217</v>
      </c>
      <c r="I823" s="21">
        <v>38</v>
      </c>
      <c r="J823" s="21">
        <v>66</v>
      </c>
      <c r="K823" s="21">
        <v>23</v>
      </c>
      <c r="L823" s="21">
        <v>204</v>
      </c>
      <c r="M823" s="21">
        <v>98</v>
      </c>
      <c r="N823" s="21">
        <v>131</v>
      </c>
      <c r="O823" s="19">
        <v>176</v>
      </c>
      <c r="P823" s="22">
        <v>28</v>
      </c>
      <c r="Q823" s="22">
        <v>20</v>
      </c>
      <c r="R823" s="20"/>
      <c r="S823" s="234">
        <f>COUNTIFS(INP_DATA!$R$5:$R$3027,S$4,INP_DATA!$D$5:$D$3027,$D823,INP_DATA!$B$5:$B$3027,$B823)</f>
        <v>0</v>
      </c>
      <c r="T823" s="235">
        <f>COUNTIFS(INP_DATA!$R$5:$R$3027,T$4,INP_DATA!$D$5:$D$3027,$D823,INP_DATA!$B$5:$B$3027,$B823)</f>
        <v>0</v>
      </c>
    </row>
    <row r="824" spans="1:20" x14ac:dyDescent="0.35">
      <c r="A824" s="3" t="s">
        <v>16</v>
      </c>
      <c r="B824" s="165">
        <v>45352</v>
      </c>
      <c r="C824" s="57" t="str">
        <f>IF($B824="","",YEAR($B824)&amp;"-"&amp;IFERROR(VLOOKUP(MONTH(B824),KEY!$AE$5:$AF$16,2,FALSE),""))</f>
        <v>2024-Q1</v>
      </c>
      <c r="D824" s="3" t="s">
        <v>160</v>
      </c>
      <c r="E824" s="219">
        <v>41</v>
      </c>
      <c r="F824" s="166">
        <v>362</v>
      </c>
      <c r="G824" s="166">
        <v>325</v>
      </c>
      <c r="H824" s="21">
        <v>691</v>
      </c>
      <c r="I824" s="21">
        <v>109</v>
      </c>
      <c r="J824" s="21">
        <v>213</v>
      </c>
      <c r="K824" s="21">
        <v>40</v>
      </c>
      <c r="L824" s="21">
        <v>477</v>
      </c>
      <c r="M824" s="21">
        <v>215</v>
      </c>
      <c r="N824" s="21">
        <v>363</v>
      </c>
      <c r="O824" s="19">
        <v>484</v>
      </c>
      <c r="P824" s="22">
        <v>60</v>
      </c>
      <c r="Q824" s="22">
        <v>40</v>
      </c>
      <c r="R824" s="20"/>
      <c r="S824" s="234">
        <f>COUNTIFS(INP_DATA!$R$5:$R$3027,S$4,INP_DATA!$D$5:$D$3027,$D824,INP_DATA!$B$5:$B$3027,$B824)</f>
        <v>0</v>
      </c>
      <c r="T824" s="235">
        <f>COUNTIFS(INP_DATA!$R$5:$R$3027,T$4,INP_DATA!$D$5:$D$3027,$D824,INP_DATA!$B$5:$B$3027,$B824)</f>
        <v>0</v>
      </c>
    </row>
    <row r="825" spans="1:20" x14ac:dyDescent="0.35">
      <c r="A825" s="3" t="s">
        <v>106</v>
      </c>
      <c r="B825" s="165">
        <v>45352</v>
      </c>
      <c r="C825" s="57" t="str">
        <f>IF($B825="","",YEAR($B825)&amp;"-"&amp;IFERROR(VLOOKUP(MONTH(B825),KEY!$AE$5:$AF$16,2,FALSE),""))</f>
        <v>2024-Q1</v>
      </c>
      <c r="D825" s="3" t="s">
        <v>161</v>
      </c>
      <c r="E825" s="219">
        <v>46</v>
      </c>
      <c r="F825" s="166">
        <v>300</v>
      </c>
      <c r="G825" s="166">
        <v>275</v>
      </c>
      <c r="H825" s="21">
        <v>553</v>
      </c>
      <c r="I825" s="21">
        <v>84</v>
      </c>
      <c r="J825" s="21">
        <v>238</v>
      </c>
      <c r="K825" s="21">
        <v>51</v>
      </c>
      <c r="L825" s="21">
        <v>363</v>
      </c>
      <c r="M825" s="21">
        <v>119</v>
      </c>
      <c r="N825" s="21">
        <v>305</v>
      </c>
      <c r="O825" s="19">
        <v>462</v>
      </c>
      <c r="P825" s="22">
        <v>27</v>
      </c>
      <c r="Q825" s="22">
        <v>20</v>
      </c>
      <c r="R825" s="20"/>
      <c r="S825" s="234">
        <f>COUNTIFS(INP_DATA!$R$5:$R$3027,S$4,INP_DATA!$D$5:$D$3027,$D825,INP_DATA!$B$5:$B$3027,$B825)</f>
        <v>0</v>
      </c>
      <c r="T825" s="235">
        <f>COUNTIFS(INP_DATA!$R$5:$R$3027,T$4,INP_DATA!$D$5:$D$3027,$D825,INP_DATA!$B$5:$B$3027,$B825)</f>
        <v>0</v>
      </c>
    </row>
    <row r="826" spans="1:20" x14ac:dyDescent="0.35">
      <c r="A826" s="3" t="s">
        <v>109</v>
      </c>
      <c r="B826" s="165">
        <v>45352</v>
      </c>
      <c r="C826" s="57" t="str">
        <f>IF($B826="","",YEAR($B826)&amp;"-"&amp;IFERROR(VLOOKUP(MONTH(B826),KEY!$AE$5:$AF$16,2,FALSE),""))</f>
        <v>2024-Q1</v>
      </c>
      <c r="D826" s="3" t="s">
        <v>162</v>
      </c>
      <c r="E826" s="219">
        <v>135</v>
      </c>
      <c r="F826" s="166">
        <v>410</v>
      </c>
      <c r="G826" s="166">
        <v>413</v>
      </c>
      <c r="H826" s="21">
        <v>578</v>
      </c>
      <c r="I826" s="21">
        <v>81</v>
      </c>
      <c r="J826" s="21">
        <v>239</v>
      </c>
      <c r="K826" s="21">
        <v>63</v>
      </c>
      <c r="L826" s="21">
        <v>693</v>
      </c>
      <c r="M826" s="21">
        <v>148</v>
      </c>
      <c r="N826" s="21">
        <v>415</v>
      </c>
      <c r="O826" s="19">
        <v>660</v>
      </c>
      <c r="P826" s="22">
        <v>118</v>
      </c>
      <c r="Q826" s="22">
        <v>102</v>
      </c>
      <c r="R826" s="20"/>
      <c r="S826" s="234">
        <f>COUNTIFS(INP_DATA!$R$5:$R$3027,S$4,INP_DATA!$D$5:$D$3027,$D826,INP_DATA!$B$5:$B$3027,$B826)</f>
        <v>0</v>
      </c>
      <c r="T826" s="235">
        <f>COUNTIFS(INP_DATA!$R$5:$R$3027,T$4,INP_DATA!$D$5:$D$3027,$D826,INP_DATA!$B$5:$B$3027,$B826)</f>
        <v>0</v>
      </c>
    </row>
    <row r="827" spans="1:20" x14ac:dyDescent="0.35">
      <c r="A827" s="3" t="s">
        <v>16</v>
      </c>
      <c r="B827" s="165">
        <v>45352</v>
      </c>
      <c r="C827" s="57" t="str">
        <f>IF($B827="","",YEAR($B827)&amp;"-"&amp;IFERROR(VLOOKUP(MONTH(B827),KEY!$AE$5:$AF$16,2,FALSE),""))</f>
        <v>2024-Q1</v>
      </c>
      <c r="D827" s="3" t="s">
        <v>163</v>
      </c>
      <c r="E827" s="219">
        <v>59</v>
      </c>
      <c r="F827" s="166">
        <v>277</v>
      </c>
      <c r="G827" s="166">
        <v>238</v>
      </c>
      <c r="H827" s="21">
        <v>419</v>
      </c>
      <c r="I827" s="21">
        <v>70</v>
      </c>
      <c r="J827" s="21">
        <v>271</v>
      </c>
      <c r="K827" s="21">
        <v>62</v>
      </c>
      <c r="L827" s="21">
        <v>423</v>
      </c>
      <c r="M827" s="21">
        <v>162</v>
      </c>
      <c r="N827" s="21">
        <v>281</v>
      </c>
      <c r="O827" s="19">
        <v>418</v>
      </c>
      <c r="P827" s="22">
        <v>28</v>
      </c>
      <c r="Q827" s="22">
        <v>8</v>
      </c>
      <c r="R827" s="20"/>
      <c r="S827" s="234">
        <f>COUNTIFS(INP_DATA!$R$5:$R$3027,S$4,INP_DATA!$D$5:$D$3027,$D827,INP_DATA!$B$5:$B$3027,$B827)</f>
        <v>0</v>
      </c>
      <c r="T827" s="235">
        <f>COUNTIFS(INP_DATA!$R$5:$R$3027,T$4,INP_DATA!$D$5:$D$3027,$D827,INP_DATA!$B$5:$B$3027,$B827)</f>
        <v>0</v>
      </c>
    </row>
    <row r="828" spans="1:20" x14ac:dyDescent="0.35">
      <c r="A828" s="3" t="s">
        <v>16</v>
      </c>
      <c r="B828" s="165">
        <v>45352</v>
      </c>
      <c r="C828" s="57" t="str">
        <f>IF($B828="","",YEAR($B828)&amp;"-"&amp;IFERROR(VLOOKUP(MONTH(B828),KEY!$AE$5:$AF$16,2,FALSE),""))</f>
        <v>2024-Q1</v>
      </c>
      <c r="D828" s="3" t="s">
        <v>164</v>
      </c>
      <c r="E828" s="219">
        <v>11</v>
      </c>
      <c r="F828" s="166">
        <v>84</v>
      </c>
      <c r="G828" s="166">
        <v>78</v>
      </c>
      <c r="H828" s="21">
        <v>186</v>
      </c>
      <c r="I828" s="21">
        <v>22</v>
      </c>
      <c r="J828" s="21">
        <v>47</v>
      </c>
      <c r="K828" s="21">
        <v>9</v>
      </c>
      <c r="L828" s="21">
        <v>128</v>
      </c>
      <c r="M828" s="21">
        <v>50</v>
      </c>
      <c r="N828" s="21">
        <v>85</v>
      </c>
      <c r="O828" s="19">
        <v>154</v>
      </c>
      <c r="P828" s="22">
        <v>21</v>
      </c>
      <c r="Q828" s="22">
        <v>12</v>
      </c>
      <c r="R828" s="20"/>
      <c r="S828" s="234">
        <f>COUNTIFS(INP_DATA!$R$5:$R$3027,S$4,INP_DATA!$D$5:$D$3027,$D828,INP_DATA!$B$5:$B$3027,$B828)</f>
        <v>0</v>
      </c>
      <c r="T828" s="235">
        <f>COUNTIFS(INP_DATA!$R$5:$R$3027,T$4,INP_DATA!$D$5:$D$3027,$D828,INP_DATA!$B$5:$B$3027,$B828)</f>
        <v>0</v>
      </c>
    </row>
    <row r="829" spans="1:20" x14ac:dyDescent="0.35">
      <c r="A829" s="3" t="s">
        <v>107</v>
      </c>
      <c r="B829" s="165">
        <v>45352</v>
      </c>
      <c r="C829" s="57" t="str">
        <f>IF($B829="","",YEAR($B829)&amp;"-"&amp;IFERROR(VLOOKUP(MONTH(B829),KEY!$AE$5:$AF$16,2,FALSE),""))</f>
        <v>2024-Q1</v>
      </c>
      <c r="D829" s="3" t="s">
        <v>165</v>
      </c>
      <c r="E829" s="219">
        <v>18</v>
      </c>
      <c r="F829" s="166">
        <v>89</v>
      </c>
      <c r="G829" s="166">
        <v>108</v>
      </c>
      <c r="H829" s="21">
        <v>225</v>
      </c>
      <c r="I829" s="21">
        <v>35</v>
      </c>
      <c r="J829" s="21">
        <v>47</v>
      </c>
      <c r="K829" s="21">
        <v>13</v>
      </c>
      <c r="L829" s="21">
        <v>134</v>
      </c>
      <c r="M829" s="21">
        <v>58</v>
      </c>
      <c r="N829" s="21">
        <v>92</v>
      </c>
      <c r="O829" s="19">
        <v>198</v>
      </c>
      <c r="P829" s="22">
        <v>50</v>
      </c>
      <c r="Q829" s="22">
        <v>26</v>
      </c>
      <c r="R829" s="20"/>
      <c r="S829" s="234">
        <f>COUNTIFS(INP_DATA!$R$5:$R$3027,S$4,INP_DATA!$D$5:$D$3027,$D829,INP_DATA!$B$5:$B$3027,$B829)</f>
        <v>0</v>
      </c>
      <c r="T829" s="235">
        <f>COUNTIFS(INP_DATA!$R$5:$R$3027,T$4,INP_DATA!$D$5:$D$3027,$D829,INP_DATA!$B$5:$B$3027,$B829)</f>
        <v>0</v>
      </c>
    </row>
    <row r="830" spans="1:20" x14ac:dyDescent="0.35">
      <c r="A830" s="3" t="s">
        <v>16</v>
      </c>
      <c r="B830" s="165">
        <v>45383</v>
      </c>
      <c r="C830" s="57" t="str">
        <f>IF($B830="","",YEAR($B830)&amp;"-"&amp;IFERROR(VLOOKUP(MONTH(B830),KEY!$AE$5:$AF$16,2,FALSE),""))</f>
        <v>2024-Q2</v>
      </c>
      <c r="D830" s="3" t="s">
        <v>111</v>
      </c>
      <c r="E830" s="219">
        <v>17</v>
      </c>
      <c r="F830" s="166">
        <v>67</v>
      </c>
      <c r="G830" s="166">
        <v>82</v>
      </c>
      <c r="H830" s="21">
        <v>121</v>
      </c>
      <c r="I830" s="21">
        <v>15</v>
      </c>
      <c r="J830" s="21">
        <v>47</v>
      </c>
      <c r="K830" s="21">
        <v>8</v>
      </c>
      <c r="L830" s="21">
        <v>147</v>
      </c>
      <c r="M830" s="21">
        <v>40</v>
      </c>
      <c r="N830" s="21">
        <v>67</v>
      </c>
      <c r="O830" s="19">
        <v>176</v>
      </c>
      <c r="P830" s="22">
        <v>22</v>
      </c>
      <c r="Q830" s="22">
        <v>9</v>
      </c>
      <c r="R830" s="20"/>
      <c r="S830" s="234">
        <f>COUNTIFS(INP_DATA!$R$5:$R$3027,S$4,INP_DATA!$D$5:$D$3027,$D830,INP_DATA!$B$5:$B$3027,$B830)</f>
        <v>0</v>
      </c>
      <c r="T830" s="235">
        <f>COUNTIFS(INP_DATA!$R$5:$R$3027,T$4,INP_DATA!$D$5:$D$3027,$D830,INP_DATA!$B$5:$B$3027,$B830)</f>
        <v>0</v>
      </c>
    </row>
    <row r="831" spans="1:20" x14ac:dyDescent="0.35">
      <c r="A831" s="3" t="s">
        <v>108</v>
      </c>
      <c r="B831" s="165">
        <v>45383</v>
      </c>
      <c r="C831" s="57" t="str">
        <f>IF($B831="","",YEAR($B831)&amp;"-"&amp;IFERROR(VLOOKUP(MONTH(B831),KEY!$AE$5:$AF$16,2,FALSE),""))</f>
        <v>2024-Q2</v>
      </c>
      <c r="D831" s="3" t="s">
        <v>112</v>
      </c>
      <c r="E831" s="219">
        <v>7</v>
      </c>
      <c r="F831" s="166">
        <v>30</v>
      </c>
      <c r="G831" s="166">
        <v>42</v>
      </c>
      <c r="H831" s="21">
        <v>49</v>
      </c>
      <c r="I831" s="21">
        <v>8</v>
      </c>
      <c r="J831" s="21">
        <v>21</v>
      </c>
      <c r="K831" s="21">
        <v>4</v>
      </c>
      <c r="L831" s="21">
        <v>57</v>
      </c>
      <c r="M831" s="21">
        <v>20</v>
      </c>
      <c r="N831" s="21">
        <v>30</v>
      </c>
      <c r="O831" s="19">
        <v>88</v>
      </c>
      <c r="P831" s="22">
        <v>11</v>
      </c>
      <c r="Q831" s="22">
        <v>6</v>
      </c>
      <c r="R831" s="20"/>
      <c r="S831" s="234">
        <f>COUNTIFS(INP_DATA!$R$5:$R$3027,S$4,INP_DATA!$D$5:$D$3027,$D831,INP_DATA!$B$5:$B$3027,$B831)</f>
        <v>0</v>
      </c>
      <c r="T831" s="235">
        <f>COUNTIFS(INP_DATA!$R$5:$R$3027,T$4,INP_DATA!$D$5:$D$3027,$D831,INP_DATA!$B$5:$B$3027,$B831)</f>
        <v>0</v>
      </c>
    </row>
    <row r="832" spans="1:20" x14ac:dyDescent="0.35">
      <c r="A832" s="3" t="s">
        <v>16</v>
      </c>
      <c r="B832" s="165">
        <v>45383</v>
      </c>
      <c r="C832" s="57" t="str">
        <f>IF($B832="","",YEAR($B832)&amp;"-"&amp;IFERROR(VLOOKUP(MONTH(B832),KEY!$AE$5:$AF$16,2,FALSE),""))</f>
        <v>2024-Q2</v>
      </c>
      <c r="D832" s="3" t="s">
        <v>113</v>
      </c>
      <c r="E832" s="219">
        <v>12</v>
      </c>
      <c r="F832" s="166">
        <v>78</v>
      </c>
      <c r="G832" s="166">
        <v>89</v>
      </c>
      <c r="H832" s="21">
        <v>191</v>
      </c>
      <c r="I832" s="21">
        <v>27</v>
      </c>
      <c r="J832" s="21">
        <v>70</v>
      </c>
      <c r="K832" s="21">
        <v>16</v>
      </c>
      <c r="L832" s="21">
        <v>156</v>
      </c>
      <c r="M832" s="21">
        <v>59</v>
      </c>
      <c r="N832" s="21">
        <v>77</v>
      </c>
      <c r="O832" s="19">
        <v>176</v>
      </c>
      <c r="P832" s="22">
        <v>16</v>
      </c>
      <c r="Q832" s="22">
        <v>3</v>
      </c>
      <c r="R832" s="20"/>
      <c r="S832" s="234">
        <f>COUNTIFS(INP_DATA!$R$5:$R$3027,S$4,INP_DATA!$D$5:$D$3027,$D832,INP_DATA!$B$5:$B$3027,$B832)</f>
        <v>0</v>
      </c>
      <c r="T832" s="235">
        <f>COUNTIFS(INP_DATA!$R$5:$R$3027,T$4,INP_DATA!$D$5:$D$3027,$D832,INP_DATA!$B$5:$B$3027,$B832)</f>
        <v>0</v>
      </c>
    </row>
    <row r="833" spans="1:20" x14ac:dyDescent="0.35">
      <c r="A833" s="3" t="s">
        <v>108</v>
      </c>
      <c r="B833" s="165">
        <v>45383</v>
      </c>
      <c r="C833" s="57" t="str">
        <f>IF($B833="","",YEAR($B833)&amp;"-"&amp;IFERROR(VLOOKUP(MONTH(B833),KEY!$AE$5:$AF$16,2,FALSE),""))</f>
        <v>2024-Q2</v>
      </c>
      <c r="D833" s="3" t="s">
        <v>114</v>
      </c>
      <c r="E833" s="219">
        <v>14</v>
      </c>
      <c r="F833" s="166">
        <v>44</v>
      </c>
      <c r="G833" s="166">
        <v>79</v>
      </c>
      <c r="H833" s="21">
        <v>79</v>
      </c>
      <c r="I833" s="21">
        <v>13</v>
      </c>
      <c r="J833" s="21">
        <v>45</v>
      </c>
      <c r="K833" s="21">
        <v>12</v>
      </c>
      <c r="L833" s="21">
        <v>68</v>
      </c>
      <c r="M833" s="21">
        <v>28</v>
      </c>
      <c r="N833" s="21">
        <v>47</v>
      </c>
      <c r="O833" s="19">
        <v>110</v>
      </c>
      <c r="P833" s="22">
        <v>30</v>
      </c>
      <c r="Q833" s="22">
        <v>21</v>
      </c>
      <c r="R833" s="20"/>
      <c r="S833" s="234">
        <f>COUNTIFS(INP_DATA!$R$5:$R$3027,S$4,INP_DATA!$D$5:$D$3027,$D833,INP_DATA!$B$5:$B$3027,$B833)</f>
        <v>0</v>
      </c>
      <c r="T833" s="235">
        <f>COUNTIFS(INP_DATA!$R$5:$R$3027,T$4,INP_DATA!$D$5:$D$3027,$D833,INP_DATA!$B$5:$B$3027,$B833)</f>
        <v>0</v>
      </c>
    </row>
    <row r="834" spans="1:20" x14ac:dyDescent="0.35">
      <c r="A834" s="3" t="s">
        <v>107</v>
      </c>
      <c r="B834" s="165">
        <v>45383</v>
      </c>
      <c r="C834" s="57" t="str">
        <f>IF($B834="","",YEAR($B834)&amp;"-"&amp;IFERROR(VLOOKUP(MONTH(B834),KEY!$AE$5:$AF$16,2,FALSE),""))</f>
        <v>2024-Q2</v>
      </c>
      <c r="D834" s="3" t="s">
        <v>115</v>
      </c>
      <c r="E834" s="219">
        <v>0</v>
      </c>
      <c r="F834" s="166">
        <v>51</v>
      </c>
      <c r="G834" s="166">
        <v>64</v>
      </c>
      <c r="H834" s="21">
        <v>98</v>
      </c>
      <c r="I834" s="21">
        <v>21</v>
      </c>
      <c r="J834" s="21">
        <v>42</v>
      </c>
      <c r="K834" s="21">
        <v>12</v>
      </c>
      <c r="L834" s="21">
        <v>88</v>
      </c>
      <c r="M834" s="21">
        <v>40</v>
      </c>
      <c r="N834" s="21">
        <v>52</v>
      </c>
      <c r="O834" s="19">
        <v>132</v>
      </c>
      <c r="P834" s="22">
        <v>0</v>
      </c>
      <c r="Q834" s="22">
        <v>0</v>
      </c>
      <c r="R834" s="20"/>
      <c r="S834" s="234">
        <f>COUNTIFS(INP_DATA!$R$5:$R$3027,S$4,INP_DATA!$D$5:$D$3027,$D834,INP_DATA!$B$5:$B$3027,$B834)</f>
        <v>0</v>
      </c>
      <c r="T834" s="235">
        <f>COUNTIFS(INP_DATA!$R$5:$R$3027,T$4,INP_DATA!$D$5:$D$3027,$D834,INP_DATA!$B$5:$B$3027,$B834)</f>
        <v>0</v>
      </c>
    </row>
    <row r="835" spans="1:20" x14ac:dyDescent="0.35">
      <c r="A835" s="3" t="s">
        <v>16</v>
      </c>
      <c r="B835" s="165">
        <v>45383</v>
      </c>
      <c r="C835" s="57" t="str">
        <f>IF($B835="","",YEAR($B835)&amp;"-"&amp;IFERROR(VLOOKUP(MONTH(B835),KEY!$AE$5:$AF$16,2,FALSE),""))</f>
        <v>2024-Q2</v>
      </c>
      <c r="D835" s="3" t="s">
        <v>116</v>
      </c>
      <c r="E835" s="219">
        <v>22</v>
      </c>
      <c r="F835" s="166">
        <v>117</v>
      </c>
      <c r="G835" s="166">
        <v>162</v>
      </c>
      <c r="H835" s="21">
        <v>225</v>
      </c>
      <c r="I835" s="21">
        <v>26</v>
      </c>
      <c r="J835" s="21">
        <v>120</v>
      </c>
      <c r="K835" s="21">
        <v>17</v>
      </c>
      <c r="L835" s="21">
        <v>193</v>
      </c>
      <c r="M835" s="21">
        <v>73</v>
      </c>
      <c r="N835" s="21">
        <v>123</v>
      </c>
      <c r="O835" s="19">
        <v>198</v>
      </c>
      <c r="P835" s="22">
        <v>25</v>
      </c>
      <c r="Q835" s="22">
        <v>13</v>
      </c>
      <c r="R835" s="20"/>
      <c r="S835" s="234">
        <f>COUNTIFS(INP_DATA!$R$5:$R$3027,S$4,INP_DATA!$D$5:$D$3027,$D835,INP_DATA!$B$5:$B$3027,$B835)</f>
        <v>0</v>
      </c>
      <c r="T835" s="235">
        <f>COUNTIFS(INP_DATA!$R$5:$R$3027,T$4,INP_DATA!$D$5:$D$3027,$D835,INP_DATA!$B$5:$B$3027,$B835)</f>
        <v>0</v>
      </c>
    </row>
    <row r="836" spans="1:20" x14ac:dyDescent="0.35">
      <c r="A836" s="3" t="s">
        <v>107</v>
      </c>
      <c r="B836" s="165">
        <v>45383</v>
      </c>
      <c r="C836" s="57" t="str">
        <f>IF($B836="","",YEAR($B836)&amp;"-"&amp;IFERROR(VLOOKUP(MONTH(B836),KEY!$AE$5:$AF$16,2,FALSE),""))</f>
        <v>2024-Q2</v>
      </c>
      <c r="D836" s="3" t="s">
        <v>117</v>
      </c>
      <c r="E836" s="219">
        <v>21</v>
      </c>
      <c r="F836" s="166">
        <v>104</v>
      </c>
      <c r="G836" s="166">
        <v>197</v>
      </c>
      <c r="H836" s="21">
        <v>109</v>
      </c>
      <c r="I836" s="21">
        <v>19</v>
      </c>
      <c r="J836" s="21">
        <v>71</v>
      </c>
      <c r="K836" s="21">
        <v>21</v>
      </c>
      <c r="L836" s="21">
        <v>158</v>
      </c>
      <c r="M836" s="21">
        <v>77</v>
      </c>
      <c r="N836" s="21">
        <v>104</v>
      </c>
      <c r="O836" s="19">
        <v>154</v>
      </c>
      <c r="P836" s="22">
        <v>83</v>
      </c>
      <c r="Q836" s="22">
        <v>48</v>
      </c>
      <c r="R836" s="20"/>
      <c r="S836" s="234">
        <f>COUNTIFS(INP_DATA!$R$5:$R$3027,S$4,INP_DATA!$D$5:$D$3027,$D836,INP_DATA!$B$5:$B$3027,$B836)</f>
        <v>0</v>
      </c>
      <c r="T836" s="235">
        <f>COUNTIFS(INP_DATA!$R$5:$R$3027,T$4,INP_DATA!$D$5:$D$3027,$D836,INP_DATA!$B$5:$B$3027,$B836)</f>
        <v>0</v>
      </c>
    </row>
    <row r="837" spans="1:20" x14ac:dyDescent="0.35">
      <c r="A837" s="3" t="s">
        <v>106</v>
      </c>
      <c r="B837" s="165">
        <v>45383</v>
      </c>
      <c r="C837" s="57" t="str">
        <f>IF($B837="","",YEAR($B837)&amp;"-"&amp;IFERROR(VLOOKUP(MONTH(B837),KEY!$AE$5:$AF$16,2,FALSE),""))</f>
        <v>2024-Q2</v>
      </c>
      <c r="D837" s="3" t="s">
        <v>118</v>
      </c>
      <c r="E837" s="219">
        <v>30</v>
      </c>
      <c r="F837" s="166">
        <v>187</v>
      </c>
      <c r="G837" s="166">
        <v>232</v>
      </c>
      <c r="H837" s="21">
        <v>524</v>
      </c>
      <c r="I837" s="21">
        <v>60</v>
      </c>
      <c r="J837" s="21">
        <v>131</v>
      </c>
      <c r="K837" s="21">
        <v>33</v>
      </c>
      <c r="L837" s="21">
        <v>293</v>
      </c>
      <c r="M837" s="21">
        <v>104</v>
      </c>
      <c r="N837" s="21">
        <v>188</v>
      </c>
      <c r="O837" s="19">
        <v>264</v>
      </c>
      <c r="P837" s="22">
        <v>114</v>
      </c>
      <c r="Q837" s="22">
        <v>55</v>
      </c>
      <c r="R837" s="20"/>
      <c r="S837" s="234">
        <f>COUNTIFS(INP_DATA!$R$5:$R$3027,S$4,INP_DATA!$D$5:$D$3027,$D837,INP_DATA!$B$5:$B$3027,$B837)</f>
        <v>0</v>
      </c>
      <c r="T837" s="235">
        <f>COUNTIFS(INP_DATA!$R$5:$R$3027,T$4,INP_DATA!$D$5:$D$3027,$D837,INP_DATA!$B$5:$B$3027,$B837)</f>
        <v>0</v>
      </c>
    </row>
    <row r="838" spans="1:20" x14ac:dyDescent="0.35">
      <c r="A838" s="3" t="s">
        <v>16</v>
      </c>
      <c r="B838" s="165">
        <v>45383</v>
      </c>
      <c r="C838" s="57" t="str">
        <f>IF($B838="","",YEAR($B838)&amp;"-"&amp;IFERROR(VLOOKUP(MONTH(B838),KEY!$AE$5:$AF$16,2,FALSE),""))</f>
        <v>2024-Q2</v>
      </c>
      <c r="D838" s="3" t="s">
        <v>119</v>
      </c>
      <c r="E838" s="219">
        <v>8</v>
      </c>
      <c r="F838" s="166">
        <v>24</v>
      </c>
      <c r="G838" s="166">
        <v>22</v>
      </c>
      <c r="H838" s="21">
        <v>46</v>
      </c>
      <c r="I838" s="21">
        <v>7</v>
      </c>
      <c r="J838" s="21">
        <v>30</v>
      </c>
      <c r="K838" s="21">
        <v>6</v>
      </c>
      <c r="L838" s="21">
        <v>109</v>
      </c>
      <c r="M838" s="21">
        <v>11</v>
      </c>
      <c r="N838" s="21">
        <v>24</v>
      </c>
      <c r="O838" s="19">
        <v>88</v>
      </c>
      <c r="P838" s="22">
        <v>2</v>
      </c>
      <c r="Q838" s="22">
        <v>2</v>
      </c>
      <c r="R838" s="20"/>
      <c r="S838" s="234">
        <f>COUNTIFS(INP_DATA!$R$5:$R$3027,S$4,INP_DATA!$D$5:$D$3027,$D838,INP_DATA!$B$5:$B$3027,$B838)</f>
        <v>0</v>
      </c>
      <c r="T838" s="235">
        <f>COUNTIFS(INP_DATA!$R$5:$R$3027,T$4,INP_DATA!$D$5:$D$3027,$D838,INP_DATA!$B$5:$B$3027,$B838)</f>
        <v>0</v>
      </c>
    </row>
    <row r="839" spans="1:20" x14ac:dyDescent="0.35">
      <c r="A839" s="3" t="s">
        <v>16</v>
      </c>
      <c r="B839" s="165">
        <v>45383</v>
      </c>
      <c r="C839" s="57" t="str">
        <f>IF($B839="","",YEAR($B839)&amp;"-"&amp;IFERROR(VLOOKUP(MONTH(B839),KEY!$AE$5:$AF$16,2,FALSE),""))</f>
        <v>2024-Q2</v>
      </c>
      <c r="D839" s="3" t="s">
        <v>120</v>
      </c>
      <c r="E839" s="219">
        <v>62</v>
      </c>
      <c r="F839" s="166">
        <v>347</v>
      </c>
      <c r="G839" s="166">
        <v>342</v>
      </c>
      <c r="H839" s="21">
        <v>562</v>
      </c>
      <c r="I839" s="21">
        <v>78</v>
      </c>
      <c r="J839" s="21">
        <v>327</v>
      </c>
      <c r="K839" s="21">
        <v>46</v>
      </c>
      <c r="L839" s="21">
        <v>557</v>
      </c>
      <c r="M839" s="21">
        <v>198</v>
      </c>
      <c r="N839" s="21">
        <v>347</v>
      </c>
      <c r="O839" s="19">
        <v>616</v>
      </c>
      <c r="P839" s="22">
        <v>80</v>
      </c>
      <c r="Q839" s="22">
        <v>54</v>
      </c>
      <c r="R839" s="20"/>
      <c r="S839" s="234">
        <f>COUNTIFS(INP_DATA!$R$5:$R$3027,S$4,INP_DATA!$D$5:$D$3027,$D839,INP_DATA!$B$5:$B$3027,$B839)</f>
        <v>0</v>
      </c>
      <c r="T839" s="235">
        <f>COUNTIFS(INP_DATA!$R$5:$R$3027,T$4,INP_DATA!$D$5:$D$3027,$D839,INP_DATA!$B$5:$B$3027,$B839)</f>
        <v>0</v>
      </c>
    </row>
    <row r="840" spans="1:20" x14ac:dyDescent="0.35">
      <c r="A840" s="3" t="s">
        <v>109</v>
      </c>
      <c r="B840" s="165">
        <v>45383</v>
      </c>
      <c r="C840" s="57" t="str">
        <f>IF($B840="","",YEAR($B840)&amp;"-"&amp;IFERROR(VLOOKUP(MONTH(B840),KEY!$AE$5:$AF$16,2,FALSE),""))</f>
        <v>2024-Q2</v>
      </c>
      <c r="D840" s="3" t="s">
        <v>121</v>
      </c>
      <c r="E840" s="219">
        <v>69</v>
      </c>
      <c r="F840" s="166">
        <v>259</v>
      </c>
      <c r="G840" s="166">
        <v>205</v>
      </c>
      <c r="H840" s="21">
        <v>676</v>
      </c>
      <c r="I840" s="21">
        <v>83</v>
      </c>
      <c r="J840" s="21">
        <v>316</v>
      </c>
      <c r="K840" s="21">
        <v>40</v>
      </c>
      <c r="L840" s="21">
        <v>581</v>
      </c>
      <c r="M840" s="21">
        <v>169</v>
      </c>
      <c r="N840" s="21">
        <v>261</v>
      </c>
      <c r="O840" s="19">
        <v>462</v>
      </c>
      <c r="P840" s="22">
        <v>27</v>
      </c>
      <c r="Q840" s="22">
        <v>21</v>
      </c>
      <c r="R840" s="20"/>
      <c r="S840" s="234">
        <f>COUNTIFS(INP_DATA!$R$5:$R$3027,S$4,INP_DATA!$D$5:$D$3027,$D840,INP_DATA!$B$5:$B$3027,$B840)</f>
        <v>0</v>
      </c>
      <c r="T840" s="235">
        <f>COUNTIFS(INP_DATA!$R$5:$R$3027,T$4,INP_DATA!$D$5:$D$3027,$D840,INP_DATA!$B$5:$B$3027,$B840)</f>
        <v>0</v>
      </c>
    </row>
    <row r="841" spans="1:20" x14ac:dyDescent="0.35">
      <c r="A841" s="3" t="s">
        <v>108</v>
      </c>
      <c r="B841" s="165">
        <v>45383</v>
      </c>
      <c r="C841" s="57" t="str">
        <f>IF($B841="","",YEAR($B841)&amp;"-"&amp;IFERROR(VLOOKUP(MONTH(B841),KEY!$AE$5:$AF$16,2,FALSE),""))</f>
        <v>2024-Q2</v>
      </c>
      <c r="D841" s="3" t="s">
        <v>122</v>
      </c>
      <c r="E841" s="219">
        <v>1</v>
      </c>
      <c r="F841" s="166">
        <v>80</v>
      </c>
      <c r="G841" s="166">
        <v>96</v>
      </c>
      <c r="H841" s="21">
        <v>237</v>
      </c>
      <c r="I841" s="21">
        <v>34</v>
      </c>
      <c r="J841" s="21">
        <v>107</v>
      </c>
      <c r="K841" s="21">
        <v>9</v>
      </c>
      <c r="L841" s="21">
        <v>179</v>
      </c>
      <c r="M841" s="21">
        <v>56</v>
      </c>
      <c r="N841" s="21">
        <v>81</v>
      </c>
      <c r="O841" s="19">
        <v>220</v>
      </c>
      <c r="P841" s="22">
        <v>22</v>
      </c>
      <c r="Q841" s="22">
        <v>7</v>
      </c>
      <c r="R841" s="20"/>
      <c r="S841" s="234">
        <f>COUNTIFS(INP_DATA!$R$5:$R$3027,S$4,INP_DATA!$D$5:$D$3027,$D841,INP_DATA!$B$5:$B$3027,$B841)</f>
        <v>0</v>
      </c>
      <c r="T841" s="235">
        <f>COUNTIFS(INP_DATA!$R$5:$R$3027,T$4,INP_DATA!$D$5:$D$3027,$D841,INP_DATA!$B$5:$B$3027,$B841)</f>
        <v>0</v>
      </c>
    </row>
    <row r="842" spans="1:20" x14ac:dyDescent="0.35">
      <c r="A842" s="3" t="s">
        <v>107</v>
      </c>
      <c r="B842" s="165">
        <v>45383</v>
      </c>
      <c r="C842" s="57" t="str">
        <f>IF($B842="","",YEAR($B842)&amp;"-"&amp;IFERROR(VLOOKUP(MONTH(B842),KEY!$AE$5:$AF$16,2,FALSE),""))</f>
        <v>2024-Q2</v>
      </c>
      <c r="D842" s="3" t="s">
        <v>123</v>
      </c>
      <c r="E842" s="219">
        <v>49</v>
      </c>
      <c r="F842" s="166">
        <v>233</v>
      </c>
      <c r="G842" s="166">
        <v>222</v>
      </c>
      <c r="H842" s="21">
        <v>312</v>
      </c>
      <c r="I842" s="21">
        <v>55</v>
      </c>
      <c r="J842" s="21">
        <v>146</v>
      </c>
      <c r="K842" s="21">
        <v>36</v>
      </c>
      <c r="L842" s="21">
        <v>423</v>
      </c>
      <c r="M842" s="21">
        <v>183</v>
      </c>
      <c r="N842" s="21">
        <v>237</v>
      </c>
      <c r="O842" s="19">
        <v>418</v>
      </c>
      <c r="P842" s="22">
        <v>48</v>
      </c>
      <c r="Q842" s="22">
        <v>34</v>
      </c>
      <c r="R842" s="20"/>
      <c r="S842" s="234">
        <f>COUNTIFS(INP_DATA!$R$5:$R$3027,S$4,INP_DATA!$D$5:$D$3027,$D842,INP_DATA!$B$5:$B$3027,$B842)</f>
        <v>0</v>
      </c>
      <c r="T842" s="235">
        <f>COUNTIFS(INP_DATA!$R$5:$R$3027,T$4,INP_DATA!$D$5:$D$3027,$D842,INP_DATA!$B$5:$B$3027,$B842)</f>
        <v>0</v>
      </c>
    </row>
    <row r="843" spans="1:20" x14ac:dyDescent="0.35">
      <c r="A843" s="3" t="s">
        <v>108</v>
      </c>
      <c r="B843" s="165">
        <v>45383</v>
      </c>
      <c r="C843" s="57" t="str">
        <f>IF($B843="","",YEAR($B843)&amp;"-"&amp;IFERROR(VLOOKUP(MONTH(B843),KEY!$AE$5:$AF$16,2,FALSE),""))</f>
        <v>2024-Q2</v>
      </c>
      <c r="D843" s="3" t="s">
        <v>124</v>
      </c>
      <c r="E843" s="219">
        <v>82</v>
      </c>
      <c r="F843" s="166">
        <v>195</v>
      </c>
      <c r="G843" s="166">
        <v>230</v>
      </c>
      <c r="H843" s="21">
        <v>220</v>
      </c>
      <c r="I843" s="21">
        <v>46</v>
      </c>
      <c r="J843" s="21">
        <v>164</v>
      </c>
      <c r="K843" s="21">
        <v>25</v>
      </c>
      <c r="L843" s="21">
        <v>359</v>
      </c>
      <c r="M843" s="21">
        <v>124</v>
      </c>
      <c r="N843" s="21">
        <v>198</v>
      </c>
      <c r="O843" s="19">
        <v>484</v>
      </c>
      <c r="P843" s="22">
        <v>78</v>
      </c>
      <c r="Q843" s="22">
        <v>51</v>
      </c>
      <c r="R843" s="20"/>
      <c r="S843" s="234">
        <f>COUNTIFS(INP_DATA!$R$5:$R$3027,S$4,INP_DATA!$D$5:$D$3027,$D843,INP_DATA!$B$5:$B$3027,$B843)</f>
        <v>0</v>
      </c>
      <c r="T843" s="235">
        <f>COUNTIFS(INP_DATA!$R$5:$R$3027,T$4,INP_DATA!$D$5:$D$3027,$D843,INP_DATA!$B$5:$B$3027,$B843)</f>
        <v>0</v>
      </c>
    </row>
    <row r="844" spans="1:20" x14ac:dyDescent="0.35">
      <c r="A844" s="3" t="s">
        <v>106</v>
      </c>
      <c r="B844" s="165">
        <v>45383</v>
      </c>
      <c r="C844" s="57" t="str">
        <f>IF($B844="","",YEAR($B844)&amp;"-"&amp;IFERROR(VLOOKUP(MONTH(B844),KEY!$AE$5:$AF$16,2,FALSE),""))</f>
        <v>2024-Q2</v>
      </c>
      <c r="D844" s="3" t="s">
        <v>195</v>
      </c>
      <c r="E844" s="219">
        <v>4</v>
      </c>
      <c r="F844" s="166">
        <v>48</v>
      </c>
      <c r="G844" s="166">
        <v>43</v>
      </c>
      <c r="H844" s="21">
        <v>107</v>
      </c>
      <c r="I844" s="21">
        <v>20</v>
      </c>
      <c r="J844" s="21">
        <v>18</v>
      </c>
      <c r="K844" s="21">
        <v>4</v>
      </c>
      <c r="L844" s="21">
        <v>120</v>
      </c>
      <c r="M844" s="21">
        <v>35</v>
      </c>
      <c r="N844" s="21">
        <v>50</v>
      </c>
      <c r="O844" s="19">
        <v>132</v>
      </c>
      <c r="P844" s="22">
        <v>8</v>
      </c>
      <c r="Q844" s="22">
        <v>6</v>
      </c>
      <c r="R844" s="20"/>
      <c r="S844" s="234">
        <f>COUNTIFS(INP_DATA!$R$5:$R$3027,S$4,INP_DATA!$D$5:$D$3027,$D844,INP_DATA!$B$5:$B$3027,$B844)</f>
        <v>0</v>
      </c>
      <c r="T844" s="235">
        <f>COUNTIFS(INP_DATA!$R$5:$R$3027,T$4,INP_DATA!$D$5:$D$3027,$D844,INP_DATA!$B$5:$B$3027,$B844)</f>
        <v>0</v>
      </c>
    </row>
    <row r="845" spans="1:20" x14ac:dyDescent="0.35">
      <c r="A845" s="3" t="s">
        <v>106</v>
      </c>
      <c r="B845" s="165">
        <v>45383</v>
      </c>
      <c r="C845" s="57" t="str">
        <f>IF($B845="","",YEAR($B845)&amp;"-"&amp;IFERROR(VLOOKUP(MONTH(B845),KEY!$AE$5:$AF$16,2,FALSE),""))</f>
        <v>2024-Q2</v>
      </c>
      <c r="D845" s="3" t="s">
        <v>125</v>
      </c>
      <c r="E845" s="219">
        <v>40</v>
      </c>
      <c r="F845" s="166">
        <v>260</v>
      </c>
      <c r="G845" s="166">
        <v>239</v>
      </c>
      <c r="H845" s="21">
        <v>426</v>
      </c>
      <c r="I845" s="21">
        <v>51</v>
      </c>
      <c r="J845" s="21">
        <v>133</v>
      </c>
      <c r="K845" s="21">
        <v>25</v>
      </c>
      <c r="L845" s="21">
        <v>401</v>
      </c>
      <c r="M845" s="21">
        <v>99</v>
      </c>
      <c r="N845" s="21">
        <v>269</v>
      </c>
      <c r="O845" s="19">
        <v>374</v>
      </c>
      <c r="P845" s="22">
        <v>45</v>
      </c>
      <c r="Q845" s="22">
        <v>30</v>
      </c>
      <c r="R845" s="20"/>
      <c r="S845" s="234">
        <f>COUNTIFS(INP_DATA!$R$5:$R$3027,S$4,INP_DATA!$D$5:$D$3027,$D845,INP_DATA!$B$5:$B$3027,$B845)</f>
        <v>0</v>
      </c>
      <c r="T845" s="235">
        <f>COUNTIFS(INP_DATA!$R$5:$R$3027,T$4,INP_DATA!$D$5:$D$3027,$D845,INP_DATA!$B$5:$B$3027,$B845)</f>
        <v>0</v>
      </c>
    </row>
    <row r="846" spans="1:20" x14ac:dyDescent="0.35">
      <c r="A846" s="3" t="s">
        <v>107</v>
      </c>
      <c r="B846" s="165">
        <v>45383</v>
      </c>
      <c r="C846" s="57" t="str">
        <f>IF($B846="","",YEAR($B846)&amp;"-"&amp;IFERROR(VLOOKUP(MONTH(B846),KEY!$AE$5:$AF$16,2,FALSE),""))</f>
        <v>2024-Q2</v>
      </c>
      <c r="D846" s="3" t="s">
        <v>126</v>
      </c>
      <c r="E846" s="219">
        <v>104</v>
      </c>
      <c r="F846" s="166">
        <v>435</v>
      </c>
      <c r="G846" s="166">
        <v>563</v>
      </c>
      <c r="H846" s="21">
        <v>508</v>
      </c>
      <c r="I846" s="21">
        <v>91</v>
      </c>
      <c r="J846" s="21">
        <v>302</v>
      </c>
      <c r="K846" s="21">
        <v>73</v>
      </c>
      <c r="L846" s="21">
        <v>674</v>
      </c>
      <c r="M846" s="21">
        <v>261</v>
      </c>
      <c r="N846" s="21">
        <v>441</v>
      </c>
      <c r="O846" s="19">
        <v>616</v>
      </c>
      <c r="P846" s="22">
        <v>201</v>
      </c>
      <c r="Q846" s="22">
        <v>129</v>
      </c>
      <c r="R846" s="20"/>
      <c r="S846" s="234">
        <f>COUNTIFS(INP_DATA!$R$5:$R$3027,S$4,INP_DATA!$D$5:$D$3027,$D846,INP_DATA!$B$5:$B$3027,$B846)</f>
        <v>0</v>
      </c>
      <c r="T846" s="235">
        <f>COUNTIFS(INP_DATA!$R$5:$R$3027,T$4,INP_DATA!$D$5:$D$3027,$D846,INP_DATA!$B$5:$B$3027,$B846)</f>
        <v>0</v>
      </c>
    </row>
    <row r="847" spans="1:20" x14ac:dyDescent="0.35">
      <c r="A847" s="3" t="s">
        <v>107</v>
      </c>
      <c r="B847" s="165">
        <v>45383</v>
      </c>
      <c r="C847" s="57" t="str">
        <f>IF($B847="","",YEAR($B847)&amp;"-"&amp;IFERROR(VLOOKUP(MONTH(B847),KEY!$AE$5:$AF$16,2,FALSE),""))</f>
        <v>2024-Q2</v>
      </c>
      <c r="D847" s="3" t="s">
        <v>127</v>
      </c>
      <c r="E847" s="219">
        <v>10</v>
      </c>
      <c r="F847" s="166">
        <v>39</v>
      </c>
      <c r="G847" s="166">
        <v>48</v>
      </c>
      <c r="H847" s="21">
        <v>105</v>
      </c>
      <c r="I847" s="21">
        <v>10</v>
      </c>
      <c r="J847" s="21">
        <v>27</v>
      </c>
      <c r="K847" s="21">
        <v>8</v>
      </c>
      <c r="L847" s="21">
        <v>68</v>
      </c>
      <c r="M847" s="21">
        <v>33</v>
      </c>
      <c r="N847" s="21">
        <v>39</v>
      </c>
      <c r="O847" s="19">
        <v>110</v>
      </c>
      <c r="P847" s="22">
        <v>15</v>
      </c>
      <c r="Q847" s="22">
        <v>9</v>
      </c>
      <c r="R847" s="20"/>
      <c r="S847" s="234">
        <f>COUNTIFS(INP_DATA!$R$5:$R$3027,S$4,INP_DATA!$D$5:$D$3027,$D847,INP_DATA!$B$5:$B$3027,$B847)</f>
        <v>0</v>
      </c>
      <c r="T847" s="235">
        <f>COUNTIFS(INP_DATA!$R$5:$R$3027,T$4,INP_DATA!$D$5:$D$3027,$D847,INP_DATA!$B$5:$B$3027,$B847)</f>
        <v>0</v>
      </c>
    </row>
    <row r="848" spans="1:20" x14ac:dyDescent="0.35">
      <c r="A848" s="3" t="s">
        <v>109</v>
      </c>
      <c r="B848" s="165">
        <v>45383</v>
      </c>
      <c r="C848" s="57" t="str">
        <f>IF($B848="","",YEAR($B848)&amp;"-"&amp;IFERROR(VLOOKUP(MONTH(B848),KEY!$AE$5:$AF$16,2,FALSE),""))</f>
        <v>2024-Q2</v>
      </c>
      <c r="D848" s="3" t="s">
        <v>128</v>
      </c>
      <c r="E848" s="219">
        <v>15</v>
      </c>
      <c r="F848" s="166">
        <v>224</v>
      </c>
      <c r="G848" s="166">
        <v>265</v>
      </c>
      <c r="H848" s="21">
        <v>708</v>
      </c>
      <c r="I848" s="21">
        <v>83</v>
      </c>
      <c r="J848" s="21">
        <v>340</v>
      </c>
      <c r="K848" s="21">
        <v>42</v>
      </c>
      <c r="L848" s="21">
        <v>331</v>
      </c>
      <c r="M848" s="21">
        <v>120</v>
      </c>
      <c r="N848" s="21">
        <v>227</v>
      </c>
      <c r="O848" s="19">
        <v>242</v>
      </c>
      <c r="P848" s="22">
        <v>0</v>
      </c>
      <c r="Q848" s="22">
        <v>0</v>
      </c>
      <c r="R848" s="20"/>
      <c r="S848" s="234">
        <f>COUNTIFS(INP_DATA!$R$5:$R$3027,S$4,INP_DATA!$D$5:$D$3027,$D848,INP_DATA!$B$5:$B$3027,$B848)</f>
        <v>0</v>
      </c>
      <c r="T848" s="235">
        <f>COUNTIFS(INP_DATA!$R$5:$R$3027,T$4,INP_DATA!$D$5:$D$3027,$D848,INP_DATA!$B$5:$B$3027,$B848)</f>
        <v>0</v>
      </c>
    </row>
    <row r="849" spans="1:20" x14ac:dyDescent="0.35">
      <c r="A849" s="3" t="s">
        <v>106</v>
      </c>
      <c r="B849" s="165">
        <v>45383</v>
      </c>
      <c r="C849" s="57" t="str">
        <f>IF($B849="","",YEAR($B849)&amp;"-"&amp;IFERROR(VLOOKUP(MONTH(B849),KEY!$AE$5:$AF$16,2,FALSE),""))</f>
        <v>2024-Q2</v>
      </c>
      <c r="D849" s="3" t="s">
        <v>129</v>
      </c>
      <c r="E849" s="219">
        <v>20</v>
      </c>
      <c r="F849" s="166">
        <v>185</v>
      </c>
      <c r="G849" s="166">
        <v>182</v>
      </c>
      <c r="H849" s="21">
        <v>238</v>
      </c>
      <c r="I849" s="21">
        <v>31</v>
      </c>
      <c r="J849" s="21">
        <v>171</v>
      </c>
      <c r="K849" s="21">
        <v>40</v>
      </c>
      <c r="L849" s="21">
        <v>257</v>
      </c>
      <c r="M849" s="21">
        <v>77</v>
      </c>
      <c r="N849" s="21">
        <v>189</v>
      </c>
      <c r="O849" s="19">
        <v>374</v>
      </c>
      <c r="P849" s="22">
        <v>50</v>
      </c>
      <c r="Q849" s="22">
        <v>34</v>
      </c>
      <c r="R849" s="20"/>
      <c r="S849" s="234">
        <f>COUNTIFS(INP_DATA!$R$5:$R$3027,S$4,INP_DATA!$D$5:$D$3027,$D849,INP_DATA!$B$5:$B$3027,$B849)</f>
        <v>0</v>
      </c>
      <c r="T849" s="235">
        <f>COUNTIFS(INP_DATA!$R$5:$R$3027,T$4,INP_DATA!$D$5:$D$3027,$D849,INP_DATA!$B$5:$B$3027,$B849)</f>
        <v>0</v>
      </c>
    </row>
    <row r="850" spans="1:20" x14ac:dyDescent="0.35">
      <c r="A850" s="3" t="s">
        <v>108</v>
      </c>
      <c r="B850" s="165">
        <v>45383</v>
      </c>
      <c r="C850" s="57" t="str">
        <f>IF($B850="","",YEAR($B850)&amp;"-"&amp;IFERROR(VLOOKUP(MONTH(B850),KEY!$AE$5:$AF$16,2,FALSE),""))</f>
        <v>2024-Q2</v>
      </c>
      <c r="D850" s="3" t="s">
        <v>130</v>
      </c>
      <c r="E850" s="219">
        <v>20</v>
      </c>
      <c r="F850" s="166">
        <v>116</v>
      </c>
      <c r="G850" s="166">
        <v>149</v>
      </c>
      <c r="H850" s="21">
        <v>230</v>
      </c>
      <c r="I850" s="21">
        <v>33</v>
      </c>
      <c r="J850" s="21">
        <v>119</v>
      </c>
      <c r="K850" s="21">
        <v>30</v>
      </c>
      <c r="L850" s="21">
        <v>164</v>
      </c>
      <c r="M850" s="21">
        <v>67</v>
      </c>
      <c r="N850" s="21">
        <v>120</v>
      </c>
      <c r="O850" s="19">
        <v>198</v>
      </c>
      <c r="P850" s="22">
        <v>63</v>
      </c>
      <c r="Q850" s="22">
        <v>43</v>
      </c>
      <c r="R850" s="20"/>
      <c r="S850" s="234">
        <f>COUNTIFS(INP_DATA!$R$5:$R$3027,S$4,INP_DATA!$D$5:$D$3027,$D850,INP_DATA!$B$5:$B$3027,$B850)</f>
        <v>0</v>
      </c>
      <c r="T850" s="235">
        <f>COUNTIFS(INP_DATA!$R$5:$R$3027,T$4,INP_DATA!$D$5:$D$3027,$D850,INP_DATA!$B$5:$B$3027,$B850)</f>
        <v>0</v>
      </c>
    </row>
    <row r="851" spans="1:20" x14ac:dyDescent="0.35">
      <c r="A851" s="3" t="s">
        <v>109</v>
      </c>
      <c r="B851" s="165">
        <v>45383</v>
      </c>
      <c r="C851" s="57" t="str">
        <f>IF($B851="","",YEAR($B851)&amp;"-"&amp;IFERROR(VLOOKUP(MONTH(B851),KEY!$AE$5:$AF$16,2,FALSE),""))</f>
        <v>2024-Q2</v>
      </c>
      <c r="D851" s="3" t="s">
        <v>131</v>
      </c>
      <c r="E851" s="219">
        <v>46</v>
      </c>
      <c r="F851" s="166">
        <v>163</v>
      </c>
      <c r="G851" s="166">
        <v>200</v>
      </c>
      <c r="H851" s="21">
        <v>136</v>
      </c>
      <c r="I851" s="21">
        <v>18</v>
      </c>
      <c r="J851" s="21">
        <v>79</v>
      </c>
      <c r="K851" s="21">
        <v>12</v>
      </c>
      <c r="L851" s="21">
        <v>268</v>
      </c>
      <c r="M851" s="21">
        <v>66</v>
      </c>
      <c r="N851" s="21">
        <v>174</v>
      </c>
      <c r="O851" s="19">
        <v>264</v>
      </c>
      <c r="P851" s="22">
        <v>9</v>
      </c>
      <c r="Q851" s="22">
        <v>6</v>
      </c>
      <c r="R851" s="20"/>
      <c r="S851" s="234">
        <f>COUNTIFS(INP_DATA!$R$5:$R$3027,S$4,INP_DATA!$D$5:$D$3027,$D851,INP_DATA!$B$5:$B$3027,$B851)</f>
        <v>0</v>
      </c>
      <c r="T851" s="235">
        <f>COUNTIFS(INP_DATA!$R$5:$R$3027,T$4,INP_DATA!$D$5:$D$3027,$D851,INP_DATA!$B$5:$B$3027,$B851)</f>
        <v>0</v>
      </c>
    </row>
    <row r="852" spans="1:20" x14ac:dyDescent="0.35">
      <c r="A852" s="3" t="s">
        <v>108</v>
      </c>
      <c r="B852" s="165">
        <v>45383</v>
      </c>
      <c r="C852" s="57" t="str">
        <f>IF($B852="","",YEAR($B852)&amp;"-"&amp;IFERROR(VLOOKUP(MONTH(B852),KEY!$AE$5:$AF$16,2,FALSE),""))</f>
        <v>2024-Q2</v>
      </c>
      <c r="D852" s="3" t="s">
        <v>134</v>
      </c>
      <c r="E852" s="219">
        <v>10</v>
      </c>
      <c r="F852" s="166">
        <v>30</v>
      </c>
      <c r="G852" s="166">
        <v>44</v>
      </c>
      <c r="H852" s="21">
        <v>38</v>
      </c>
      <c r="I852" s="21">
        <v>8</v>
      </c>
      <c r="J852" s="21">
        <v>27</v>
      </c>
      <c r="K852" s="21">
        <v>6</v>
      </c>
      <c r="L852" s="21">
        <v>37</v>
      </c>
      <c r="M852" s="21">
        <v>21</v>
      </c>
      <c r="N852" s="21">
        <v>31</v>
      </c>
      <c r="O852" s="19">
        <v>66</v>
      </c>
      <c r="P852" s="22">
        <v>21</v>
      </c>
      <c r="Q852" s="22">
        <v>15</v>
      </c>
      <c r="R852" s="20"/>
      <c r="S852" s="234">
        <f>COUNTIFS(INP_DATA!$R$5:$R$3027,S$4,INP_DATA!$D$5:$D$3027,$D852,INP_DATA!$B$5:$B$3027,$B852)</f>
        <v>0</v>
      </c>
      <c r="T852" s="235">
        <f>COUNTIFS(INP_DATA!$R$5:$R$3027,T$4,INP_DATA!$D$5:$D$3027,$D852,INP_DATA!$B$5:$B$3027,$B852)</f>
        <v>0</v>
      </c>
    </row>
    <row r="853" spans="1:20" x14ac:dyDescent="0.35">
      <c r="A853" s="3" t="s">
        <v>108</v>
      </c>
      <c r="B853" s="165">
        <v>45383</v>
      </c>
      <c r="C853" s="57" t="str">
        <f>IF($B853="","",YEAR($B853)&amp;"-"&amp;IFERROR(VLOOKUP(MONTH(B853),KEY!$AE$5:$AF$16,2,FALSE),""))</f>
        <v>2024-Q2</v>
      </c>
      <c r="D853" s="3" t="s">
        <v>135</v>
      </c>
      <c r="E853" s="219">
        <v>56</v>
      </c>
      <c r="F853" s="166">
        <v>261</v>
      </c>
      <c r="G853" s="166">
        <v>172</v>
      </c>
      <c r="H853" s="21">
        <v>481</v>
      </c>
      <c r="I853" s="21">
        <v>60</v>
      </c>
      <c r="J853" s="21">
        <v>212</v>
      </c>
      <c r="K853" s="21">
        <v>49</v>
      </c>
      <c r="L853" s="21">
        <v>556</v>
      </c>
      <c r="M853" s="21">
        <v>134</v>
      </c>
      <c r="N853" s="21">
        <v>264</v>
      </c>
      <c r="O853" s="19">
        <v>352</v>
      </c>
      <c r="P853" s="22">
        <v>52</v>
      </c>
      <c r="Q853" s="22">
        <v>34</v>
      </c>
      <c r="R853" s="20"/>
      <c r="S853" s="234">
        <f>COUNTIFS(INP_DATA!$R$5:$R$3027,S$4,INP_DATA!$D$5:$D$3027,$D853,INP_DATA!$B$5:$B$3027,$B853)</f>
        <v>0</v>
      </c>
      <c r="T853" s="235">
        <f>COUNTIFS(INP_DATA!$R$5:$R$3027,T$4,INP_DATA!$D$5:$D$3027,$D853,INP_DATA!$B$5:$B$3027,$B853)</f>
        <v>0</v>
      </c>
    </row>
    <row r="854" spans="1:20" x14ac:dyDescent="0.35">
      <c r="A854" s="3" t="s">
        <v>16</v>
      </c>
      <c r="B854" s="165">
        <v>45383</v>
      </c>
      <c r="C854" s="57" t="str">
        <f>IF($B854="","",YEAR($B854)&amp;"-"&amp;IFERROR(VLOOKUP(MONTH(B854),KEY!$AE$5:$AF$16,2,FALSE),""))</f>
        <v>2024-Q2</v>
      </c>
      <c r="D854" s="3" t="s">
        <v>196</v>
      </c>
      <c r="E854" s="219">
        <v>16</v>
      </c>
      <c r="F854" s="166">
        <v>55</v>
      </c>
      <c r="G854" s="166">
        <v>28</v>
      </c>
      <c r="H854" s="21">
        <v>51</v>
      </c>
      <c r="I854" s="21">
        <v>17</v>
      </c>
      <c r="J854" s="21">
        <v>46</v>
      </c>
      <c r="K854" s="21">
        <v>11</v>
      </c>
      <c r="L854" s="21">
        <v>118</v>
      </c>
      <c r="M854" s="21">
        <v>43</v>
      </c>
      <c r="N854" s="21">
        <v>57</v>
      </c>
      <c r="O854" s="19">
        <v>110</v>
      </c>
      <c r="P854" s="22">
        <v>8</v>
      </c>
      <c r="Q854" s="22">
        <v>3</v>
      </c>
      <c r="R854" s="20"/>
      <c r="S854" s="234">
        <f>COUNTIFS(INP_DATA!$R$5:$R$3027,S$4,INP_DATA!$D$5:$D$3027,$D854,INP_DATA!$B$5:$B$3027,$B854)</f>
        <v>0</v>
      </c>
      <c r="T854" s="235">
        <f>COUNTIFS(INP_DATA!$R$5:$R$3027,T$4,INP_DATA!$D$5:$D$3027,$D854,INP_DATA!$B$5:$B$3027,$B854)</f>
        <v>0</v>
      </c>
    </row>
    <row r="855" spans="1:20" x14ac:dyDescent="0.35">
      <c r="A855" s="3" t="s">
        <v>16</v>
      </c>
      <c r="B855" s="165">
        <v>45383</v>
      </c>
      <c r="C855" s="57" t="str">
        <f>IF($B855="","",YEAR($B855)&amp;"-"&amp;IFERROR(VLOOKUP(MONTH(B855),KEY!$AE$5:$AF$16,2,FALSE),""))</f>
        <v>2024-Q2</v>
      </c>
      <c r="D855" s="3" t="s">
        <v>197</v>
      </c>
      <c r="E855" s="219">
        <v>21</v>
      </c>
      <c r="F855" s="166">
        <v>83</v>
      </c>
      <c r="G855" s="166">
        <v>114</v>
      </c>
      <c r="H855" s="21">
        <v>130</v>
      </c>
      <c r="I855" s="21">
        <v>20</v>
      </c>
      <c r="J855" s="21">
        <v>105</v>
      </c>
      <c r="K855" s="21">
        <v>25</v>
      </c>
      <c r="L855" s="21">
        <v>153</v>
      </c>
      <c r="M855" s="21">
        <v>64</v>
      </c>
      <c r="N855" s="21">
        <v>84</v>
      </c>
      <c r="O855" s="19">
        <v>220</v>
      </c>
      <c r="P855" s="22">
        <v>12</v>
      </c>
      <c r="Q855" s="22">
        <v>10</v>
      </c>
      <c r="R855" s="20"/>
      <c r="S855" s="234">
        <f>COUNTIFS(INP_DATA!$R$5:$R$3027,S$4,INP_DATA!$D$5:$D$3027,$D855,INP_DATA!$B$5:$B$3027,$B855)</f>
        <v>0</v>
      </c>
      <c r="T855" s="235">
        <f>COUNTIFS(INP_DATA!$R$5:$R$3027,T$4,INP_DATA!$D$5:$D$3027,$D855,INP_DATA!$B$5:$B$3027,$B855)</f>
        <v>0</v>
      </c>
    </row>
    <row r="856" spans="1:20" x14ac:dyDescent="0.35">
      <c r="A856" s="3" t="s">
        <v>109</v>
      </c>
      <c r="B856" s="165">
        <v>45383</v>
      </c>
      <c r="C856" s="57" t="str">
        <f>IF($B856="","",YEAR($B856)&amp;"-"&amp;IFERROR(VLOOKUP(MONTH(B856),KEY!$AE$5:$AF$16,2,FALSE),""))</f>
        <v>2024-Q2</v>
      </c>
      <c r="D856" s="3" t="s">
        <v>136</v>
      </c>
      <c r="E856" s="219">
        <v>65</v>
      </c>
      <c r="F856" s="166">
        <v>259</v>
      </c>
      <c r="G856" s="166">
        <v>247</v>
      </c>
      <c r="H856" s="21">
        <v>389</v>
      </c>
      <c r="I856" s="21">
        <v>64</v>
      </c>
      <c r="J856" s="21">
        <v>265</v>
      </c>
      <c r="K856" s="21">
        <v>41</v>
      </c>
      <c r="L856" s="21">
        <v>329</v>
      </c>
      <c r="M856" s="21">
        <v>140</v>
      </c>
      <c r="N856" s="21">
        <v>259</v>
      </c>
      <c r="O856" s="19">
        <v>330</v>
      </c>
      <c r="P856" s="22">
        <v>25</v>
      </c>
      <c r="Q856" s="22">
        <v>21</v>
      </c>
      <c r="R856" s="20"/>
      <c r="S856" s="234">
        <f>COUNTIFS(INP_DATA!$R$5:$R$3027,S$4,INP_DATA!$D$5:$D$3027,$D856,INP_DATA!$B$5:$B$3027,$B856)</f>
        <v>0</v>
      </c>
      <c r="T856" s="235">
        <f>COUNTIFS(INP_DATA!$R$5:$R$3027,T$4,INP_DATA!$D$5:$D$3027,$D856,INP_DATA!$B$5:$B$3027,$B856)</f>
        <v>0</v>
      </c>
    </row>
    <row r="857" spans="1:20" x14ac:dyDescent="0.35">
      <c r="A857" s="3" t="s">
        <v>16</v>
      </c>
      <c r="B857" s="165">
        <v>45383</v>
      </c>
      <c r="C857" s="57" t="str">
        <f>IF($B857="","",YEAR($B857)&amp;"-"&amp;IFERROR(VLOOKUP(MONTH(B857),KEY!$AE$5:$AF$16,2,FALSE),""))</f>
        <v>2024-Q2</v>
      </c>
      <c r="D857" s="3" t="s">
        <v>137</v>
      </c>
      <c r="E857" s="219">
        <v>18</v>
      </c>
      <c r="F857" s="166">
        <v>94</v>
      </c>
      <c r="G857" s="166">
        <v>83</v>
      </c>
      <c r="H857" s="21">
        <v>209</v>
      </c>
      <c r="I857" s="21">
        <v>26</v>
      </c>
      <c r="J857" s="21">
        <v>160</v>
      </c>
      <c r="K857" s="21">
        <v>37</v>
      </c>
      <c r="L857" s="21">
        <v>152</v>
      </c>
      <c r="M857" s="21">
        <v>73</v>
      </c>
      <c r="N857" s="21">
        <v>95</v>
      </c>
      <c r="O857" s="19">
        <v>198</v>
      </c>
      <c r="P857" s="22">
        <v>15</v>
      </c>
      <c r="Q857" s="22">
        <v>5</v>
      </c>
      <c r="R857" s="20"/>
      <c r="S857" s="234">
        <f>COUNTIFS(INP_DATA!$R$5:$R$3027,S$4,INP_DATA!$D$5:$D$3027,$D857,INP_DATA!$B$5:$B$3027,$B857)</f>
        <v>0</v>
      </c>
      <c r="T857" s="235">
        <f>COUNTIFS(INP_DATA!$R$5:$R$3027,T$4,INP_DATA!$D$5:$D$3027,$D857,INP_DATA!$B$5:$B$3027,$B857)</f>
        <v>0</v>
      </c>
    </row>
    <row r="858" spans="1:20" x14ac:dyDescent="0.35">
      <c r="A858" s="3" t="s">
        <v>109</v>
      </c>
      <c r="B858" s="165">
        <v>45383</v>
      </c>
      <c r="C858" s="57" t="str">
        <f>IF($B858="","",YEAR($B858)&amp;"-"&amp;IFERROR(VLOOKUP(MONTH(B858),KEY!$AE$5:$AF$16,2,FALSE),""))</f>
        <v>2024-Q2</v>
      </c>
      <c r="D858" s="3" t="s">
        <v>138</v>
      </c>
      <c r="E858" s="219">
        <v>29</v>
      </c>
      <c r="F858" s="166">
        <v>133</v>
      </c>
      <c r="G858" s="166">
        <v>114</v>
      </c>
      <c r="H858" s="21">
        <v>137</v>
      </c>
      <c r="I858" s="21">
        <v>29</v>
      </c>
      <c r="J858" s="21">
        <v>138</v>
      </c>
      <c r="K858" s="21">
        <v>32</v>
      </c>
      <c r="L858" s="21">
        <v>279</v>
      </c>
      <c r="M858" s="21">
        <v>102</v>
      </c>
      <c r="N858" s="21">
        <v>132</v>
      </c>
      <c r="O858" s="19">
        <v>198</v>
      </c>
      <c r="P858" s="22">
        <v>17</v>
      </c>
      <c r="Q858" s="22">
        <v>13</v>
      </c>
      <c r="R858" s="20"/>
      <c r="S858" s="234">
        <f>COUNTIFS(INP_DATA!$R$5:$R$3027,S$4,INP_DATA!$D$5:$D$3027,$D858,INP_DATA!$B$5:$B$3027,$B858)</f>
        <v>0</v>
      </c>
      <c r="T858" s="235">
        <f>COUNTIFS(INP_DATA!$R$5:$R$3027,T$4,INP_DATA!$D$5:$D$3027,$D858,INP_DATA!$B$5:$B$3027,$B858)</f>
        <v>0</v>
      </c>
    </row>
    <row r="859" spans="1:20" x14ac:dyDescent="0.35">
      <c r="A859" s="3" t="s">
        <v>108</v>
      </c>
      <c r="B859" s="165">
        <v>45383</v>
      </c>
      <c r="C859" s="57" t="str">
        <f>IF($B859="","",YEAR($B859)&amp;"-"&amp;IFERROR(VLOOKUP(MONTH(B859),KEY!$AE$5:$AF$16,2,FALSE),""))</f>
        <v>2024-Q2</v>
      </c>
      <c r="D859" s="3" t="s">
        <v>139</v>
      </c>
      <c r="E859" s="219">
        <v>43</v>
      </c>
      <c r="F859" s="166">
        <v>210</v>
      </c>
      <c r="G859" s="166">
        <v>180</v>
      </c>
      <c r="H859" s="21">
        <v>384</v>
      </c>
      <c r="I859" s="21">
        <v>63</v>
      </c>
      <c r="J859" s="21">
        <v>107</v>
      </c>
      <c r="K859" s="21">
        <v>31</v>
      </c>
      <c r="L859" s="21">
        <v>606</v>
      </c>
      <c r="M859" s="21">
        <v>152</v>
      </c>
      <c r="N859" s="21">
        <v>214</v>
      </c>
      <c r="O859" s="19">
        <v>286</v>
      </c>
      <c r="P859" s="22">
        <v>70</v>
      </c>
      <c r="Q859" s="22">
        <v>52</v>
      </c>
      <c r="R859" s="20"/>
      <c r="S859" s="234">
        <f>COUNTIFS(INP_DATA!$R$5:$R$3027,S$4,INP_DATA!$D$5:$D$3027,$D859,INP_DATA!$B$5:$B$3027,$B859)</f>
        <v>0</v>
      </c>
      <c r="T859" s="235">
        <f>COUNTIFS(INP_DATA!$R$5:$R$3027,T$4,INP_DATA!$D$5:$D$3027,$D859,INP_DATA!$B$5:$B$3027,$B859)</f>
        <v>0</v>
      </c>
    </row>
    <row r="860" spans="1:20" x14ac:dyDescent="0.35">
      <c r="A860" s="3" t="s">
        <v>107</v>
      </c>
      <c r="B860" s="165">
        <v>45383</v>
      </c>
      <c r="C860" s="57" t="str">
        <f>IF($B860="","",YEAR($B860)&amp;"-"&amp;IFERROR(VLOOKUP(MONTH(B860),KEY!$AE$5:$AF$16,2,FALSE),""))</f>
        <v>2024-Q2</v>
      </c>
      <c r="D860" s="3" t="s">
        <v>140</v>
      </c>
      <c r="E860" s="219">
        <v>7</v>
      </c>
      <c r="F860" s="166">
        <v>31</v>
      </c>
      <c r="G860" s="166">
        <v>31</v>
      </c>
      <c r="H860" s="21">
        <v>53</v>
      </c>
      <c r="I860" s="21">
        <v>14</v>
      </c>
      <c r="J860" s="21">
        <v>27</v>
      </c>
      <c r="K860" s="21">
        <v>7</v>
      </c>
      <c r="L860" s="21">
        <v>55</v>
      </c>
      <c r="M860" s="21">
        <v>28</v>
      </c>
      <c r="N860" s="21">
        <v>33</v>
      </c>
      <c r="O860" s="19">
        <v>88</v>
      </c>
      <c r="P860" s="22">
        <v>9</v>
      </c>
      <c r="Q860" s="22">
        <v>6</v>
      </c>
      <c r="R860" s="20"/>
      <c r="S860" s="234">
        <f>COUNTIFS(INP_DATA!$R$5:$R$3027,S$4,INP_DATA!$D$5:$D$3027,$D860,INP_DATA!$B$5:$B$3027,$B860)</f>
        <v>0</v>
      </c>
      <c r="T860" s="235">
        <f>COUNTIFS(INP_DATA!$R$5:$R$3027,T$4,INP_DATA!$D$5:$D$3027,$D860,INP_DATA!$B$5:$B$3027,$B860)</f>
        <v>0</v>
      </c>
    </row>
    <row r="861" spans="1:20" x14ac:dyDescent="0.35">
      <c r="A861" s="3" t="s">
        <v>108</v>
      </c>
      <c r="B861" s="165">
        <v>45383</v>
      </c>
      <c r="C861" s="57" t="str">
        <f>IF($B861="","",YEAR($B861)&amp;"-"&amp;IFERROR(VLOOKUP(MONTH(B861),KEY!$AE$5:$AF$16,2,FALSE),""))</f>
        <v>2024-Q2</v>
      </c>
      <c r="D861" s="3" t="s">
        <v>142</v>
      </c>
      <c r="E861" s="219">
        <v>25</v>
      </c>
      <c r="F861" s="166">
        <v>85</v>
      </c>
      <c r="G861" s="166">
        <v>71</v>
      </c>
      <c r="H861" s="21">
        <v>160</v>
      </c>
      <c r="I861" s="21">
        <v>28</v>
      </c>
      <c r="J861" s="21">
        <v>48</v>
      </c>
      <c r="K861" s="21">
        <v>13</v>
      </c>
      <c r="L861" s="21">
        <v>134</v>
      </c>
      <c r="M861" s="21">
        <v>53</v>
      </c>
      <c r="N861" s="21">
        <v>86</v>
      </c>
      <c r="O861" s="19">
        <v>88</v>
      </c>
      <c r="P861" s="22">
        <v>33</v>
      </c>
      <c r="Q861" s="22">
        <v>19</v>
      </c>
      <c r="R861" s="20"/>
      <c r="S861" s="234">
        <f>COUNTIFS(INP_DATA!$R$5:$R$3027,S$4,INP_DATA!$D$5:$D$3027,$D861,INP_DATA!$B$5:$B$3027,$B861)</f>
        <v>0</v>
      </c>
      <c r="T861" s="235">
        <f>COUNTIFS(INP_DATA!$R$5:$R$3027,T$4,INP_DATA!$D$5:$D$3027,$D861,INP_DATA!$B$5:$B$3027,$B861)</f>
        <v>0</v>
      </c>
    </row>
    <row r="862" spans="1:20" x14ac:dyDescent="0.35">
      <c r="A862" s="3" t="s">
        <v>16</v>
      </c>
      <c r="B862" s="165">
        <v>45383</v>
      </c>
      <c r="C862" s="57" t="str">
        <f>IF($B862="","",YEAR($B862)&amp;"-"&amp;IFERROR(VLOOKUP(MONTH(B862),KEY!$AE$5:$AF$16,2,FALSE),""))</f>
        <v>2024-Q2</v>
      </c>
      <c r="D862" s="3" t="s">
        <v>143</v>
      </c>
      <c r="E862" s="219">
        <v>10</v>
      </c>
      <c r="F862" s="166">
        <v>59</v>
      </c>
      <c r="G862" s="166">
        <v>67</v>
      </c>
      <c r="H862" s="21">
        <v>116</v>
      </c>
      <c r="I862" s="21">
        <v>17</v>
      </c>
      <c r="J862" s="21">
        <v>60</v>
      </c>
      <c r="K862" s="21">
        <v>13</v>
      </c>
      <c r="L862" s="21">
        <v>137</v>
      </c>
      <c r="M862" s="21">
        <v>36</v>
      </c>
      <c r="N862" s="21">
        <v>58</v>
      </c>
      <c r="O862" s="19">
        <v>154</v>
      </c>
      <c r="P862" s="22">
        <v>12</v>
      </c>
      <c r="Q862" s="22">
        <v>7</v>
      </c>
      <c r="R862" s="20"/>
      <c r="S862" s="234">
        <f>COUNTIFS(INP_DATA!$R$5:$R$3027,S$4,INP_DATA!$D$5:$D$3027,$D862,INP_DATA!$B$5:$B$3027,$B862)</f>
        <v>0</v>
      </c>
      <c r="T862" s="235">
        <f>COUNTIFS(INP_DATA!$R$5:$R$3027,T$4,INP_DATA!$D$5:$D$3027,$D862,INP_DATA!$B$5:$B$3027,$B862)</f>
        <v>0</v>
      </c>
    </row>
    <row r="863" spans="1:20" x14ac:dyDescent="0.35">
      <c r="A863" s="3" t="s">
        <v>16</v>
      </c>
      <c r="B863" s="165">
        <v>45383</v>
      </c>
      <c r="C863" s="57" t="str">
        <f>IF($B863="","",YEAR($B863)&amp;"-"&amp;IFERROR(VLOOKUP(MONTH(B863),KEY!$AE$5:$AF$16,2,FALSE),""))</f>
        <v>2024-Q2</v>
      </c>
      <c r="D863" s="3" t="s">
        <v>144</v>
      </c>
      <c r="E863" s="219">
        <v>33</v>
      </c>
      <c r="F863" s="166">
        <v>209</v>
      </c>
      <c r="G863" s="166">
        <v>187</v>
      </c>
      <c r="H863" s="21">
        <v>321</v>
      </c>
      <c r="I863" s="21">
        <v>51</v>
      </c>
      <c r="J863" s="21">
        <v>177</v>
      </c>
      <c r="K863" s="21">
        <v>27</v>
      </c>
      <c r="L863" s="21">
        <v>377</v>
      </c>
      <c r="M863" s="21">
        <v>115</v>
      </c>
      <c r="N863" s="21">
        <v>215</v>
      </c>
      <c r="O863" s="19">
        <v>418</v>
      </c>
      <c r="P863" s="22">
        <v>20</v>
      </c>
      <c r="Q863" s="22">
        <v>17</v>
      </c>
      <c r="R863" s="20"/>
      <c r="S863" s="234">
        <f>COUNTIFS(INP_DATA!$R$5:$R$3027,S$4,INP_DATA!$D$5:$D$3027,$D863,INP_DATA!$B$5:$B$3027,$B863)</f>
        <v>0</v>
      </c>
      <c r="T863" s="235">
        <f>COUNTIFS(INP_DATA!$R$5:$R$3027,T$4,INP_DATA!$D$5:$D$3027,$D863,INP_DATA!$B$5:$B$3027,$B863)</f>
        <v>0</v>
      </c>
    </row>
    <row r="864" spans="1:20" x14ac:dyDescent="0.35">
      <c r="A864" s="3" t="s">
        <v>108</v>
      </c>
      <c r="B864" s="165">
        <v>45383</v>
      </c>
      <c r="C864" s="57" t="str">
        <f>IF($B864="","",YEAR($B864)&amp;"-"&amp;IFERROR(VLOOKUP(MONTH(B864),KEY!$AE$5:$AF$16,2,FALSE),""))</f>
        <v>2024-Q2</v>
      </c>
      <c r="D864" s="3" t="s">
        <v>145</v>
      </c>
      <c r="E864" s="219">
        <v>43</v>
      </c>
      <c r="F864" s="166">
        <v>133</v>
      </c>
      <c r="G864" s="166">
        <v>170</v>
      </c>
      <c r="H864" s="21">
        <v>226</v>
      </c>
      <c r="I864" s="21">
        <v>32</v>
      </c>
      <c r="J864" s="21">
        <v>212</v>
      </c>
      <c r="K864" s="21">
        <v>36</v>
      </c>
      <c r="L864" s="21">
        <v>310</v>
      </c>
      <c r="M864" s="21">
        <v>83</v>
      </c>
      <c r="N864" s="21">
        <v>133</v>
      </c>
      <c r="O864" s="19">
        <v>308</v>
      </c>
      <c r="P864" s="22">
        <v>35</v>
      </c>
      <c r="Q864" s="22">
        <v>25</v>
      </c>
      <c r="R864" s="20"/>
      <c r="S864" s="234">
        <f>COUNTIFS(INP_DATA!$R$5:$R$3027,S$4,INP_DATA!$D$5:$D$3027,$D864,INP_DATA!$B$5:$B$3027,$B864)</f>
        <v>0</v>
      </c>
      <c r="T864" s="235">
        <f>COUNTIFS(INP_DATA!$R$5:$R$3027,T$4,INP_DATA!$D$5:$D$3027,$D864,INP_DATA!$B$5:$B$3027,$B864)</f>
        <v>0</v>
      </c>
    </row>
    <row r="865" spans="1:20" x14ac:dyDescent="0.35">
      <c r="A865" s="3" t="s">
        <v>16</v>
      </c>
      <c r="B865" s="165">
        <v>45383</v>
      </c>
      <c r="C865" s="57" t="str">
        <f>IF($B865="","",YEAR($B865)&amp;"-"&amp;IFERROR(VLOOKUP(MONTH(B865),KEY!$AE$5:$AF$16,2,FALSE),""))</f>
        <v>2024-Q2</v>
      </c>
      <c r="D865" s="3" t="s">
        <v>146</v>
      </c>
      <c r="E865" s="219">
        <v>9</v>
      </c>
      <c r="F865" s="166">
        <v>27</v>
      </c>
      <c r="G865" s="166">
        <v>40</v>
      </c>
      <c r="H865" s="21">
        <v>72</v>
      </c>
      <c r="I865" s="21">
        <v>7</v>
      </c>
      <c r="J865" s="21">
        <v>36</v>
      </c>
      <c r="K865" s="21">
        <v>3</v>
      </c>
      <c r="L865" s="21">
        <v>55</v>
      </c>
      <c r="M865" s="21">
        <v>18</v>
      </c>
      <c r="N865" s="21">
        <v>27</v>
      </c>
      <c r="O865" s="19">
        <v>88</v>
      </c>
      <c r="P865" s="22">
        <v>1</v>
      </c>
      <c r="Q865" s="22">
        <v>1</v>
      </c>
      <c r="R865" s="20"/>
      <c r="S865" s="234">
        <f>COUNTIFS(INP_DATA!$R$5:$R$3027,S$4,INP_DATA!$D$5:$D$3027,$D865,INP_DATA!$B$5:$B$3027,$B865)</f>
        <v>0</v>
      </c>
      <c r="T865" s="235">
        <f>COUNTIFS(INP_DATA!$R$5:$R$3027,T$4,INP_DATA!$D$5:$D$3027,$D865,INP_DATA!$B$5:$B$3027,$B865)</f>
        <v>0</v>
      </c>
    </row>
    <row r="866" spans="1:20" x14ac:dyDescent="0.35">
      <c r="A866" s="3" t="s">
        <v>109</v>
      </c>
      <c r="B866" s="165">
        <v>45383</v>
      </c>
      <c r="C866" s="57" t="str">
        <f>IF($B866="","",YEAR($B866)&amp;"-"&amp;IFERROR(VLOOKUP(MONTH(B866),KEY!$AE$5:$AF$16,2,FALSE),""))</f>
        <v>2024-Q2</v>
      </c>
      <c r="D866" s="3" t="s">
        <v>147</v>
      </c>
      <c r="E866" s="219">
        <v>9</v>
      </c>
      <c r="F866" s="166">
        <v>40</v>
      </c>
      <c r="G866" s="166">
        <v>37</v>
      </c>
      <c r="H866" s="21">
        <v>114</v>
      </c>
      <c r="I866" s="21">
        <v>16</v>
      </c>
      <c r="J866" s="21">
        <v>58</v>
      </c>
      <c r="K866" s="21">
        <v>4</v>
      </c>
      <c r="L866" s="21">
        <v>47</v>
      </c>
      <c r="M866" s="21">
        <v>20</v>
      </c>
      <c r="N866" s="21">
        <v>40</v>
      </c>
      <c r="O866" s="19">
        <v>88</v>
      </c>
      <c r="P866" s="22">
        <v>3</v>
      </c>
      <c r="Q866" s="22">
        <v>1</v>
      </c>
      <c r="R866" s="20"/>
      <c r="S866" s="234">
        <f>COUNTIFS(INP_DATA!$R$5:$R$3027,S$4,INP_DATA!$D$5:$D$3027,$D866,INP_DATA!$B$5:$B$3027,$B866)</f>
        <v>0</v>
      </c>
      <c r="T866" s="235">
        <f>COUNTIFS(INP_DATA!$R$5:$R$3027,T$4,INP_DATA!$D$5:$D$3027,$D866,INP_DATA!$B$5:$B$3027,$B866)</f>
        <v>0</v>
      </c>
    </row>
    <row r="867" spans="1:20" x14ac:dyDescent="0.35">
      <c r="A867" s="3" t="s">
        <v>106</v>
      </c>
      <c r="B867" s="165">
        <v>45383</v>
      </c>
      <c r="C867" s="57" t="str">
        <f>IF($B867="","",YEAR($B867)&amp;"-"&amp;IFERROR(VLOOKUP(MONTH(B867),KEY!$AE$5:$AF$16,2,FALSE),""))</f>
        <v>2024-Q2</v>
      </c>
      <c r="D867" s="3" t="s">
        <v>148</v>
      </c>
      <c r="E867" s="219">
        <v>18</v>
      </c>
      <c r="F867" s="166">
        <v>34</v>
      </c>
      <c r="G867" s="166">
        <v>38</v>
      </c>
      <c r="H867" s="21">
        <v>75</v>
      </c>
      <c r="I867" s="21">
        <v>6</v>
      </c>
      <c r="J867" s="21">
        <v>51</v>
      </c>
      <c r="K867" s="21">
        <v>2</v>
      </c>
      <c r="L867" s="21">
        <v>81</v>
      </c>
      <c r="M867" s="21">
        <v>30</v>
      </c>
      <c r="N867" s="21">
        <v>34</v>
      </c>
      <c r="O867" s="19">
        <v>88</v>
      </c>
      <c r="P867" s="22">
        <v>11</v>
      </c>
      <c r="Q867" s="22">
        <v>7</v>
      </c>
      <c r="R867" s="20"/>
      <c r="S867" s="234">
        <f>COUNTIFS(INP_DATA!$R$5:$R$3027,S$4,INP_DATA!$D$5:$D$3027,$D867,INP_DATA!$B$5:$B$3027,$B867)</f>
        <v>0</v>
      </c>
      <c r="T867" s="235">
        <f>COUNTIFS(INP_DATA!$R$5:$R$3027,T$4,INP_DATA!$D$5:$D$3027,$D867,INP_DATA!$B$5:$B$3027,$B867)</f>
        <v>0</v>
      </c>
    </row>
    <row r="868" spans="1:20" x14ac:dyDescent="0.35">
      <c r="A868" s="3" t="s">
        <v>107</v>
      </c>
      <c r="B868" s="165">
        <v>45383</v>
      </c>
      <c r="C868" s="57" t="str">
        <f>IF($B868="","",YEAR($B868)&amp;"-"&amp;IFERROR(VLOOKUP(MONTH(B868),KEY!$AE$5:$AF$16,2,FALSE),""))</f>
        <v>2024-Q2</v>
      </c>
      <c r="D868" s="3" t="s">
        <v>149</v>
      </c>
      <c r="E868" s="219">
        <v>3</v>
      </c>
      <c r="F868" s="166">
        <v>18</v>
      </c>
      <c r="G868" s="166">
        <v>27</v>
      </c>
      <c r="H868" s="21">
        <v>37</v>
      </c>
      <c r="I868" s="21">
        <v>3</v>
      </c>
      <c r="J868" s="21">
        <v>24</v>
      </c>
      <c r="K868" s="21">
        <v>5</v>
      </c>
      <c r="L868" s="21">
        <v>116</v>
      </c>
      <c r="M868" s="21">
        <v>11</v>
      </c>
      <c r="N868" s="21">
        <v>19</v>
      </c>
      <c r="O868" s="19">
        <v>66</v>
      </c>
      <c r="P868" s="22">
        <v>5</v>
      </c>
      <c r="Q868" s="22">
        <v>4</v>
      </c>
      <c r="R868" s="20"/>
      <c r="S868" s="234">
        <f>COUNTIFS(INP_DATA!$R$5:$R$3027,S$4,INP_DATA!$D$5:$D$3027,$D868,INP_DATA!$B$5:$B$3027,$B868)</f>
        <v>0</v>
      </c>
      <c r="T868" s="235">
        <f>COUNTIFS(INP_DATA!$R$5:$R$3027,T$4,INP_DATA!$D$5:$D$3027,$D868,INP_DATA!$B$5:$B$3027,$B868)</f>
        <v>0</v>
      </c>
    </row>
    <row r="869" spans="1:20" x14ac:dyDescent="0.35">
      <c r="A869" s="3" t="s">
        <v>108</v>
      </c>
      <c r="B869" s="165">
        <v>45383</v>
      </c>
      <c r="C869" s="57" t="str">
        <f>IF($B869="","",YEAR($B869)&amp;"-"&amp;IFERROR(VLOOKUP(MONTH(B869),KEY!$AE$5:$AF$16,2,FALSE),""))</f>
        <v>2024-Q2</v>
      </c>
      <c r="D869" s="3" t="s">
        <v>150</v>
      </c>
      <c r="E869" s="219">
        <v>10</v>
      </c>
      <c r="F869" s="166">
        <v>40</v>
      </c>
      <c r="G869" s="166">
        <v>43</v>
      </c>
      <c r="H869" s="21">
        <v>46</v>
      </c>
      <c r="I869" s="21">
        <v>10</v>
      </c>
      <c r="J869" s="21">
        <v>10</v>
      </c>
      <c r="K869" s="21">
        <v>2</v>
      </c>
      <c r="L869" s="21">
        <v>64</v>
      </c>
      <c r="M869" s="21">
        <v>23</v>
      </c>
      <c r="N869" s="21">
        <v>40</v>
      </c>
      <c r="O869" s="19">
        <v>110</v>
      </c>
      <c r="P869" s="22">
        <v>10</v>
      </c>
      <c r="Q869" s="22">
        <v>5</v>
      </c>
      <c r="R869" s="20"/>
      <c r="S869" s="234">
        <f>COUNTIFS(INP_DATA!$R$5:$R$3027,S$4,INP_DATA!$D$5:$D$3027,$D869,INP_DATA!$B$5:$B$3027,$B869)</f>
        <v>0</v>
      </c>
      <c r="T869" s="235">
        <f>COUNTIFS(INP_DATA!$R$5:$R$3027,T$4,INP_DATA!$D$5:$D$3027,$D869,INP_DATA!$B$5:$B$3027,$B869)</f>
        <v>0</v>
      </c>
    </row>
    <row r="870" spans="1:20" x14ac:dyDescent="0.35">
      <c r="A870" s="3" t="s">
        <v>16</v>
      </c>
      <c r="B870" s="165">
        <v>45383</v>
      </c>
      <c r="C870" s="57" t="str">
        <f>IF($B870="","",YEAR($B870)&amp;"-"&amp;IFERROR(VLOOKUP(MONTH(B870),KEY!$AE$5:$AF$16,2,FALSE),""))</f>
        <v>2024-Q2</v>
      </c>
      <c r="D870" s="3" t="s">
        <v>151</v>
      </c>
      <c r="E870" s="219">
        <v>5</v>
      </c>
      <c r="F870" s="166">
        <v>31</v>
      </c>
      <c r="G870" s="166">
        <v>38</v>
      </c>
      <c r="H870" s="21">
        <v>61</v>
      </c>
      <c r="I870" s="21">
        <v>9</v>
      </c>
      <c r="J870" s="21">
        <v>21</v>
      </c>
      <c r="K870" s="21">
        <v>9</v>
      </c>
      <c r="L870" s="21">
        <v>55</v>
      </c>
      <c r="M870" s="21">
        <v>24</v>
      </c>
      <c r="N870" s="21">
        <v>31</v>
      </c>
      <c r="O870" s="19">
        <v>88</v>
      </c>
      <c r="P870" s="22">
        <v>1</v>
      </c>
      <c r="Q870" s="22">
        <v>1</v>
      </c>
      <c r="R870" s="20"/>
      <c r="S870" s="234">
        <f>COUNTIFS(INP_DATA!$R$5:$R$3027,S$4,INP_DATA!$D$5:$D$3027,$D870,INP_DATA!$B$5:$B$3027,$B870)</f>
        <v>0</v>
      </c>
      <c r="T870" s="235">
        <f>COUNTIFS(INP_DATA!$R$5:$R$3027,T$4,INP_DATA!$D$5:$D$3027,$D870,INP_DATA!$B$5:$B$3027,$B870)</f>
        <v>0</v>
      </c>
    </row>
    <row r="871" spans="1:20" x14ac:dyDescent="0.35">
      <c r="A871" s="3" t="s">
        <v>106</v>
      </c>
      <c r="B871" s="165">
        <v>45383</v>
      </c>
      <c r="C871" s="57" t="str">
        <f>IF($B871="","",YEAR($B871)&amp;"-"&amp;IFERROR(VLOOKUP(MONTH(B871),KEY!$AE$5:$AF$16,2,FALSE),""))</f>
        <v>2024-Q2</v>
      </c>
      <c r="D871" s="3" t="s">
        <v>152</v>
      </c>
      <c r="E871" s="219">
        <v>49</v>
      </c>
      <c r="F871" s="166">
        <v>178</v>
      </c>
      <c r="G871" s="166">
        <v>210</v>
      </c>
      <c r="H871" s="21">
        <v>393</v>
      </c>
      <c r="I871" s="21">
        <v>55</v>
      </c>
      <c r="J871" s="21">
        <v>134</v>
      </c>
      <c r="K871" s="21">
        <v>32</v>
      </c>
      <c r="L871" s="21">
        <v>336</v>
      </c>
      <c r="M871" s="21">
        <v>135</v>
      </c>
      <c r="N871" s="21">
        <v>176</v>
      </c>
      <c r="O871" s="19">
        <v>264</v>
      </c>
      <c r="P871" s="22">
        <v>81</v>
      </c>
      <c r="Q871" s="22">
        <v>50</v>
      </c>
      <c r="R871" s="20"/>
      <c r="S871" s="234">
        <f>COUNTIFS(INP_DATA!$R$5:$R$3027,S$4,INP_DATA!$D$5:$D$3027,$D871,INP_DATA!$B$5:$B$3027,$B871)</f>
        <v>0</v>
      </c>
      <c r="T871" s="235">
        <f>COUNTIFS(INP_DATA!$R$5:$R$3027,T$4,INP_DATA!$D$5:$D$3027,$D871,INP_DATA!$B$5:$B$3027,$B871)</f>
        <v>0</v>
      </c>
    </row>
    <row r="872" spans="1:20" x14ac:dyDescent="0.35">
      <c r="A872" s="3" t="s">
        <v>16</v>
      </c>
      <c r="B872" s="165">
        <v>45383</v>
      </c>
      <c r="C872" s="57" t="str">
        <f>IF($B872="","",YEAR($B872)&amp;"-"&amp;IFERROR(VLOOKUP(MONTH(B872),KEY!$AE$5:$AF$16,2,FALSE),""))</f>
        <v>2024-Q2</v>
      </c>
      <c r="D872" s="3" t="s">
        <v>153</v>
      </c>
      <c r="E872" s="219">
        <v>39</v>
      </c>
      <c r="F872" s="166">
        <v>89</v>
      </c>
      <c r="G872" s="166">
        <v>121</v>
      </c>
      <c r="H872" s="21">
        <v>124</v>
      </c>
      <c r="I872" s="21">
        <v>15</v>
      </c>
      <c r="J872" s="21">
        <v>136</v>
      </c>
      <c r="K872" s="21">
        <v>8</v>
      </c>
      <c r="L872" s="21">
        <v>325</v>
      </c>
      <c r="M872" s="21">
        <v>61</v>
      </c>
      <c r="N872" s="21">
        <v>88</v>
      </c>
      <c r="O872" s="19">
        <v>286</v>
      </c>
      <c r="P872" s="22">
        <v>6</v>
      </c>
      <c r="Q872" s="22">
        <v>5</v>
      </c>
      <c r="R872" s="20"/>
      <c r="S872" s="234">
        <f>COUNTIFS(INP_DATA!$R$5:$R$3027,S$4,INP_DATA!$D$5:$D$3027,$D872,INP_DATA!$B$5:$B$3027,$B872)</f>
        <v>0</v>
      </c>
      <c r="T872" s="235">
        <f>COUNTIFS(INP_DATA!$R$5:$R$3027,T$4,INP_DATA!$D$5:$D$3027,$D872,INP_DATA!$B$5:$B$3027,$B872)</f>
        <v>0</v>
      </c>
    </row>
    <row r="873" spans="1:20" x14ac:dyDescent="0.35">
      <c r="A873" s="3" t="s">
        <v>106</v>
      </c>
      <c r="B873" s="165">
        <v>45383</v>
      </c>
      <c r="C873" s="57" t="str">
        <f>IF($B873="","",YEAR($B873)&amp;"-"&amp;IFERROR(VLOOKUP(MONTH(B873),KEY!$AE$5:$AF$16,2,FALSE),""))</f>
        <v>2024-Q2</v>
      </c>
      <c r="D873" s="3" t="s">
        <v>154</v>
      </c>
      <c r="E873" s="219">
        <v>14</v>
      </c>
      <c r="F873" s="166">
        <v>51</v>
      </c>
      <c r="G873" s="166">
        <v>68</v>
      </c>
      <c r="H873" s="21">
        <v>180</v>
      </c>
      <c r="I873" s="21">
        <v>16</v>
      </c>
      <c r="J873" s="21">
        <v>94</v>
      </c>
      <c r="K873" s="21">
        <v>12</v>
      </c>
      <c r="L873" s="21">
        <v>211</v>
      </c>
      <c r="M873" s="21">
        <v>37</v>
      </c>
      <c r="N873" s="21">
        <v>51</v>
      </c>
      <c r="O873" s="19">
        <v>154</v>
      </c>
      <c r="P873" s="22">
        <v>12</v>
      </c>
      <c r="Q873" s="22">
        <v>9</v>
      </c>
      <c r="R873" s="20"/>
      <c r="S873" s="234">
        <f>COUNTIFS(INP_DATA!$R$5:$R$3027,S$4,INP_DATA!$D$5:$D$3027,$D873,INP_DATA!$B$5:$B$3027,$B873)</f>
        <v>0</v>
      </c>
      <c r="T873" s="235">
        <f>COUNTIFS(INP_DATA!$R$5:$R$3027,T$4,INP_DATA!$D$5:$D$3027,$D873,INP_DATA!$B$5:$B$3027,$B873)</f>
        <v>0</v>
      </c>
    </row>
    <row r="874" spans="1:20" x14ac:dyDescent="0.35">
      <c r="A874" s="3" t="s">
        <v>109</v>
      </c>
      <c r="B874" s="165">
        <v>45383</v>
      </c>
      <c r="C874" s="57" t="str">
        <f>IF($B874="","",YEAR($B874)&amp;"-"&amp;IFERROR(VLOOKUP(MONTH(B874),KEY!$AE$5:$AF$16,2,FALSE),""))</f>
        <v>2024-Q2</v>
      </c>
      <c r="D874" s="3" t="s">
        <v>155</v>
      </c>
      <c r="E874" s="219">
        <v>79</v>
      </c>
      <c r="F874" s="166">
        <v>358</v>
      </c>
      <c r="G874" s="166">
        <v>272</v>
      </c>
      <c r="H874" s="21">
        <v>712</v>
      </c>
      <c r="I874" s="21">
        <v>91</v>
      </c>
      <c r="J874" s="21">
        <v>276</v>
      </c>
      <c r="K874" s="21">
        <v>46</v>
      </c>
      <c r="L874" s="21">
        <v>437</v>
      </c>
      <c r="M874" s="21">
        <v>180</v>
      </c>
      <c r="N874" s="21">
        <v>362</v>
      </c>
      <c r="O874" s="19">
        <v>506</v>
      </c>
      <c r="P874" s="22">
        <v>54</v>
      </c>
      <c r="Q874" s="22">
        <v>28</v>
      </c>
      <c r="R874" s="20"/>
      <c r="S874" s="234">
        <f>COUNTIFS(INP_DATA!$R$5:$R$3027,S$4,INP_DATA!$D$5:$D$3027,$D874,INP_DATA!$B$5:$B$3027,$B874)</f>
        <v>0</v>
      </c>
      <c r="T874" s="235">
        <f>COUNTIFS(INP_DATA!$R$5:$R$3027,T$4,INP_DATA!$D$5:$D$3027,$D874,INP_DATA!$B$5:$B$3027,$B874)</f>
        <v>0</v>
      </c>
    </row>
    <row r="875" spans="1:20" x14ac:dyDescent="0.35">
      <c r="A875" s="3" t="s">
        <v>109</v>
      </c>
      <c r="B875" s="165">
        <v>45383</v>
      </c>
      <c r="C875" s="57" t="str">
        <f>IF($B875="","",YEAR($B875)&amp;"-"&amp;IFERROR(VLOOKUP(MONTH(B875),KEY!$AE$5:$AF$16,2,FALSE),""))</f>
        <v>2024-Q2</v>
      </c>
      <c r="D875" s="3" t="s">
        <v>156</v>
      </c>
      <c r="E875" s="219">
        <v>59</v>
      </c>
      <c r="F875" s="166">
        <v>271</v>
      </c>
      <c r="G875" s="166">
        <v>274</v>
      </c>
      <c r="H875" s="21">
        <v>705</v>
      </c>
      <c r="I875" s="21">
        <v>86</v>
      </c>
      <c r="J875" s="21">
        <v>218</v>
      </c>
      <c r="K875" s="21">
        <v>45</v>
      </c>
      <c r="L875" s="21">
        <v>475</v>
      </c>
      <c r="M875" s="21">
        <v>139</v>
      </c>
      <c r="N875" s="21">
        <v>276</v>
      </c>
      <c r="O875" s="19">
        <v>462</v>
      </c>
      <c r="P875" s="22">
        <v>15</v>
      </c>
      <c r="Q875" s="22">
        <v>5</v>
      </c>
      <c r="R875" s="20"/>
      <c r="S875" s="234">
        <f>COUNTIFS(INP_DATA!$R$5:$R$3027,S$4,INP_DATA!$D$5:$D$3027,$D875,INP_DATA!$B$5:$B$3027,$B875)</f>
        <v>0</v>
      </c>
      <c r="T875" s="235">
        <f>COUNTIFS(INP_DATA!$R$5:$R$3027,T$4,INP_DATA!$D$5:$D$3027,$D875,INP_DATA!$B$5:$B$3027,$B875)</f>
        <v>0</v>
      </c>
    </row>
    <row r="876" spans="1:20" x14ac:dyDescent="0.35">
      <c r="A876" s="3" t="s">
        <v>109</v>
      </c>
      <c r="B876" s="165">
        <v>45383</v>
      </c>
      <c r="C876" s="57" t="str">
        <f>IF($B876="","",YEAR($B876)&amp;"-"&amp;IFERROR(VLOOKUP(MONTH(B876),KEY!$AE$5:$AF$16,2,FALSE),""))</f>
        <v>2024-Q2</v>
      </c>
      <c r="D876" s="3" t="s">
        <v>157</v>
      </c>
      <c r="E876" s="219">
        <v>7</v>
      </c>
      <c r="F876" s="166">
        <v>473</v>
      </c>
      <c r="G876" s="166">
        <v>197</v>
      </c>
      <c r="H876" s="21">
        <v>1013</v>
      </c>
      <c r="I876" s="21">
        <v>97</v>
      </c>
      <c r="J876" s="21">
        <v>539</v>
      </c>
      <c r="K876" s="21">
        <v>70</v>
      </c>
      <c r="L876" s="21">
        <v>888</v>
      </c>
      <c r="M876" s="21">
        <v>226</v>
      </c>
      <c r="N876" s="21">
        <v>478</v>
      </c>
      <c r="O876" s="19">
        <v>858</v>
      </c>
      <c r="P876" s="22">
        <v>28</v>
      </c>
      <c r="Q876" s="22">
        <v>14</v>
      </c>
      <c r="R876" s="20"/>
      <c r="S876" s="234">
        <f>COUNTIFS(INP_DATA!$R$5:$R$3027,S$4,INP_DATA!$D$5:$D$3027,$D876,INP_DATA!$B$5:$B$3027,$B876)</f>
        <v>0</v>
      </c>
      <c r="T876" s="235">
        <f>COUNTIFS(INP_DATA!$R$5:$R$3027,T$4,INP_DATA!$D$5:$D$3027,$D876,INP_DATA!$B$5:$B$3027,$B876)</f>
        <v>0</v>
      </c>
    </row>
    <row r="877" spans="1:20" x14ac:dyDescent="0.35">
      <c r="A877" s="3" t="s">
        <v>16</v>
      </c>
      <c r="B877" s="165">
        <v>45383</v>
      </c>
      <c r="C877" s="57" t="str">
        <f>IF($B877="","",YEAR($B877)&amp;"-"&amp;IFERROR(VLOOKUP(MONTH(B877),KEY!$AE$5:$AF$16,2,FALSE),""))</f>
        <v>2024-Q2</v>
      </c>
      <c r="D877" s="3" t="s">
        <v>158</v>
      </c>
      <c r="E877" s="219">
        <v>3</v>
      </c>
      <c r="F877" s="166">
        <v>29</v>
      </c>
      <c r="G877" s="166">
        <v>32</v>
      </c>
      <c r="H877" s="21">
        <v>72</v>
      </c>
      <c r="I877" s="21">
        <v>9</v>
      </c>
      <c r="J877" s="21">
        <v>22</v>
      </c>
      <c r="K877" s="21">
        <v>5</v>
      </c>
      <c r="L877" s="21">
        <v>59</v>
      </c>
      <c r="M877" s="21">
        <v>22</v>
      </c>
      <c r="N877" s="21">
        <v>31</v>
      </c>
      <c r="O877" s="19">
        <v>132</v>
      </c>
      <c r="P877" s="22">
        <v>2</v>
      </c>
      <c r="Q877" s="22">
        <v>0</v>
      </c>
      <c r="R877" s="20"/>
      <c r="S877" s="234">
        <f>COUNTIFS(INP_DATA!$R$5:$R$3027,S$4,INP_DATA!$D$5:$D$3027,$D877,INP_DATA!$B$5:$B$3027,$B877)</f>
        <v>0</v>
      </c>
      <c r="T877" s="235">
        <f>COUNTIFS(INP_DATA!$R$5:$R$3027,T$4,INP_DATA!$D$5:$D$3027,$D877,INP_DATA!$B$5:$B$3027,$B877)</f>
        <v>0</v>
      </c>
    </row>
    <row r="878" spans="1:20" x14ac:dyDescent="0.35">
      <c r="A878" s="3" t="s">
        <v>107</v>
      </c>
      <c r="B878" s="165">
        <v>45383</v>
      </c>
      <c r="C878" s="57" t="str">
        <f>IF($B878="","",YEAR($B878)&amp;"-"&amp;IFERROR(VLOOKUP(MONTH(B878),KEY!$AE$5:$AF$16,2,FALSE),""))</f>
        <v>2024-Q2</v>
      </c>
      <c r="D878" s="3" t="s">
        <v>159</v>
      </c>
      <c r="E878" s="219">
        <v>22</v>
      </c>
      <c r="F878" s="166">
        <v>121</v>
      </c>
      <c r="G878" s="166">
        <v>91</v>
      </c>
      <c r="H878" s="21">
        <v>223</v>
      </c>
      <c r="I878" s="21">
        <v>35</v>
      </c>
      <c r="J878" s="21">
        <v>86</v>
      </c>
      <c r="K878" s="21">
        <v>23</v>
      </c>
      <c r="L878" s="21">
        <v>219</v>
      </c>
      <c r="M878" s="21">
        <v>86</v>
      </c>
      <c r="N878" s="21">
        <v>122</v>
      </c>
      <c r="O878" s="19">
        <v>198</v>
      </c>
      <c r="P878" s="22">
        <v>26</v>
      </c>
      <c r="Q878" s="22">
        <v>20</v>
      </c>
      <c r="R878" s="20"/>
      <c r="S878" s="234">
        <f>COUNTIFS(INP_DATA!$R$5:$R$3027,S$4,INP_DATA!$D$5:$D$3027,$D878,INP_DATA!$B$5:$B$3027,$B878)</f>
        <v>0</v>
      </c>
      <c r="T878" s="235">
        <f>COUNTIFS(INP_DATA!$R$5:$R$3027,T$4,INP_DATA!$D$5:$D$3027,$D878,INP_DATA!$B$5:$B$3027,$B878)</f>
        <v>0</v>
      </c>
    </row>
    <row r="879" spans="1:20" x14ac:dyDescent="0.35">
      <c r="A879" s="3" t="s">
        <v>16</v>
      </c>
      <c r="B879" s="165">
        <v>45383</v>
      </c>
      <c r="C879" s="57" t="str">
        <f>IF($B879="","",YEAR($B879)&amp;"-"&amp;IFERROR(VLOOKUP(MONTH(B879),KEY!$AE$5:$AF$16,2,FALSE),""))</f>
        <v>2024-Q2</v>
      </c>
      <c r="D879" s="3" t="s">
        <v>160</v>
      </c>
      <c r="E879" s="219">
        <v>67</v>
      </c>
      <c r="F879" s="166">
        <v>369</v>
      </c>
      <c r="G879" s="166">
        <v>350</v>
      </c>
      <c r="H879" s="21">
        <v>647</v>
      </c>
      <c r="I879" s="21">
        <v>102</v>
      </c>
      <c r="J879" s="21">
        <v>220</v>
      </c>
      <c r="K879" s="21">
        <v>49</v>
      </c>
      <c r="L879" s="21">
        <v>492</v>
      </c>
      <c r="M879" s="21">
        <v>227</v>
      </c>
      <c r="N879" s="21">
        <v>376</v>
      </c>
      <c r="O879" s="19">
        <v>550</v>
      </c>
      <c r="P879" s="22">
        <v>55</v>
      </c>
      <c r="Q879" s="22">
        <v>34</v>
      </c>
      <c r="R879" s="20"/>
      <c r="S879" s="234">
        <f>COUNTIFS(INP_DATA!$R$5:$R$3027,S$4,INP_DATA!$D$5:$D$3027,$D879,INP_DATA!$B$5:$B$3027,$B879)</f>
        <v>0</v>
      </c>
      <c r="T879" s="235">
        <f>COUNTIFS(INP_DATA!$R$5:$R$3027,T$4,INP_DATA!$D$5:$D$3027,$D879,INP_DATA!$B$5:$B$3027,$B879)</f>
        <v>0</v>
      </c>
    </row>
    <row r="880" spans="1:20" x14ac:dyDescent="0.35">
      <c r="A880" s="3" t="s">
        <v>106</v>
      </c>
      <c r="B880" s="165">
        <v>45383</v>
      </c>
      <c r="C880" s="57" t="str">
        <f>IF($B880="","",YEAR($B880)&amp;"-"&amp;IFERROR(VLOOKUP(MONTH(B880),KEY!$AE$5:$AF$16,2,FALSE),""))</f>
        <v>2024-Q2</v>
      </c>
      <c r="D880" s="3" t="s">
        <v>161</v>
      </c>
      <c r="E880" s="219">
        <v>44</v>
      </c>
      <c r="F880" s="166">
        <v>312</v>
      </c>
      <c r="G880" s="166">
        <v>246</v>
      </c>
      <c r="H880" s="21">
        <v>608</v>
      </c>
      <c r="I880" s="21">
        <v>91</v>
      </c>
      <c r="J880" s="21">
        <v>225</v>
      </c>
      <c r="K880" s="21">
        <v>55</v>
      </c>
      <c r="L880" s="21">
        <v>357</v>
      </c>
      <c r="M880" s="21">
        <v>121</v>
      </c>
      <c r="N880" s="21">
        <v>319</v>
      </c>
      <c r="O880" s="19">
        <v>462</v>
      </c>
      <c r="P880" s="22">
        <v>33</v>
      </c>
      <c r="Q880" s="22">
        <v>27</v>
      </c>
      <c r="R880" s="20"/>
      <c r="S880" s="234">
        <f>COUNTIFS(INP_DATA!$R$5:$R$3027,S$4,INP_DATA!$D$5:$D$3027,$D880,INP_DATA!$B$5:$B$3027,$B880)</f>
        <v>0</v>
      </c>
      <c r="T880" s="235">
        <f>COUNTIFS(INP_DATA!$R$5:$R$3027,T$4,INP_DATA!$D$5:$D$3027,$D880,INP_DATA!$B$5:$B$3027,$B880)</f>
        <v>0</v>
      </c>
    </row>
    <row r="881" spans="1:20" x14ac:dyDescent="0.35">
      <c r="A881" s="3" t="s">
        <v>109</v>
      </c>
      <c r="B881" s="165">
        <v>45383</v>
      </c>
      <c r="C881" s="57" t="str">
        <f>IF($B881="","",YEAR($B881)&amp;"-"&amp;IFERROR(VLOOKUP(MONTH(B881),KEY!$AE$5:$AF$16,2,FALSE),""))</f>
        <v>2024-Q2</v>
      </c>
      <c r="D881" s="3" t="s">
        <v>162</v>
      </c>
      <c r="E881" s="219">
        <v>150</v>
      </c>
      <c r="F881" s="166">
        <v>414</v>
      </c>
      <c r="G881" s="166">
        <v>307</v>
      </c>
      <c r="H881" s="21">
        <v>403</v>
      </c>
      <c r="I881" s="21">
        <v>76</v>
      </c>
      <c r="J881" s="21">
        <v>160</v>
      </c>
      <c r="K881" s="21">
        <v>48</v>
      </c>
      <c r="L881" s="21">
        <v>720</v>
      </c>
      <c r="M881" s="21">
        <v>169</v>
      </c>
      <c r="N881" s="21">
        <v>415</v>
      </c>
      <c r="O881" s="19">
        <v>660</v>
      </c>
      <c r="P881" s="22">
        <v>80</v>
      </c>
      <c r="Q881" s="22">
        <v>58</v>
      </c>
      <c r="R881" s="20"/>
      <c r="S881" s="234">
        <f>COUNTIFS(INP_DATA!$R$5:$R$3027,S$4,INP_DATA!$D$5:$D$3027,$D881,INP_DATA!$B$5:$B$3027,$B881)</f>
        <v>0</v>
      </c>
      <c r="T881" s="235">
        <f>COUNTIFS(INP_DATA!$R$5:$R$3027,T$4,INP_DATA!$D$5:$D$3027,$D881,INP_DATA!$B$5:$B$3027,$B881)</f>
        <v>0</v>
      </c>
    </row>
    <row r="882" spans="1:20" x14ac:dyDescent="0.35">
      <c r="A882" s="3" t="s">
        <v>16</v>
      </c>
      <c r="B882" s="165">
        <v>45383</v>
      </c>
      <c r="C882" s="57" t="str">
        <f>IF($B882="","",YEAR($B882)&amp;"-"&amp;IFERROR(VLOOKUP(MONTH(B882),KEY!$AE$5:$AF$16,2,FALSE),""))</f>
        <v>2024-Q2</v>
      </c>
      <c r="D882" s="3" t="s">
        <v>163</v>
      </c>
      <c r="E882" s="219">
        <v>51</v>
      </c>
      <c r="F882" s="166">
        <v>298</v>
      </c>
      <c r="G882" s="166">
        <v>230</v>
      </c>
      <c r="H882" s="21">
        <v>409</v>
      </c>
      <c r="I882" s="21">
        <v>75</v>
      </c>
      <c r="J882" s="21">
        <v>302</v>
      </c>
      <c r="K882" s="21">
        <v>62</v>
      </c>
      <c r="L882" s="21">
        <v>412</v>
      </c>
      <c r="M882" s="21">
        <v>164</v>
      </c>
      <c r="N882" s="21">
        <v>300</v>
      </c>
      <c r="O882" s="19">
        <v>418</v>
      </c>
      <c r="P882" s="22">
        <v>24</v>
      </c>
      <c r="Q882" s="22">
        <v>3</v>
      </c>
      <c r="R882" s="20"/>
      <c r="S882" s="234">
        <f>COUNTIFS(INP_DATA!$R$5:$R$3027,S$4,INP_DATA!$D$5:$D$3027,$D882,INP_DATA!$B$5:$B$3027,$B882)</f>
        <v>0</v>
      </c>
      <c r="T882" s="235">
        <f>COUNTIFS(INP_DATA!$R$5:$R$3027,T$4,INP_DATA!$D$5:$D$3027,$D882,INP_DATA!$B$5:$B$3027,$B882)</f>
        <v>0</v>
      </c>
    </row>
    <row r="883" spans="1:20" x14ac:dyDescent="0.35">
      <c r="A883" s="3" t="s">
        <v>16</v>
      </c>
      <c r="B883" s="165">
        <v>45383</v>
      </c>
      <c r="C883" s="57" t="str">
        <f>IF($B883="","",YEAR($B883)&amp;"-"&amp;IFERROR(VLOOKUP(MONTH(B883),KEY!$AE$5:$AF$16,2,FALSE),""))</f>
        <v>2024-Q2</v>
      </c>
      <c r="D883" s="3" t="s">
        <v>164</v>
      </c>
      <c r="E883" s="219">
        <v>9</v>
      </c>
      <c r="F883" s="166">
        <v>85</v>
      </c>
      <c r="G883" s="166">
        <v>86</v>
      </c>
      <c r="H883" s="21">
        <v>169</v>
      </c>
      <c r="I883" s="21">
        <v>25</v>
      </c>
      <c r="J883" s="21">
        <v>50</v>
      </c>
      <c r="K883" s="21">
        <v>15</v>
      </c>
      <c r="L883" s="21">
        <v>128</v>
      </c>
      <c r="M883" s="21">
        <v>61</v>
      </c>
      <c r="N883" s="21">
        <v>87</v>
      </c>
      <c r="O883" s="19">
        <v>154</v>
      </c>
      <c r="P883" s="22">
        <v>17</v>
      </c>
      <c r="Q883" s="22">
        <v>9</v>
      </c>
      <c r="R883" s="20"/>
      <c r="S883" s="234">
        <f>COUNTIFS(INP_DATA!$R$5:$R$3027,S$4,INP_DATA!$D$5:$D$3027,$D883,INP_DATA!$B$5:$B$3027,$B883)</f>
        <v>0</v>
      </c>
      <c r="T883" s="235">
        <f>COUNTIFS(INP_DATA!$R$5:$R$3027,T$4,INP_DATA!$D$5:$D$3027,$D883,INP_DATA!$B$5:$B$3027,$B883)</f>
        <v>0</v>
      </c>
    </row>
    <row r="884" spans="1:20" x14ac:dyDescent="0.35">
      <c r="A884" s="3" t="s">
        <v>107</v>
      </c>
      <c r="B884" s="165">
        <v>45383</v>
      </c>
      <c r="C884" s="57" t="str">
        <f>IF($B884="","",YEAR($B884)&amp;"-"&amp;IFERROR(VLOOKUP(MONTH(B884),KEY!$AE$5:$AF$16,2,FALSE),""))</f>
        <v>2024-Q2</v>
      </c>
      <c r="D884" s="3" t="s">
        <v>165</v>
      </c>
      <c r="E884" s="219">
        <v>18</v>
      </c>
      <c r="F884" s="166">
        <v>66</v>
      </c>
      <c r="G884" s="166">
        <v>102</v>
      </c>
      <c r="H884" s="21">
        <v>149</v>
      </c>
      <c r="I884" s="21">
        <v>18</v>
      </c>
      <c r="J884" s="21">
        <v>62</v>
      </c>
      <c r="K884" s="21">
        <v>12</v>
      </c>
      <c r="L884" s="21">
        <v>104</v>
      </c>
      <c r="M884" s="21">
        <v>42</v>
      </c>
      <c r="N884" s="21">
        <v>70</v>
      </c>
      <c r="O884" s="19">
        <v>198</v>
      </c>
      <c r="P884" s="22">
        <v>35</v>
      </c>
      <c r="Q884" s="22">
        <v>21</v>
      </c>
      <c r="R884" s="20"/>
      <c r="S884" s="234">
        <f>COUNTIFS(INP_DATA!$R$5:$R$3027,S$4,INP_DATA!$D$5:$D$3027,$D884,INP_DATA!$B$5:$B$3027,$B884)</f>
        <v>0</v>
      </c>
      <c r="T884" s="235">
        <f>COUNTIFS(INP_DATA!$R$5:$R$3027,T$4,INP_DATA!$D$5:$D$3027,$D884,INP_DATA!$B$5:$B$3027,$B884)</f>
        <v>0</v>
      </c>
    </row>
    <row r="885" spans="1:20" x14ac:dyDescent="0.35">
      <c r="A885" s="3" t="s">
        <v>16</v>
      </c>
      <c r="B885" s="165">
        <v>45413</v>
      </c>
      <c r="C885" s="57" t="str">
        <f>IF($B885="","",YEAR($B885)&amp;"-"&amp;IFERROR(VLOOKUP(MONTH(B885),KEY!$AE$5:$AF$16,2,FALSE),""))</f>
        <v>2024-Q2</v>
      </c>
      <c r="D885" s="3" t="s">
        <v>111</v>
      </c>
      <c r="E885" s="219">
        <v>14</v>
      </c>
      <c r="F885" s="166">
        <v>72</v>
      </c>
      <c r="G885" s="166">
        <v>83</v>
      </c>
      <c r="H885" s="21">
        <v>131</v>
      </c>
      <c r="I885" s="21">
        <v>21</v>
      </c>
      <c r="J885" s="21">
        <v>49</v>
      </c>
      <c r="K885" s="21">
        <v>13</v>
      </c>
      <c r="L885" s="21">
        <v>130</v>
      </c>
      <c r="M885" s="21">
        <v>55</v>
      </c>
      <c r="N885" s="21">
        <v>72</v>
      </c>
      <c r="O885" s="19">
        <v>154</v>
      </c>
      <c r="P885" s="22">
        <v>18</v>
      </c>
      <c r="Q885" s="22">
        <v>9</v>
      </c>
      <c r="R885" s="20"/>
      <c r="S885" s="234">
        <f>COUNTIFS(INP_DATA!$R$5:$R$3027,S$4,INP_DATA!$D$5:$D$3027,$D885,INP_DATA!$B$5:$B$3027,$B885)</f>
        <v>0</v>
      </c>
      <c r="T885" s="235">
        <f>COUNTIFS(INP_DATA!$R$5:$R$3027,T$4,INP_DATA!$D$5:$D$3027,$D885,INP_DATA!$B$5:$B$3027,$B885)</f>
        <v>0</v>
      </c>
    </row>
    <row r="886" spans="1:20" x14ac:dyDescent="0.35">
      <c r="A886" s="3" t="s">
        <v>108</v>
      </c>
      <c r="B886" s="165">
        <v>45413</v>
      </c>
      <c r="C886" s="57" t="str">
        <f>IF($B886="","",YEAR($B886)&amp;"-"&amp;IFERROR(VLOOKUP(MONTH(B886),KEY!$AE$5:$AF$16,2,FALSE),""))</f>
        <v>2024-Q2</v>
      </c>
      <c r="D886" s="3" t="s">
        <v>112</v>
      </c>
      <c r="E886" s="219">
        <v>10</v>
      </c>
      <c r="F886" s="166">
        <v>26</v>
      </c>
      <c r="G886" s="166">
        <v>41</v>
      </c>
      <c r="H886" s="21">
        <v>32</v>
      </c>
      <c r="I886" s="21">
        <v>6</v>
      </c>
      <c r="J886" s="21">
        <v>20</v>
      </c>
      <c r="K886" s="21">
        <v>4</v>
      </c>
      <c r="L886" s="21">
        <v>53</v>
      </c>
      <c r="M886" s="21">
        <v>21</v>
      </c>
      <c r="N886" s="21">
        <v>28</v>
      </c>
      <c r="O886" s="19">
        <v>88</v>
      </c>
      <c r="P886" s="22">
        <v>21</v>
      </c>
      <c r="Q886" s="22">
        <v>13</v>
      </c>
      <c r="R886" s="20"/>
      <c r="S886" s="234">
        <f>COUNTIFS(INP_DATA!$R$5:$R$3027,S$4,INP_DATA!$D$5:$D$3027,$D886,INP_DATA!$B$5:$B$3027,$B886)</f>
        <v>0</v>
      </c>
      <c r="T886" s="235">
        <f>COUNTIFS(INP_DATA!$R$5:$R$3027,T$4,INP_DATA!$D$5:$D$3027,$D886,INP_DATA!$B$5:$B$3027,$B886)</f>
        <v>0</v>
      </c>
    </row>
    <row r="887" spans="1:20" x14ac:dyDescent="0.35">
      <c r="A887" s="3" t="s">
        <v>16</v>
      </c>
      <c r="B887" s="165">
        <v>45413</v>
      </c>
      <c r="C887" s="57" t="str">
        <f>IF($B887="","",YEAR($B887)&amp;"-"&amp;IFERROR(VLOOKUP(MONTH(B887),KEY!$AE$5:$AF$16,2,FALSE),""))</f>
        <v>2024-Q2</v>
      </c>
      <c r="D887" s="3" t="s">
        <v>113</v>
      </c>
      <c r="E887" s="219">
        <v>15</v>
      </c>
      <c r="F887" s="166">
        <v>82</v>
      </c>
      <c r="G887" s="166">
        <v>85</v>
      </c>
      <c r="H887" s="21">
        <v>199</v>
      </c>
      <c r="I887" s="21">
        <v>34</v>
      </c>
      <c r="J887" s="21">
        <v>71</v>
      </c>
      <c r="K887" s="21">
        <v>19</v>
      </c>
      <c r="L887" s="21">
        <v>150</v>
      </c>
      <c r="M887" s="21">
        <v>70</v>
      </c>
      <c r="N887" s="21">
        <v>85</v>
      </c>
      <c r="O887" s="19">
        <v>154</v>
      </c>
      <c r="P887" s="22">
        <v>14</v>
      </c>
      <c r="Q887" s="22">
        <v>9</v>
      </c>
      <c r="R887" s="20"/>
      <c r="S887" s="234">
        <f>COUNTIFS(INP_DATA!$R$5:$R$3027,S$4,INP_DATA!$D$5:$D$3027,$D887,INP_DATA!$B$5:$B$3027,$B887)</f>
        <v>0</v>
      </c>
      <c r="T887" s="235">
        <f>COUNTIFS(INP_DATA!$R$5:$R$3027,T$4,INP_DATA!$D$5:$D$3027,$D887,INP_DATA!$B$5:$B$3027,$B887)</f>
        <v>0</v>
      </c>
    </row>
    <row r="888" spans="1:20" x14ac:dyDescent="0.35">
      <c r="A888" s="3" t="s">
        <v>108</v>
      </c>
      <c r="B888" s="165">
        <v>45413</v>
      </c>
      <c r="C888" s="57" t="str">
        <f>IF($B888="","",YEAR($B888)&amp;"-"&amp;IFERROR(VLOOKUP(MONTH(B888),KEY!$AE$5:$AF$16,2,FALSE),""))</f>
        <v>2024-Q2</v>
      </c>
      <c r="D888" s="3" t="s">
        <v>114</v>
      </c>
      <c r="E888" s="219">
        <v>12</v>
      </c>
      <c r="F888" s="166">
        <v>43</v>
      </c>
      <c r="G888" s="166">
        <v>62</v>
      </c>
      <c r="H888" s="21">
        <v>62</v>
      </c>
      <c r="I888" s="21">
        <v>11</v>
      </c>
      <c r="J888" s="21">
        <v>42</v>
      </c>
      <c r="K888" s="21">
        <v>13</v>
      </c>
      <c r="L888" s="21">
        <v>67</v>
      </c>
      <c r="M888" s="21">
        <v>29</v>
      </c>
      <c r="N888" s="21">
        <v>51</v>
      </c>
      <c r="O888" s="19">
        <v>110</v>
      </c>
      <c r="P888" s="22">
        <v>18</v>
      </c>
      <c r="Q888" s="22">
        <v>13</v>
      </c>
      <c r="R888" s="20"/>
      <c r="S888" s="234">
        <f>COUNTIFS(INP_DATA!$R$5:$R$3027,S$4,INP_DATA!$D$5:$D$3027,$D888,INP_DATA!$B$5:$B$3027,$B888)</f>
        <v>0</v>
      </c>
      <c r="T888" s="235">
        <f>COUNTIFS(INP_DATA!$R$5:$R$3027,T$4,INP_DATA!$D$5:$D$3027,$D888,INP_DATA!$B$5:$B$3027,$B888)</f>
        <v>0</v>
      </c>
    </row>
    <row r="889" spans="1:20" x14ac:dyDescent="0.35">
      <c r="A889" s="3" t="s">
        <v>107</v>
      </c>
      <c r="B889" s="165">
        <v>45413</v>
      </c>
      <c r="C889" s="57" t="str">
        <f>IF($B889="","",YEAR($B889)&amp;"-"&amp;IFERROR(VLOOKUP(MONTH(B889),KEY!$AE$5:$AF$16,2,FALSE),""))</f>
        <v>2024-Q2</v>
      </c>
      <c r="D889" s="3" t="s">
        <v>115</v>
      </c>
      <c r="E889" s="219">
        <v>4</v>
      </c>
      <c r="F889" s="166">
        <v>38</v>
      </c>
      <c r="G889" s="166">
        <v>62</v>
      </c>
      <c r="H889" s="21">
        <v>57</v>
      </c>
      <c r="I889" s="21">
        <v>11</v>
      </c>
      <c r="J889" s="21">
        <v>42</v>
      </c>
      <c r="K889" s="21">
        <v>12</v>
      </c>
      <c r="L889" s="21">
        <v>81</v>
      </c>
      <c r="M889" s="21">
        <v>29</v>
      </c>
      <c r="N889" s="21">
        <v>38</v>
      </c>
      <c r="O889" s="19">
        <v>110</v>
      </c>
      <c r="P889" s="22">
        <v>0</v>
      </c>
      <c r="Q889" s="22">
        <v>0</v>
      </c>
      <c r="R889" s="20"/>
      <c r="S889" s="234">
        <f>COUNTIFS(INP_DATA!$R$5:$R$3027,S$4,INP_DATA!$D$5:$D$3027,$D889,INP_DATA!$B$5:$B$3027,$B889)</f>
        <v>0</v>
      </c>
      <c r="T889" s="235">
        <f>COUNTIFS(INP_DATA!$R$5:$R$3027,T$4,INP_DATA!$D$5:$D$3027,$D889,INP_DATA!$B$5:$B$3027,$B889)</f>
        <v>0</v>
      </c>
    </row>
    <row r="890" spans="1:20" x14ac:dyDescent="0.35">
      <c r="A890" s="3" t="s">
        <v>16</v>
      </c>
      <c r="B890" s="165">
        <v>45413</v>
      </c>
      <c r="C890" s="57" t="str">
        <f>IF($B890="","",YEAR($B890)&amp;"-"&amp;IFERROR(VLOOKUP(MONTH(B890),KEY!$AE$5:$AF$16,2,FALSE),""))</f>
        <v>2024-Q2</v>
      </c>
      <c r="D890" s="3" t="s">
        <v>116</v>
      </c>
      <c r="E890" s="219">
        <v>24</v>
      </c>
      <c r="F890" s="166">
        <v>124</v>
      </c>
      <c r="G890" s="166">
        <v>147</v>
      </c>
      <c r="H890" s="21">
        <v>222</v>
      </c>
      <c r="I890" s="21">
        <v>22</v>
      </c>
      <c r="J890" s="21">
        <v>107</v>
      </c>
      <c r="K890" s="21">
        <v>14</v>
      </c>
      <c r="L890" s="21">
        <v>206</v>
      </c>
      <c r="M890" s="21">
        <v>65</v>
      </c>
      <c r="N890" s="21">
        <v>136</v>
      </c>
      <c r="O890" s="19">
        <v>198</v>
      </c>
      <c r="P890" s="22">
        <v>18</v>
      </c>
      <c r="Q890" s="22">
        <v>3</v>
      </c>
      <c r="R890" s="20"/>
      <c r="S890" s="234">
        <f>COUNTIFS(INP_DATA!$R$5:$R$3027,S$4,INP_DATA!$D$5:$D$3027,$D890,INP_DATA!$B$5:$B$3027,$B890)</f>
        <v>0</v>
      </c>
      <c r="T890" s="235">
        <f>COUNTIFS(INP_DATA!$R$5:$R$3027,T$4,INP_DATA!$D$5:$D$3027,$D890,INP_DATA!$B$5:$B$3027,$B890)</f>
        <v>0</v>
      </c>
    </row>
    <row r="891" spans="1:20" x14ac:dyDescent="0.35">
      <c r="A891" s="3" t="s">
        <v>107</v>
      </c>
      <c r="B891" s="165">
        <v>45413</v>
      </c>
      <c r="C891" s="57" t="str">
        <f>IF($B891="","",YEAR($B891)&amp;"-"&amp;IFERROR(VLOOKUP(MONTH(B891),KEY!$AE$5:$AF$16,2,FALSE),""))</f>
        <v>2024-Q2</v>
      </c>
      <c r="D891" s="3" t="s">
        <v>117</v>
      </c>
      <c r="E891" s="219">
        <v>18</v>
      </c>
      <c r="F891" s="166">
        <v>90</v>
      </c>
      <c r="G891" s="166">
        <v>171</v>
      </c>
      <c r="H891" s="21">
        <v>80</v>
      </c>
      <c r="I891" s="21">
        <v>15</v>
      </c>
      <c r="J891" s="21">
        <v>56</v>
      </c>
      <c r="K891" s="21">
        <v>17</v>
      </c>
      <c r="L891" s="21">
        <v>129</v>
      </c>
      <c r="M891" s="21">
        <v>55</v>
      </c>
      <c r="N891" s="21">
        <v>91</v>
      </c>
      <c r="O891" s="19">
        <v>154</v>
      </c>
      <c r="P891" s="22">
        <v>51</v>
      </c>
      <c r="Q891" s="22">
        <v>23</v>
      </c>
      <c r="R891" s="20"/>
      <c r="S891" s="234">
        <f>COUNTIFS(INP_DATA!$R$5:$R$3027,S$4,INP_DATA!$D$5:$D$3027,$D891,INP_DATA!$B$5:$B$3027,$B891)</f>
        <v>0</v>
      </c>
      <c r="T891" s="235">
        <f>COUNTIFS(INP_DATA!$R$5:$R$3027,T$4,INP_DATA!$D$5:$D$3027,$D891,INP_DATA!$B$5:$B$3027,$B891)</f>
        <v>0</v>
      </c>
    </row>
    <row r="892" spans="1:20" x14ac:dyDescent="0.35">
      <c r="A892" s="3" t="s">
        <v>106</v>
      </c>
      <c r="B892" s="165">
        <v>45413</v>
      </c>
      <c r="C892" s="57" t="str">
        <f>IF($B892="","",YEAR($B892)&amp;"-"&amp;IFERROR(VLOOKUP(MONTH(B892),KEY!$AE$5:$AF$16,2,FALSE),""))</f>
        <v>2024-Q2</v>
      </c>
      <c r="D892" s="3" t="s">
        <v>118</v>
      </c>
      <c r="E892" s="219">
        <v>33</v>
      </c>
      <c r="F892" s="166">
        <v>164</v>
      </c>
      <c r="G892" s="166">
        <v>228</v>
      </c>
      <c r="H892" s="21">
        <v>537</v>
      </c>
      <c r="I892" s="21">
        <v>47</v>
      </c>
      <c r="J892" s="21">
        <v>157</v>
      </c>
      <c r="K892" s="21">
        <v>29</v>
      </c>
      <c r="L892" s="21">
        <v>265</v>
      </c>
      <c r="M892" s="21">
        <v>91</v>
      </c>
      <c r="N892" s="21">
        <v>166</v>
      </c>
      <c r="O892" s="19">
        <v>264</v>
      </c>
      <c r="P892" s="22">
        <v>66</v>
      </c>
      <c r="Q892" s="22">
        <v>43</v>
      </c>
      <c r="R892" s="20"/>
      <c r="S892" s="234">
        <f>COUNTIFS(INP_DATA!$R$5:$R$3027,S$4,INP_DATA!$D$5:$D$3027,$D892,INP_DATA!$B$5:$B$3027,$B892)</f>
        <v>0</v>
      </c>
      <c r="T892" s="235">
        <f>COUNTIFS(INP_DATA!$R$5:$R$3027,T$4,INP_DATA!$D$5:$D$3027,$D892,INP_DATA!$B$5:$B$3027,$B892)</f>
        <v>0</v>
      </c>
    </row>
    <row r="893" spans="1:20" x14ac:dyDescent="0.35">
      <c r="A893" s="3" t="s">
        <v>16</v>
      </c>
      <c r="B893" s="165">
        <v>45413</v>
      </c>
      <c r="C893" s="57" t="str">
        <f>IF($B893="","",YEAR($B893)&amp;"-"&amp;IFERROR(VLOOKUP(MONTH(B893),KEY!$AE$5:$AF$16,2,FALSE),""))</f>
        <v>2024-Q2</v>
      </c>
      <c r="D893" s="3" t="s">
        <v>119</v>
      </c>
      <c r="E893" s="219">
        <v>8</v>
      </c>
      <c r="F893" s="166">
        <v>25</v>
      </c>
      <c r="G893" s="166">
        <v>20</v>
      </c>
      <c r="H893" s="21">
        <v>38</v>
      </c>
      <c r="I893" s="21">
        <v>6</v>
      </c>
      <c r="J893" s="21">
        <v>34</v>
      </c>
      <c r="K893" s="21">
        <v>8</v>
      </c>
      <c r="L893" s="21">
        <v>97</v>
      </c>
      <c r="M893" s="21">
        <v>16</v>
      </c>
      <c r="N893" s="21">
        <v>26</v>
      </c>
      <c r="O893" s="19">
        <v>88</v>
      </c>
      <c r="P893" s="22">
        <v>0</v>
      </c>
      <c r="Q893" s="22">
        <v>0</v>
      </c>
      <c r="R893" s="20"/>
      <c r="S893" s="234">
        <f>COUNTIFS(INP_DATA!$R$5:$R$3027,S$4,INP_DATA!$D$5:$D$3027,$D893,INP_DATA!$B$5:$B$3027,$B893)</f>
        <v>0</v>
      </c>
      <c r="T893" s="235">
        <f>COUNTIFS(INP_DATA!$R$5:$R$3027,T$4,INP_DATA!$D$5:$D$3027,$D893,INP_DATA!$B$5:$B$3027,$B893)</f>
        <v>0</v>
      </c>
    </row>
    <row r="894" spans="1:20" x14ac:dyDescent="0.35">
      <c r="A894" s="3" t="s">
        <v>16</v>
      </c>
      <c r="B894" s="165">
        <v>45413</v>
      </c>
      <c r="C894" s="57" t="str">
        <f>IF($B894="","",YEAR($B894)&amp;"-"&amp;IFERROR(VLOOKUP(MONTH(B894),KEY!$AE$5:$AF$16,2,FALSE),""))</f>
        <v>2024-Q2</v>
      </c>
      <c r="D894" s="3" t="s">
        <v>120</v>
      </c>
      <c r="E894" s="219">
        <v>55</v>
      </c>
      <c r="F894" s="166">
        <v>364</v>
      </c>
      <c r="G894" s="166">
        <v>401</v>
      </c>
      <c r="H894" s="21">
        <v>544</v>
      </c>
      <c r="I894" s="21">
        <v>74</v>
      </c>
      <c r="J894" s="21">
        <v>265</v>
      </c>
      <c r="K894" s="21">
        <v>54</v>
      </c>
      <c r="L894" s="21">
        <v>487</v>
      </c>
      <c r="M894" s="21">
        <v>197</v>
      </c>
      <c r="N894" s="21">
        <v>366</v>
      </c>
      <c r="O894" s="19">
        <v>572</v>
      </c>
      <c r="P894" s="22">
        <v>91</v>
      </c>
      <c r="Q894" s="22">
        <v>43</v>
      </c>
      <c r="R894" s="20"/>
      <c r="S894" s="234">
        <f>COUNTIFS(INP_DATA!$R$5:$R$3027,S$4,INP_DATA!$D$5:$D$3027,$D894,INP_DATA!$B$5:$B$3027,$B894)</f>
        <v>0</v>
      </c>
      <c r="T894" s="235">
        <f>COUNTIFS(INP_DATA!$R$5:$R$3027,T$4,INP_DATA!$D$5:$D$3027,$D894,INP_DATA!$B$5:$B$3027,$B894)</f>
        <v>0</v>
      </c>
    </row>
    <row r="895" spans="1:20" x14ac:dyDescent="0.35">
      <c r="A895" s="3" t="s">
        <v>109</v>
      </c>
      <c r="B895" s="165">
        <v>45413</v>
      </c>
      <c r="C895" s="57" t="str">
        <f>IF($B895="","",YEAR($B895)&amp;"-"&amp;IFERROR(VLOOKUP(MONTH(B895),KEY!$AE$5:$AF$16,2,FALSE),""))</f>
        <v>2024-Q2</v>
      </c>
      <c r="D895" s="3" t="s">
        <v>121</v>
      </c>
      <c r="E895" s="219">
        <v>68</v>
      </c>
      <c r="F895" s="166">
        <v>259</v>
      </c>
      <c r="G895" s="166">
        <v>280</v>
      </c>
      <c r="H895" s="21">
        <v>732</v>
      </c>
      <c r="I895" s="21">
        <v>94</v>
      </c>
      <c r="J895" s="21">
        <v>274</v>
      </c>
      <c r="K895" s="21">
        <v>35</v>
      </c>
      <c r="L895" s="21">
        <v>570</v>
      </c>
      <c r="M895" s="21">
        <v>180</v>
      </c>
      <c r="N895" s="21">
        <v>258</v>
      </c>
      <c r="O895" s="19">
        <v>462</v>
      </c>
      <c r="P895" s="22">
        <v>48</v>
      </c>
      <c r="Q895" s="22">
        <v>34</v>
      </c>
      <c r="R895" s="20"/>
      <c r="S895" s="234">
        <f>COUNTIFS(INP_DATA!$R$5:$R$3027,S$4,INP_DATA!$D$5:$D$3027,$D895,INP_DATA!$B$5:$B$3027,$B895)</f>
        <v>0</v>
      </c>
      <c r="T895" s="235">
        <f>COUNTIFS(INP_DATA!$R$5:$R$3027,T$4,INP_DATA!$D$5:$D$3027,$D895,INP_DATA!$B$5:$B$3027,$B895)</f>
        <v>0</v>
      </c>
    </row>
    <row r="896" spans="1:20" x14ac:dyDescent="0.35">
      <c r="A896" s="3" t="s">
        <v>108</v>
      </c>
      <c r="B896" s="165">
        <v>45413</v>
      </c>
      <c r="C896" s="57" t="str">
        <f>IF($B896="","",YEAR($B896)&amp;"-"&amp;IFERROR(VLOOKUP(MONTH(B896),KEY!$AE$5:$AF$16,2,FALSE),""))</f>
        <v>2024-Q2</v>
      </c>
      <c r="D896" s="3" t="s">
        <v>122</v>
      </c>
      <c r="E896" s="219">
        <v>4</v>
      </c>
      <c r="F896" s="166">
        <v>86</v>
      </c>
      <c r="G896" s="166">
        <v>102</v>
      </c>
      <c r="H896" s="21">
        <v>247</v>
      </c>
      <c r="I896" s="21">
        <v>22</v>
      </c>
      <c r="J896" s="21">
        <v>105</v>
      </c>
      <c r="K896" s="21">
        <v>18</v>
      </c>
      <c r="L896" s="21">
        <v>145</v>
      </c>
      <c r="M896" s="21">
        <v>44</v>
      </c>
      <c r="N896" s="21">
        <v>87</v>
      </c>
      <c r="O896" s="19">
        <v>242</v>
      </c>
      <c r="P896" s="22">
        <v>39</v>
      </c>
      <c r="Q896" s="22">
        <v>3</v>
      </c>
      <c r="R896" s="20"/>
      <c r="S896" s="234">
        <f>COUNTIFS(INP_DATA!$R$5:$R$3027,S$4,INP_DATA!$D$5:$D$3027,$D896,INP_DATA!$B$5:$B$3027,$B896)</f>
        <v>0</v>
      </c>
      <c r="T896" s="235">
        <f>COUNTIFS(INP_DATA!$R$5:$R$3027,T$4,INP_DATA!$D$5:$D$3027,$D896,INP_DATA!$B$5:$B$3027,$B896)</f>
        <v>0</v>
      </c>
    </row>
    <row r="897" spans="1:20" x14ac:dyDescent="0.35">
      <c r="A897" s="3" t="s">
        <v>107</v>
      </c>
      <c r="B897" s="165">
        <v>45413</v>
      </c>
      <c r="C897" s="57" t="str">
        <f>IF($B897="","",YEAR($B897)&amp;"-"&amp;IFERROR(VLOOKUP(MONTH(B897),KEY!$AE$5:$AF$16,2,FALSE),""))</f>
        <v>2024-Q2</v>
      </c>
      <c r="D897" s="3" t="s">
        <v>123</v>
      </c>
      <c r="E897" s="219">
        <v>63</v>
      </c>
      <c r="F897" s="166">
        <v>277</v>
      </c>
      <c r="G897" s="166">
        <v>237</v>
      </c>
      <c r="H897" s="21">
        <v>261</v>
      </c>
      <c r="I897" s="21">
        <v>62</v>
      </c>
      <c r="J897" s="21">
        <v>146</v>
      </c>
      <c r="K897" s="21">
        <v>38</v>
      </c>
      <c r="L897" s="21">
        <v>469</v>
      </c>
      <c r="M897" s="21">
        <v>211</v>
      </c>
      <c r="N897" s="21">
        <v>279</v>
      </c>
      <c r="O897" s="19">
        <v>418</v>
      </c>
      <c r="P897" s="22">
        <v>62</v>
      </c>
      <c r="Q897" s="22">
        <v>40</v>
      </c>
      <c r="R897" s="20"/>
      <c r="S897" s="234">
        <f>COUNTIFS(INP_DATA!$R$5:$R$3027,S$4,INP_DATA!$D$5:$D$3027,$D897,INP_DATA!$B$5:$B$3027,$B897)</f>
        <v>0</v>
      </c>
      <c r="T897" s="235">
        <f>COUNTIFS(INP_DATA!$R$5:$R$3027,T$4,INP_DATA!$D$5:$D$3027,$D897,INP_DATA!$B$5:$B$3027,$B897)</f>
        <v>0</v>
      </c>
    </row>
    <row r="898" spans="1:20" x14ac:dyDescent="0.35">
      <c r="A898" s="3" t="s">
        <v>108</v>
      </c>
      <c r="B898" s="165">
        <v>45413</v>
      </c>
      <c r="C898" s="57" t="str">
        <f>IF($B898="","",YEAR($B898)&amp;"-"&amp;IFERROR(VLOOKUP(MONTH(B898),KEY!$AE$5:$AF$16,2,FALSE),""))</f>
        <v>2024-Q2</v>
      </c>
      <c r="D898" s="3" t="s">
        <v>124</v>
      </c>
      <c r="E898" s="219">
        <v>85</v>
      </c>
      <c r="F898" s="166">
        <v>242</v>
      </c>
      <c r="G898" s="166">
        <v>209</v>
      </c>
      <c r="H898" s="21">
        <v>325</v>
      </c>
      <c r="I898" s="21">
        <v>59</v>
      </c>
      <c r="J898" s="21">
        <v>203</v>
      </c>
      <c r="K898" s="21">
        <v>32</v>
      </c>
      <c r="L898" s="21">
        <v>438</v>
      </c>
      <c r="M898" s="21">
        <v>155</v>
      </c>
      <c r="N898" s="21">
        <v>242</v>
      </c>
      <c r="O898" s="19">
        <v>484</v>
      </c>
      <c r="P898" s="22">
        <v>87</v>
      </c>
      <c r="Q898" s="22">
        <v>54</v>
      </c>
      <c r="R898" s="20"/>
      <c r="S898" s="234">
        <f>COUNTIFS(INP_DATA!$R$5:$R$3027,S$4,INP_DATA!$D$5:$D$3027,$D898,INP_DATA!$B$5:$B$3027,$B898)</f>
        <v>0</v>
      </c>
      <c r="T898" s="235">
        <f>COUNTIFS(INP_DATA!$R$5:$R$3027,T$4,INP_DATA!$D$5:$D$3027,$D898,INP_DATA!$B$5:$B$3027,$B898)</f>
        <v>0</v>
      </c>
    </row>
    <row r="899" spans="1:20" x14ac:dyDescent="0.35">
      <c r="A899" s="3" t="s">
        <v>106</v>
      </c>
      <c r="B899" s="165">
        <v>45413</v>
      </c>
      <c r="C899" s="57" t="str">
        <f>IF($B899="","",YEAR($B899)&amp;"-"&amp;IFERROR(VLOOKUP(MONTH(B899),KEY!$AE$5:$AF$16,2,FALSE),""))</f>
        <v>2024-Q2</v>
      </c>
      <c r="D899" s="3" t="s">
        <v>195</v>
      </c>
      <c r="E899" s="219">
        <v>9</v>
      </c>
      <c r="F899" s="166">
        <v>57</v>
      </c>
      <c r="G899" s="166">
        <v>40</v>
      </c>
      <c r="H899" s="21">
        <v>100</v>
      </c>
      <c r="I899" s="21">
        <v>19</v>
      </c>
      <c r="J899" s="21">
        <v>28</v>
      </c>
      <c r="K899" s="21">
        <v>7</v>
      </c>
      <c r="L899" s="21">
        <v>130</v>
      </c>
      <c r="M899" s="21">
        <v>42</v>
      </c>
      <c r="N899" s="21">
        <v>58</v>
      </c>
      <c r="O899" s="19">
        <v>132</v>
      </c>
      <c r="P899" s="22">
        <v>10</v>
      </c>
      <c r="Q899" s="22">
        <v>7</v>
      </c>
      <c r="R899" s="20"/>
      <c r="S899" s="234">
        <f>COUNTIFS(INP_DATA!$R$5:$R$3027,S$4,INP_DATA!$D$5:$D$3027,$D899,INP_DATA!$B$5:$B$3027,$B899)</f>
        <v>0</v>
      </c>
      <c r="T899" s="235">
        <f>COUNTIFS(INP_DATA!$R$5:$R$3027,T$4,INP_DATA!$D$5:$D$3027,$D899,INP_DATA!$B$5:$B$3027,$B899)</f>
        <v>0</v>
      </c>
    </row>
    <row r="900" spans="1:20" x14ac:dyDescent="0.35">
      <c r="A900" s="3" t="s">
        <v>106</v>
      </c>
      <c r="B900" s="165">
        <v>45413</v>
      </c>
      <c r="C900" s="57" t="str">
        <f>IF($B900="","",YEAR($B900)&amp;"-"&amp;IFERROR(VLOOKUP(MONTH(B900),KEY!$AE$5:$AF$16,2,FALSE),""))</f>
        <v>2024-Q2</v>
      </c>
      <c r="D900" s="3" t="s">
        <v>125</v>
      </c>
      <c r="E900" s="219">
        <v>46</v>
      </c>
      <c r="F900" s="166">
        <v>276</v>
      </c>
      <c r="G900" s="166">
        <v>274</v>
      </c>
      <c r="H900" s="21">
        <v>477</v>
      </c>
      <c r="I900" s="21">
        <v>73</v>
      </c>
      <c r="J900" s="21">
        <v>181</v>
      </c>
      <c r="K900" s="21">
        <v>46</v>
      </c>
      <c r="L900" s="21">
        <v>449</v>
      </c>
      <c r="M900" s="21">
        <v>111</v>
      </c>
      <c r="N900" s="21">
        <v>286</v>
      </c>
      <c r="O900" s="19">
        <v>374</v>
      </c>
      <c r="P900" s="22">
        <v>38</v>
      </c>
      <c r="Q900" s="22">
        <v>25</v>
      </c>
      <c r="R900" s="20"/>
      <c r="S900" s="234">
        <f>COUNTIFS(INP_DATA!$R$5:$R$3027,S$4,INP_DATA!$D$5:$D$3027,$D900,INP_DATA!$B$5:$B$3027,$B900)</f>
        <v>0</v>
      </c>
      <c r="T900" s="235">
        <f>COUNTIFS(INP_DATA!$R$5:$R$3027,T$4,INP_DATA!$D$5:$D$3027,$D900,INP_DATA!$B$5:$B$3027,$B900)</f>
        <v>0</v>
      </c>
    </row>
    <row r="901" spans="1:20" x14ac:dyDescent="0.35">
      <c r="A901" s="3" t="s">
        <v>107</v>
      </c>
      <c r="B901" s="165">
        <v>45413</v>
      </c>
      <c r="C901" s="57" t="str">
        <f>IF($B901="","",YEAR($B901)&amp;"-"&amp;IFERROR(VLOOKUP(MONTH(B901),KEY!$AE$5:$AF$16,2,FALSE),""))</f>
        <v>2024-Q2</v>
      </c>
      <c r="D901" s="3" t="s">
        <v>126</v>
      </c>
      <c r="E901" s="219">
        <v>97</v>
      </c>
      <c r="F901" s="166">
        <v>491</v>
      </c>
      <c r="G901" s="166">
        <v>518</v>
      </c>
      <c r="H901" s="21">
        <v>527</v>
      </c>
      <c r="I901" s="21">
        <v>100</v>
      </c>
      <c r="J901" s="21">
        <v>324</v>
      </c>
      <c r="K901" s="21">
        <v>92</v>
      </c>
      <c r="L901" s="21">
        <v>718</v>
      </c>
      <c r="M901" s="21">
        <v>281</v>
      </c>
      <c r="N901" s="21">
        <v>490</v>
      </c>
      <c r="O901" s="19">
        <v>638</v>
      </c>
      <c r="P901" s="22">
        <v>259</v>
      </c>
      <c r="Q901" s="22">
        <v>159</v>
      </c>
      <c r="R901" s="20"/>
      <c r="S901" s="234">
        <f>COUNTIFS(INP_DATA!$R$5:$R$3027,S$4,INP_DATA!$D$5:$D$3027,$D901,INP_DATA!$B$5:$B$3027,$B901)</f>
        <v>0</v>
      </c>
      <c r="T901" s="235">
        <f>COUNTIFS(INP_DATA!$R$5:$R$3027,T$4,INP_DATA!$D$5:$D$3027,$D901,INP_DATA!$B$5:$B$3027,$B901)</f>
        <v>0</v>
      </c>
    </row>
    <row r="902" spans="1:20" x14ac:dyDescent="0.35">
      <c r="A902" s="3" t="s">
        <v>107</v>
      </c>
      <c r="B902" s="165">
        <v>45413</v>
      </c>
      <c r="C902" s="57" t="str">
        <f>IF($B902="","",YEAR($B902)&amp;"-"&amp;IFERROR(VLOOKUP(MONTH(B902),KEY!$AE$5:$AF$16,2,FALSE),""))</f>
        <v>2024-Q2</v>
      </c>
      <c r="D902" s="3" t="s">
        <v>127</v>
      </c>
      <c r="E902" s="219">
        <v>16</v>
      </c>
      <c r="F902" s="166">
        <v>40</v>
      </c>
      <c r="G902" s="166">
        <v>46</v>
      </c>
      <c r="H902" s="21">
        <v>100</v>
      </c>
      <c r="I902" s="21">
        <v>9</v>
      </c>
      <c r="J902" s="21">
        <v>25</v>
      </c>
      <c r="K902" s="21">
        <v>4</v>
      </c>
      <c r="L902" s="21">
        <v>80</v>
      </c>
      <c r="M902" s="21">
        <v>33</v>
      </c>
      <c r="N902" s="21">
        <v>40</v>
      </c>
      <c r="O902" s="19">
        <v>110</v>
      </c>
      <c r="P902" s="22">
        <v>6</v>
      </c>
      <c r="Q902" s="22">
        <v>4</v>
      </c>
      <c r="R902" s="20"/>
      <c r="S902" s="234">
        <f>COUNTIFS(INP_DATA!$R$5:$R$3027,S$4,INP_DATA!$D$5:$D$3027,$D902,INP_DATA!$B$5:$B$3027,$B902)</f>
        <v>0</v>
      </c>
      <c r="T902" s="235">
        <f>COUNTIFS(INP_DATA!$R$5:$R$3027,T$4,INP_DATA!$D$5:$D$3027,$D902,INP_DATA!$B$5:$B$3027,$B902)</f>
        <v>0</v>
      </c>
    </row>
    <row r="903" spans="1:20" x14ac:dyDescent="0.35">
      <c r="A903" s="3" t="s">
        <v>109</v>
      </c>
      <c r="B903" s="165">
        <v>45413</v>
      </c>
      <c r="C903" s="57" t="str">
        <f>IF($B903="","",YEAR($B903)&amp;"-"&amp;IFERROR(VLOOKUP(MONTH(B903),KEY!$AE$5:$AF$16,2,FALSE),""))</f>
        <v>2024-Q2</v>
      </c>
      <c r="D903" s="3" t="s">
        <v>128</v>
      </c>
      <c r="E903" s="219">
        <v>8</v>
      </c>
      <c r="F903" s="166">
        <v>246</v>
      </c>
      <c r="G903" s="166">
        <v>352</v>
      </c>
      <c r="H903" s="21">
        <v>687</v>
      </c>
      <c r="I903" s="21">
        <v>79</v>
      </c>
      <c r="J903" s="21">
        <v>279</v>
      </c>
      <c r="K903" s="21">
        <v>42</v>
      </c>
      <c r="L903" s="21">
        <v>373</v>
      </c>
      <c r="M903" s="21">
        <v>117</v>
      </c>
      <c r="N903" s="21">
        <v>246</v>
      </c>
      <c r="O903" s="19">
        <v>242</v>
      </c>
      <c r="P903" s="22">
        <v>0</v>
      </c>
      <c r="Q903" s="22">
        <v>0</v>
      </c>
      <c r="R903" s="20"/>
      <c r="S903" s="234">
        <f>COUNTIFS(INP_DATA!$R$5:$R$3027,S$4,INP_DATA!$D$5:$D$3027,$D903,INP_DATA!$B$5:$B$3027,$B903)</f>
        <v>0</v>
      </c>
      <c r="T903" s="235">
        <f>COUNTIFS(INP_DATA!$R$5:$R$3027,T$4,INP_DATA!$D$5:$D$3027,$D903,INP_DATA!$B$5:$B$3027,$B903)</f>
        <v>0</v>
      </c>
    </row>
    <row r="904" spans="1:20" x14ac:dyDescent="0.35">
      <c r="A904" s="3" t="s">
        <v>106</v>
      </c>
      <c r="B904" s="165">
        <v>45413</v>
      </c>
      <c r="C904" s="57" t="str">
        <f>IF($B904="","",YEAR($B904)&amp;"-"&amp;IFERROR(VLOOKUP(MONTH(B904),KEY!$AE$5:$AF$16,2,FALSE),""))</f>
        <v>2024-Q2</v>
      </c>
      <c r="D904" s="3" t="s">
        <v>129</v>
      </c>
      <c r="E904" s="219">
        <v>19</v>
      </c>
      <c r="F904" s="166">
        <v>222</v>
      </c>
      <c r="G904" s="166">
        <v>168</v>
      </c>
      <c r="H904" s="21">
        <v>261</v>
      </c>
      <c r="I904" s="21">
        <v>48</v>
      </c>
      <c r="J904" s="21">
        <v>200</v>
      </c>
      <c r="K904" s="21">
        <v>47</v>
      </c>
      <c r="L904" s="21">
        <v>297</v>
      </c>
      <c r="M904" s="21">
        <v>105</v>
      </c>
      <c r="N904" s="21">
        <v>227</v>
      </c>
      <c r="O904" s="19">
        <v>374</v>
      </c>
      <c r="P904" s="22">
        <v>53</v>
      </c>
      <c r="Q904" s="22">
        <v>37</v>
      </c>
      <c r="R904" s="20"/>
      <c r="S904" s="234">
        <f>COUNTIFS(INP_DATA!$R$5:$R$3027,S$4,INP_DATA!$D$5:$D$3027,$D904,INP_DATA!$B$5:$B$3027,$B904)</f>
        <v>0</v>
      </c>
      <c r="T904" s="235">
        <f>COUNTIFS(INP_DATA!$R$5:$R$3027,T$4,INP_DATA!$D$5:$D$3027,$D904,INP_DATA!$B$5:$B$3027,$B904)</f>
        <v>0</v>
      </c>
    </row>
    <row r="905" spans="1:20" x14ac:dyDescent="0.35">
      <c r="A905" s="3" t="s">
        <v>108</v>
      </c>
      <c r="B905" s="165">
        <v>45413</v>
      </c>
      <c r="C905" s="57" t="str">
        <f>IF($B905="","",YEAR($B905)&amp;"-"&amp;IFERROR(VLOOKUP(MONTH(B905),KEY!$AE$5:$AF$16,2,FALSE),""))</f>
        <v>2024-Q2</v>
      </c>
      <c r="D905" s="3" t="s">
        <v>130</v>
      </c>
      <c r="E905" s="219">
        <v>22</v>
      </c>
      <c r="F905" s="166">
        <v>133</v>
      </c>
      <c r="G905" s="166">
        <v>150</v>
      </c>
      <c r="H905" s="21">
        <v>225</v>
      </c>
      <c r="I905" s="21">
        <v>36</v>
      </c>
      <c r="J905" s="21">
        <v>115</v>
      </c>
      <c r="K905" s="21">
        <v>32</v>
      </c>
      <c r="L905" s="21">
        <v>158</v>
      </c>
      <c r="M905" s="21">
        <v>80</v>
      </c>
      <c r="N905" s="21">
        <v>137</v>
      </c>
      <c r="O905" s="19">
        <v>176</v>
      </c>
      <c r="P905" s="22">
        <v>61</v>
      </c>
      <c r="Q905" s="22">
        <v>47</v>
      </c>
      <c r="R905" s="20"/>
      <c r="S905" s="234">
        <f>COUNTIFS(INP_DATA!$R$5:$R$3027,S$4,INP_DATA!$D$5:$D$3027,$D905,INP_DATA!$B$5:$B$3027,$B905)</f>
        <v>0</v>
      </c>
      <c r="T905" s="235">
        <f>COUNTIFS(INP_DATA!$R$5:$R$3027,T$4,INP_DATA!$D$5:$D$3027,$D905,INP_DATA!$B$5:$B$3027,$B905)</f>
        <v>0</v>
      </c>
    </row>
    <row r="906" spans="1:20" x14ac:dyDescent="0.35">
      <c r="A906" s="3" t="s">
        <v>109</v>
      </c>
      <c r="B906" s="165">
        <v>45413</v>
      </c>
      <c r="C906" s="57" t="str">
        <f>IF($B906="","",YEAR($B906)&amp;"-"&amp;IFERROR(VLOOKUP(MONTH(B906),KEY!$AE$5:$AF$16,2,FALSE),""))</f>
        <v>2024-Q2</v>
      </c>
      <c r="D906" s="3" t="s">
        <v>131</v>
      </c>
      <c r="E906" s="219">
        <v>44</v>
      </c>
      <c r="F906" s="166">
        <v>150</v>
      </c>
      <c r="G906" s="166">
        <v>189</v>
      </c>
      <c r="H906" s="21">
        <v>133</v>
      </c>
      <c r="I906" s="21">
        <v>18</v>
      </c>
      <c r="J906" s="21">
        <v>122</v>
      </c>
      <c r="K906" s="21">
        <v>32</v>
      </c>
      <c r="L906" s="21">
        <v>256</v>
      </c>
      <c r="M906" s="21">
        <v>60</v>
      </c>
      <c r="N906" s="21">
        <v>159</v>
      </c>
      <c r="O906" s="19">
        <v>264</v>
      </c>
      <c r="P906" s="22">
        <v>12</v>
      </c>
      <c r="Q906" s="22">
        <v>8</v>
      </c>
      <c r="R906" s="20"/>
      <c r="S906" s="234">
        <f>COUNTIFS(INP_DATA!$R$5:$R$3027,S$4,INP_DATA!$D$5:$D$3027,$D906,INP_DATA!$B$5:$B$3027,$B906)</f>
        <v>0</v>
      </c>
      <c r="T906" s="235">
        <f>COUNTIFS(INP_DATA!$R$5:$R$3027,T$4,INP_DATA!$D$5:$D$3027,$D906,INP_DATA!$B$5:$B$3027,$B906)</f>
        <v>0</v>
      </c>
    </row>
    <row r="907" spans="1:20" x14ac:dyDescent="0.35">
      <c r="A907" s="3" t="s">
        <v>108</v>
      </c>
      <c r="B907" s="165">
        <v>45413</v>
      </c>
      <c r="C907" s="57" t="str">
        <f>IF($B907="","",YEAR($B907)&amp;"-"&amp;IFERROR(VLOOKUP(MONTH(B907),KEY!$AE$5:$AF$16,2,FALSE),""))</f>
        <v>2024-Q2</v>
      </c>
      <c r="D907" s="3" t="s">
        <v>134</v>
      </c>
      <c r="E907" s="219">
        <v>9</v>
      </c>
      <c r="F907" s="166">
        <v>23</v>
      </c>
      <c r="G907" s="166">
        <v>43</v>
      </c>
      <c r="H907" s="21">
        <v>38</v>
      </c>
      <c r="I907" s="21">
        <v>5</v>
      </c>
      <c r="J907" s="21">
        <v>26</v>
      </c>
      <c r="K907" s="21">
        <v>6</v>
      </c>
      <c r="L907" s="21">
        <v>35</v>
      </c>
      <c r="M907" s="21">
        <v>14</v>
      </c>
      <c r="N907" s="21">
        <v>25</v>
      </c>
      <c r="O907" s="19">
        <v>88</v>
      </c>
      <c r="P907" s="22">
        <v>19</v>
      </c>
      <c r="Q907" s="22">
        <v>12</v>
      </c>
      <c r="R907" s="20"/>
      <c r="S907" s="234">
        <f>COUNTIFS(INP_DATA!$R$5:$R$3027,S$4,INP_DATA!$D$5:$D$3027,$D907,INP_DATA!$B$5:$B$3027,$B907)</f>
        <v>0</v>
      </c>
      <c r="T907" s="235">
        <f>COUNTIFS(INP_DATA!$R$5:$R$3027,T$4,INP_DATA!$D$5:$D$3027,$D907,INP_DATA!$B$5:$B$3027,$B907)</f>
        <v>0</v>
      </c>
    </row>
    <row r="908" spans="1:20" x14ac:dyDescent="0.35">
      <c r="A908" s="3" t="s">
        <v>108</v>
      </c>
      <c r="B908" s="165">
        <v>45413</v>
      </c>
      <c r="C908" s="57" t="str">
        <f>IF($B908="","",YEAR($B908)&amp;"-"&amp;IFERROR(VLOOKUP(MONTH(B908),KEY!$AE$5:$AF$16,2,FALSE),""))</f>
        <v>2024-Q2</v>
      </c>
      <c r="D908" s="3" t="s">
        <v>135</v>
      </c>
      <c r="E908" s="219">
        <v>57</v>
      </c>
      <c r="F908" s="166">
        <v>261</v>
      </c>
      <c r="G908" s="166">
        <v>173</v>
      </c>
      <c r="H908" s="21">
        <v>582</v>
      </c>
      <c r="I908" s="21">
        <v>78</v>
      </c>
      <c r="J908" s="21">
        <v>207</v>
      </c>
      <c r="K908" s="21">
        <v>50</v>
      </c>
      <c r="L908" s="21">
        <v>591</v>
      </c>
      <c r="M908" s="21">
        <v>152</v>
      </c>
      <c r="N908" s="21">
        <v>263</v>
      </c>
      <c r="O908" s="19">
        <v>418</v>
      </c>
      <c r="P908" s="22">
        <v>59</v>
      </c>
      <c r="Q908" s="22">
        <v>39</v>
      </c>
      <c r="R908" s="20"/>
      <c r="S908" s="234">
        <f>COUNTIFS(INP_DATA!$R$5:$R$3027,S$4,INP_DATA!$D$5:$D$3027,$D908,INP_DATA!$B$5:$B$3027,$B908)</f>
        <v>0</v>
      </c>
      <c r="T908" s="235">
        <f>COUNTIFS(INP_DATA!$R$5:$R$3027,T$4,INP_DATA!$D$5:$D$3027,$D908,INP_DATA!$B$5:$B$3027,$B908)</f>
        <v>0</v>
      </c>
    </row>
    <row r="909" spans="1:20" x14ac:dyDescent="0.35">
      <c r="A909" s="3" t="s">
        <v>16</v>
      </c>
      <c r="B909" s="165">
        <v>45413</v>
      </c>
      <c r="C909" s="57" t="str">
        <f>IF($B909="","",YEAR($B909)&amp;"-"&amp;IFERROR(VLOOKUP(MONTH(B909),KEY!$AE$5:$AF$16,2,FALSE),""))</f>
        <v>2024-Q2</v>
      </c>
      <c r="D909" s="3" t="s">
        <v>196</v>
      </c>
      <c r="E909" s="219">
        <v>13</v>
      </c>
      <c r="F909" s="166">
        <v>47</v>
      </c>
      <c r="G909" s="166">
        <v>37</v>
      </c>
      <c r="H909" s="21">
        <v>82</v>
      </c>
      <c r="I909" s="21">
        <v>13</v>
      </c>
      <c r="J909" s="21">
        <v>38</v>
      </c>
      <c r="K909" s="21">
        <v>12</v>
      </c>
      <c r="L909" s="21">
        <v>106</v>
      </c>
      <c r="M909" s="21">
        <v>44</v>
      </c>
      <c r="N909" s="21">
        <v>47</v>
      </c>
      <c r="O909" s="19">
        <v>110</v>
      </c>
      <c r="P909" s="22">
        <v>11</v>
      </c>
      <c r="Q909" s="22">
        <v>8</v>
      </c>
      <c r="R909" s="20"/>
      <c r="S909" s="234">
        <f>COUNTIFS(INP_DATA!$R$5:$R$3027,S$4,INP_DATA!$D$5:$D$3027,$D909,INP_DATA!$B$5:$B$3027,$B909)</f>
        <v>0</v>
      </c>
      <c r="T909" s="235">
        <f>COUNTIFS(INP_DATA!$R$5:$R$3027,T$4,INP_DATA!$D$5:$D$3027,$D909,INP_DATA!$B$5:$B$3027,$B909)</f>
        <v>0</v>
      </c>
    </row>
    <row r="910" spans="1:20" x14ac:dyDescent="0.35">
      <c r="A910" s="3" t="s">
        <v>16</v>
      </c>
      <c r="B910" s="165">
        <v>45413</v>
      </c>
      <c r="C910" s="57" t="str">
        <f>IF($B910="","",YEAR($B910)&amp;"-"&amp;IFERROR(VLOOKUP(MONTH(B910),KEY!$AE$5:$AF$16,2,FALSE),""))</f>
        <v>2024-Q2</v>
      </c>
      <c r="D910" s="3" t="s">
        <v>197</v>
      </c>
      <c r="E910" s="219">
        <v>30</v>
      </c>
      <c r="F910" s="166">
        <v>115</v>
      </c>
      <c r="G910" s="166">
        <v>86</v>
      </c>
      <c r="H910" s="21">
        <v>142</v>
      </c>
      <c r="I910" s="21">
        <v>23</v>
      </c>
      <c r="J910" s="21">
        <v>102</v>
      </c>
      <c r="K910" s="21">
        <v>20</v>
      </c>
      <c r="L910" s="21">
        <v>175</v>
      </c>
      <c r="M910" s="21">
        <v>86</v>
      </c>
      <c r="N910" s="21">
        <v>118</v>
      </c>
      <c r="O910" s="19">
        <v>242</v>
      </c>
      <c r="P910" s="22">
        <v>15</v>
      </c>
      <c r="Q910" s="22">
        <v>10</v>
      </c>
      <c r="R910" s="20"/>
      <c r="S910" s="234">
        <f>COUNTIFS(INP_DATA!$R$5:$R$3027,S$4,INP_DATA!$D$5:$D$3027,$D910,INP_DATA!$B$5:$B$3027,$B910)</f>
        <v>0</v>
      </c>
      <c r="T910" s="235">
        <f>COUNTIFS(INP_DATA!$R$5:$R$3027,T$4,INP_DATA!$D$5:$D$3027,$D910,INP_DATA!$B$5:$B$3027,$B910)</f>
        <v>0</v>
      </c>
    </row>
    <row r="911" spans="1:20" x14ac:dyDescent="0.35">
      <c r="A911" s="3" t="s">
        <v>109</v>
      </c>
      <c r="B911" s="165">
        <v>45413</v>
      </c>
      <c r="C911" s="57" t="str">
        <f>IF($B911="","",YEAR($B911)&amp;"-"&amp;IFERROR(VLOOKUP(MONTH(B911),KEY!$AE$5:$AF$16,2,FALSE),""))</f>
        <v>2024-Q2</v>
      </c>
      <c r="D911" s="3" t="s">
        <v>136</v>
      </c>
      <c r="E911" s="219">
        <v>68</v>
      </c>
      <c r="F911" s="166">
        <v>285</v>
      </c>
      <c r="G911" s="166">
        <v>251</v>
      </c>
      <c r="H911" s="21">
        <v>470</v>
      </c>
      <c r="I911" s="21">
        <v>64</v>
      </c>
      <c r="J911" s="21">
        <v>315</v>
      </c>
      <c r="K911" s="21">
        <v>43</v>
      </c>
      <c r="L911" s="21">
        <v>455</v>
      </c>
      <c r="M911" s="21">
        <v>153</v>
      </c>
      <c r="N911" s="21">
        <v>291</v>
      </c>
      <c r="O911" s="19">
        <v>330</v>
      </c>
      <c r="P911" s="22">
        <v>29</v>
      </c>
      <c r="Q911" s="22">
        <v>23</v>
      </c>
      <c r="R911" s="20"/>
      <c r="S911" s="234">
        <f>COUNTIFS(INP_DATA!$R$5:$R$3027,S$4,INP_DATA!$D$5:$D$3027,$D911,INP_DATA!$B$5:$B$3027,$B911)</f>
        <v>0</v>
      </c>
      <c r="T911" s="235">
        <f>COUNTIFS(INP_DATA!$R$5:$R$3027,T$4,INP_DATA!$D$5:$D$3027,$D911,INP_DATA!$B$5:$B$3027,$B911)</f>
        <v>0</v>
      </c>
    </row>
    <row r="912" spans="1:20" x14ac:dyDescent="0.35">
      <c r="A912" s="3" t="s">
        <v>16</v>
      </c>
      <c r="B912" s="165">
        <v>45413</v>
      </c>
      <c r="C912" s="57" t="str">
        <f>IF($B912="","",YEAR($B912)&amp;"-"&amp;IFERROR(VLOOKUP(MONTH(B912),KEY!$AE$5:$AF$16,2,FALSE),""))</f>
        <v>2024-Q2</v>
      </c>
      <c r="D912" s="3" t="s">
        <v>137</v>
      </c>
      <c r="E912" s="219">
        <v>20</v>
      </c>
      <c r="F912" s="166">
        <v>104</v>
      </c>
      <c r="G912" s="166">
        <v>84</v>
      </c>
      <c r="H912" s="21">
        <v>200</v>
      </c>
      <c r="I912" s="21">
        <v>27</v>
      </c>
      <c r="J912" s="21">
        <v>172</v>
      </c>
      <c r="K912" s="21">
        <v>42</v>
      </c>
      <c r="L912" s="21">
        <v>154</v>
      </c>
      <c r="M912" s="21">
        <v>78</v>
      </c>
      <c r="N912" s="21">
        <v>105</v>
      </c>
      <c r="O912" s="19">
        <v>198</v>
      </c>
      <c r="P912" s="22">
        <v>16</v>
      </c>
      <c r="Q912" s="22">
        <v>9</v>
      </c>
      <c r="R912" s="20"/>
      <c r="S912" s="234">
        <f>COUNTIFS(INP_DATA!$R$5:$R$3027,S$4,INP_DATA!$D$5:$D$3027,$D912,INP_DATA!$B$5:$B$3027,$B912)</f>
        <v>0</v>
      </c>
      <c r="T912" s="235">
        <f>COUNTIFS(INP_DATA!$R$5:$R$3027,T$4,INP_DATA!$D$5:$D$3027,$D912,INP_DATA!$B$5:$B$3027,$B912)</f>
        <v>0</v>
      </c>
    </row>
    <row r="913" spans="1:20" x14ac:dyDescent="0.35">
      <c r="A913" s="3" t="s">
        <v>109</v>
      </c>
      <c r="B913" s="165">
        <v>45413</v>
      </c>
      <c r="C913" s="57" t="str">
        <f>IF($B913="","",YEAR($B913)&amp;"-"&amp;IFERROR(VLOOKUP(MONTH(B913),KEY!$AE$5:$AF$16,2,FALSE),""))</f>
        <v>2024-Q2</v>
      </c>
      <c r="D913" s="3" t="s">
        <v>138</v>
      </c>
      <c r="E913" s="219">
        <v>31</v>
      </c>
      <c r="F913" s="166">
        <v>142</v>
      </c>
      <c r="G913" s="166">
        <v>129</v>
      </c>
      <c r="H913" s="21">
        <v>121</v>
      </c>
      <c r="I913" s="21">
        <v>22</v>
      </c>
      <c r="J913" s="21">
        <v>147</v>
      </c>
      <c r="K913" s="21">
        <v>39</v>
      </c>
      <c r="L913" s="21">
        <v>361</v>
      </c>
      <c r="M913" s="21">
        <v>109</v>
      </c>
      <c r="N913" s="21">
        <v>143</v>
      </c>
      <c r="O913" s="19">
        <v>176</v>
      </c>
      <c r="P913" s="22">
        <v>14</v>
      </c>
      <c r="Q913" s="22">
        <v>12</v>
      </c>
      <c r="R913" s="20"/>
      <c r="S913" s="234">
        <f>COUNTIFS(INP_DATA!$R$5:$R$3027,S$4,INP_DATA!$D$5:$D$3027,$D913,INP_DATA!$B$5:$B$3027,$B913)</f>
        <v>0</v>
      </c>
      <c r="T913" s="235">
        <f>COUNTIFS(INP_DATA!$R$5:$R$3027,T$4,INP_DATA!$D$5:$D$3027,$D913,INP_DATA!$B$5:$B$3027,$B913)</f>
        <v>0</v>
      </c>
    </row>
    <row r="914" spans="1:20" x14ac:dyDescent="0.35">
      <c r="A914" s="3" t="s">
        <v>108</v>
      </c>
      <c r="B914" s="165">
        <v>45413</v>
      </c>
      <c r="C914" s="57" t="str">
        <f>IF($B914="","",YEAR($B914)&amp;"-"&amp;IFERROR(VLOOKUP(MONTH(B914),KEY!$AE$5:$AF$16,2,FALSE),""))</f>
        <v>2024-Q2</v>
      </c>
      <c r="D914" s="3" t="s">
        <v>139</v>
      </c>
      <c r="E914" s="219">
        <v>44</v>
      </c>
      <c r="F914" s="166">
        <v>221</v>
      </c>
      <c r="G914" s="166">
        <v>159</v>
      </c>
      <c r="H914" s="21">
        <v>329</v>
      </c>
      <c r="I914" s="21">
        <v>62</v>
      </c>
      <c r="J914" s="21">
        <v>196</v>
      </c>
      <c r="K914" s="21">
        <v>52</v>
      </c>
      <c r="L914" s="21">
        <v>592</v>
      </c>
      <c r="M914" s="21">
        <v>151</v>
      </c>
      <c r="N914" s="21">
        <v>222</v>
      </c>
      <c r="O914" s="19">
        <v>286</v>
      </c>
      <c r="P914" s="22">
        <v>61</v>
      </c>
      <c r="Q914" s="22">
        <v>41</v>
      </c>
      <c r="R914" s="20"/>
      <c r="S914" s="234">
        <f>COUNTIFS(INP_DATA!$R$5:$R$3027,S$4,INP_DATA!$D$5:$D$3027,$D914,INP_DATA!$B$5:$B$3027,$B914)</f>
        <v>0</v>
      </c>
      <c r="T914" s="235">
        <f>COUNTIFS(INP_DATA!$R$5:$R$3027,T$4,INP_DATA!$D$5:$D$3027,$D914,INP_DATA!$B$5:$B$3027,$B914)</f>
        <v>0</v>
      </c>
    </row>
    <row r="915" spans="1:20" x14ac:dyDescent="0.35">
      <c r="A915" s="3" t="s">
        <v>107</v>
      </c>
      <c r="B915" s="165">
        <v>45413</v>
      </c>
      <c r="C915" s="57" t="str">
        <f>IF($B915="","",YEAR($B915)&amp;"-"&amp;IFERROR(VLOOKUP(MONTH(B915),KEY!$AE$5:$AF$16,2,FALSE),""))</f>
        <v>2024-Q2</v>
      </c>
      <c r="D915" s="3" t="s">
        <v>140</v>
      </c>
      <c r="E915" s="219">
        <v>3</v>
      </c>
      <c r="F915" s="166">
        <v>26</v>
      </c>
      <c r="G915" s="166">
        <v>31</v>
      </c>
      <c r="H915" s="21">
        <v>69</v>
      </c>
      <c r="I915" s="21">
        <v>12</v>
      </c>
      <c r="J915" s="21">
        <v>24</v>
      </c>
      <c r="K915" s="21">
        <v>7</v>
      </c>
      <c r="L915" s="21">
        <v>52</v>
      </c>
      <c r="M915" s="21">
        <v>22</v>
      </c>
      <c r="N915" s="21">
        <v>26</v>
      </c>
      <c r="O915" s="19">
        <v>88</v>
      </c>
      <c r="P915" s="22">
        <v>8</v>
      </c>
      <c r="Q915" s="22">
        <v>6</v>
      </c>
      <c r="R915" s="20"/>
      <c r="S915" s="234">
        <f>COUNTIFS(INP_DATA!$R$5:$R$3027,S$4,INP_DATA!$D$5:$D$3027,$D915,INP_DATA!$B$5:$B$3027,$B915)</f>
        <v>0</v>
      </c>
      <c r="T915" s="235">
        <f>COUNTIFS(INP_DATA!$R$5:$R$3027,T$4,INP_DATA!$D$5:$D$3027,$D915,INP_DATA!$B$5:$B$3027,$B915)</f>
        <v>0</v>
      </c>
    </row>
    <row r="916" spans="1:20" x14ac:dyDescent="0.35">
      <c r="A916" s="3" t="s">
        <v>108</v>
      </c>
      <c r="B916" s="165">
        <v>45413</v>
      </c>
      <c r="C916" s="57" t="str">
        <f>IF($B916="","",YEAR($B916)&amp;"-"&amp;IFERROR(VLOOKUP(MONTH(B916),KEY!$AE$5:$AF$16,2,FALSE),""))</f>
        <v>2024-Q2</v>
      </c>
      <c r="D916" s="3" t="s">
        <v>142</v>
      </c>
      <c r="E916" s="219">
        <v>24</v>
      </c>
      <c r="F916" s="166">
        <v>128</v>
      </c>
      <c r="G916" s="166">
        <v>93</v>
      </c>
      <c r="H916" s="21">
        <v>186</v>
      </c>
      <c r="I916" s="21">
        <v>48</v>
      </c>
      <c r="J916" s="21">
        <v>54</v>
      </c>
      <c r="K916" s="21">
        <v>19</v>
      </c>
      <c r="L916" s="21">
        <v>142</v>
      </c>
      <c r="M916" s="21">
        <v>76</v>
      </c>
      <c r="N916" s="21">
        <v>128</v>
      </c>
      <c r="O916" s="19">
        <v>88</v>
      </c>
      <c r="P916" s="22">
        <v>38</v>
      </c>
      <c r="Q916" s="22">
        <v>20</v>
      </c>
      <c r="R916" s="20"/>
      <c r="S916" s="234">
        <f>COUNTIFS(INP_DATA!$R$5:$R$3027,S$4,INP_DATA!$D$5:$D$3027,$D916,INP_DATA!$B$5:$B$3027,$B916)</f>
        <v>0</v>
      </c>
      <c r="T916" s="235">
        <f>COUNTIFS(INP_DATA!$R$5:$R$3027,T$4,INP_DATA!$D$5:$D$3027,$D916,INP_DATA!$B$5:$B$3027,$B916)</f>
        <v>0</v>
      </c>
    </row>
    <row r="917" spans="1:20" x14ac:dyDescent="0.35">
      <c r="A917" s="3" t="s">
        <v>16</v>
      </c>
      <c r="B917" s="165">
        <v>45413</v>
      </c>
      <c r="C917" s="57" t="str">
        <f>IF($B917="","",YEAR($B917)&amp;"-"&amp;IFERROR(VLOOKUP(MONTH(B917),KEY!$AE$5:$AF$16,2,FALSE),""))</f>
        <v>2024-Q2</v>
      </c>
      <c r="D917" s="3" t="s">
        <v>143</v>
      </c>
      <c r="E917" s="219">
        <v>14</v>
      </c>
      <c r="F917" s="166">
        <v>66</v>
      </c>
      <c r="G917" s="166">
        <v>79</v>
      </c>
      <c r="H917" s="21">
        <v>116</v>
      </c>
      <c r="I917" s="21">
        <v>17</v>
      </c>
      <c r="J917" s="21">
        <v>82</v>
      </c>
      <c r="K917" s="21">
        <v>25</v>
      </c>
      <c r="L917" s="21">
        <v>137</v>
      </c>
      <c r="M917" s="21">
        <v>35</v>
      </c>
      <c r="N917" s="21">
        <v>66</v>
      </c>
      <c r="O917" s="19">
        <v>154</v>
      </c>
      <c r="P917" s="22">
        <v>13</v>
      </c>
      <c r="Q917" s="22">
        <v>6</v>
      </c>
      <c r="R917" s="20"/>
      <c r="S917" s="234">
        <f>COUNTIFS(INP_DATA!$R$5:$R$3027,S$4,INP_DATA!$D$5:$D$3027,$D917,INP_DATA!$B$5:$B$3027,$B917)</f>
        <v>0</v>
      </c>
      <c r="T917" s="235">
        <f>COUNTIFS(INP_DATA!$R$5:$R$3027,T$4,INP_DATA!$D$5:$D$3027,$D917,INP_DATA!$B$5:$B$3027,$B917)</f>
        <v>0</v>
      </c>
    </row>
    <row r="918" spans="1:20" x14ac:dyDescent="0.35">
      <c r="A918" s="3" t="s">
        <v>16</v>
      </c>
      <c r="B918" s="165">
        <v>45413</v>
      </c>
      <c r="C918" s="57" t="str">
        <f>IF($B918="","",YEAR($B918)&amp;"-"&amp;IFERROR(VLOOKUP(MONTH(B918),KEY!$AE$5:$AF$16,2,FALSE),""))</f>
        <v>2024-Q2</v>
      </c>
      <c r="D918" s="3" t="s">
        <v>144</v>
      </c>
      <c r="E918" s="219">
        <v>40</v>
      </c>
      <c r="F918" s="166">
        <v>256</v>
      </c>
      <c r="G918" s="166">
        <v>179</v>
      </c>
      <c r="H918" s="21">
        <v>266</v>
      </c>
      <c r="I918" s="21">
        <v>37</v>
      </c>
      <c r="J918" s="21">
        <v>195</v>
      </c>
      <c r="K918" s="21">
        <v>36</v>
      </c>
      <c r="L918" s="21">
        <v>435</v>
      </c>
      <c r="M918" s="21">
        <v>147</v>
      </c>
      <c r="N918" s="21">
        <v>261</v>
      </c>
      <c r="O918" s="19">
        <v>440</v>
      </c>
      <c r="P918" s="22">
        <v>23</v>
      </c>
      <c r="Q918" s="22">
        <v>19</v>
      </c>
      <c r="R918" s="20"/>
      <c r="S918" s="234">
        <f>COUNTIFS(INP_DATA!$R$5:$R$3027,S$4,INP_DATA!$D$5:$D$3027,$D918,INP_DATA!$B$5:$B$3027,$B918)</f>
        <v>0</v>
      </c>
      <c r="T918" s="235">
        <f>COUNTIFS(INP_DATA!$R$5:$R$3027,T$4,INP_DATA!$D$5:$D$3027,$D918,INP_DATA!$B$5:$B$3027,$B918)</f>
        <v>0</v>
      </c>
    </row>
    <row r="919" spans="1:20" x14ac:dyDescent="0.35">
      <c r="A919" s="3" t="s">
        <v>108</v>
      </c>
      <c r="B919" s="165">
        <v>45413</v>
      </c>
      <c r="C919" s="57" t="str">
        <f>IF($B919="","",YEAR($B919)&amp;"-"&amp;IFERROR(VLOOKUP(MONTH(B919),KEY!$AE$5:$AF$16,2,FALSE),""))</f>
        <v>2024-Q2</v>
      </c>
      <c r="D919" s="3" t="s">
        <v>145</v>
      </c>
      <c r="E919" s="219">
        <v>47</v>
      </c>
      <c r="F919" s="166">
        <v>163</v>
      </c>
      <c r="G919" s="166">
        <v>178</v>
      </c>
      <c r="H919" s="21">
        <v>264</v>
      </c>
      <c r="I919" s="21">
        <v>28</v>
      </c>
      <c r="J919" s="21">
        <v>169</v>
      </c>
      <c r="K919" s="21">
        <v>29</v>
      </c>
      <c r="L919" s="21">
        <v>293</v>
      </c>
      <c r="M919" s="21">
        <v>73</v>
      </c>
      <c r="N919" s="21">
        <v>163</v>
      </c>
      <c r="O919" s="19">
        <v>308</v>
      </c>
      <c r="P919" s="22">
        <v>60</v>
      </c>
      <c r="Q919" s="22">
        <v>39</v>
      </c>
      <c r="R919" s="20"/>
      <c r="S919" s="234">
        <f>COUNTIFS(INP_DATA!$R$5:$R$3027,S$4,INP_DATA!$D$5:$D$3027,$D919,INP_DATA!$B$5:$B$3027,$B919)</f>
        <v>0</v>
      </c>
      <c r="T919" s="235">
        <f>COUNTIFS(INP_DATA!$R$5:$R$3027,T$4,INP_DATA!$D$5:$D$3027,$D919,INP_DATA!$B$5:$B$3027,$B919)</f>
        <v>0</v>
      </c>
    </row>
    <row r="920" spans="1:20" x14ac:dyDescent="0.35">
      <c r="A920" s="3" t="s">
        <v>16</v>
      </c>
      <c r="B920" s="165">
        <v>45413</v>
      </c>
      <c r="C920" s="57" t="str">
        <f>IF($B920="","",YEAR($B920)&amp;"-"&amp;IFERROR(VLOOKUP(MONTH(B920),KEY!$AE$5:$AF$16,2,FALSE),""))</f>
        <v>2024-Q2</v>
      </c>
      <c r="D920" s="3" t="s">
        <v>146</v>
      </c>
      <c r="E920" s="219">
        <v>4</v>
      </c>
      <c r="F920" s="166">
        <v>29</v>
      </c>
      <c r="G920" s="166">
        <v>39</v>
      </c>
      <c r="H920" s="21">
        <v>68</v>
      </c>
      <c r="I920" s="21">
        <v>6</v>
      </c>
      <c r="J920" s="21">
        <v>28</v>
      </c>
      <c r="K920" s="21">
        <v>3</v>
      </c>
      <c r="L920" s="21">
        <v>55</v>
      </c>
      <c r="M920" s="21">
        <v>19</v>
      </c>
      <c r="N920" s="21">
        <v>30</v>
      </c>
      <c r="O920" s="19">
        <v>88</v>
      </c>
      <c r="P920" s="22">
        <v>4</v>
      </c>
      <c r="Q920" s="22">
        <v>3</v>
      </c>
      <c r="R920" s="20"/>
      <c r="S920" s="234">
        <f>COUNTIFS(INP_DATA!$R$5:$R$3027,S$4,INP_DATA!$D$5:$D$3027,$D920,INP_DATA!$B$5:$B$3027,$B920)</f>
        <v>0</v>
      </c>
      <c r="T920" s="235">
        <f>COUNTIFS(INP_DATA!$R$5:$R$3027,T$4,INP_DATA!$D$5:$D$3027,$D920,INP_DATA!$B$5:$B$3027,$B920)</f>
        <v>0</v>
      </c>
    </row>
    <row r="921" spans="1:20" x14ac:dyDescent="0.35">
      <c r="A921" s="3" t="s">
        <v>109</v>
      </c>
      <c r="B921" s="165">
        <v>45413</v>
      </c>
      <c r="C921" s="57" t="str">
        <f>IF($B921="","",YEAR($B921)&amp;"-"&amp;IFERROR(VLOOKUP(MONTH(B921),KEY!$AE$5:$AF$16,2,FALSE),""))</f>
        <v>2024-Q2</v>
      </c>
      <c r="D921" s="3" t="s">
        <v>147</v>
      </c>
      <c r="E921" s="219">
        <v>5</v>
      </c>
      <c r="F921" s="166">
        <v>40</v>
      </c>
      <c r="G921" s="166">
        <v>54</v>
      </c>
      <c r="H921" s="21">
        <v>111</v>
      </c>
      <c r="I921" s="21">
        <v>16</v>
      </c>
      <c r="J921" s="21">
        <v>55</v>
      </c>
      <c r="K921" s="21">
        <v>4</v>
      </c>
      <c r="L921" s="21">
        <v>70</v>
      </c>
      <c r="M921" s="21">
        <v>26</v>
      </c>
      <c r="N921" s="21">
        <v>39</v>
      </c>
      <c r="O921" s="19">
        <v>88</v>
      </c>
      <c r="P921" s="22">
        <v>11</v>
      </c>
      <c r="Q921" s="22">
        <v>6</v>
      </c>
      <c r="R921" s="20"/>
      <c r="S921" s="234">
        <f>COUNTIFS(INP_DATA!$R$5:$R$3027,S$4,INP_DATA!$D$5:$D$3027,$D921,INP_DATA!$B$5:$B$3027,$B921)</f>
        <v>0</v>
      </c>
      <c r="T921" s="235">
        <f>COUNTIFS(INP_DATA!$R$5:$R$3027,T$4,INP_DATA!$D$5:$D$3027,$D921,INP_DATA!$B$5:$B$3027,$B921)</f>
        <v>0</v>
      </c>
    </row>
    <row r="922" spans="1:20" x14ac:dyDescent="0.35">
      <c r="A922" s="3" t="s">
        <v>106</v>
      </c>
      <c r="B922" s="165">
        <v>45413</v>
      </c>
      <c r="C922" s="57" t="str">
        <f>IF($B922="","",YEAR($B922)&amp;"-"&amp;IFERROR(VLOOKUP(MONTH(B922),KEY!$AE$5:$AF$16,2,FALSE),""))</f>
        <v>2024-Q2</v>
      </c>
      <c r="D922" s="3" t="s">
        <v>148</v>
      </c>
      <c r="E922" s="219">
        <v>4</v>
      </c>
      <c r="F922" s="166">
        <v>21</v>
      </c>
      <c r="G922" s="166">
        <v>44</v>
      </c>
      <c r="H922" s="21">
        <v>61</v>
      </c>
      <c r="I922" s="21">
        <v>7</v>
      </c>
      <c r="J922" s="21">
        <v>36</v>
      </c>
      <c r="K922" s="21">
        <v>6</v>
      </c>
      <c r="L922" s="21">
        <v>51</v>
      </c>
      <c r="M922" s="21">
        <v>16</v>
      </c>
      <c r="N922" s="21">
        <v>21</v>
      </c>
      <c r="O922" s="19">
        <v>88</v>
      </c>
      <c r="P922" s="22">
        <v>7</v>
      </c>
      <c r="Q922" s="22">
        <v>6</v>
      </c>
      <c r="R922" s="20"/>
      <c r="S922" s="234">
        <f>COUNTIFS(INP_DATA!$R$5:$R$3027,S$4,INP_DATA!$D$5:$D$3027,$D922,INP_DATA!$B$5:$B$3027,$B922)</f>
        <v>0</v>
      </c>
      <c r="T922" s="235">
        <f>COUNTIFS(INP_DATA!$R$5:$R$3027,T$4,INP_DATA!$D$5:$D$3027,$D922,INP_DATA!$B$5:$B$3027,$B922)</f>
        <v>0</v>
      </c>
    </row>
    <row r="923" spans="1:20" x14ac:dyDescent="0.35">
      <c r="A923" s="3" t="s">
        <v>107</v>
      </c>
      <c r="B923" s="165">
        <v>45413</v>
      </c>
      <c r="C923" s="57" t="str">
        <f>IF($B923="","",YEAR($B923)&amp;"-"&amp;IFERROR(VLOOKUP(MONTH(B923),KEY!$AE$5:$AF$16,2,FALSE),""))</f>
        <v>2024-Q2</v>
      </c>
      <c r="D923" s="3" t="s">
        <v>149</v>
      </c>
      <c r="E923" s="219">
        <v>6</v>
      </c>
      <c r="F923" s="166">
        <v>21</v>
      </c>
      <c r="G923" s="166">
        <v>23</v>
      </c>
      <c r="H923" s="21">
        <v>32</v>
      </c>
      <c r="I923" s="21">
        <v>6</v>
      </c>
      <c r="J923" s="21">
        <v>23</v>
      </c>
      <c r="K923" s="21">
        <v>6</v>
      </c>
      <c r="L923" s="21">
        <v>56</v>
      </c>
      <c r="M923" s="21">
        <v>17</v>
      </c>
      <c r="N923" s="21">
        <v>23</v>
      </c>
      <c r="O923" s="19">
        <v>66</v>
      </c>
      <c r="P923" s="22">
        <v>3</v>
      </c>
      <c r="Q923" s="22">
        <v>1</v>
      </c>
      <c r="R923" s="20"/>
      <c r="S923" s="234">
        <f>COUNTIFS(INP_DATA!$R$5:$R$3027,S$4,INP_DATA!$D$5:$D$3027,$D923,INP_DATA!$B$5:$B$3027,$B923)</f>
        <v>0</v>
      </c>
      <c r="T923" s="235">
        <f>COUNTIFS(INP_DATA!$R$5:$R$3027,T$4,INP_DATA!$D$5:$D$3027,$D923,INP_DATA!$B$5:$B$3027,$B923)</f>
        <v>0</v>
      </c>
    </row>
    <row r="924" spans="1:20" x14ac:dyDescent="0.35">
      <c r="A924" s="3" t="s">
        <v>108</v>
      </c>
      <c r="B924" s="165">
        <v>45413</v>
      </c>
      <c r="C924" s="57" t="str">
        <f>IF($B924="","",YEAR($B924)&amp;"-"&amp;IFERROR(VLOOKUP(MONTH(B924),KEY!$AE$5:$AF$16,2,FALSE),""))</f>
        <v>2024-Q2</v>
      </c>
      <c r="D924" s="3" t="s">
        <v>150</v>
      </c>
      <c r="E924" s="219">
        <v>6</v>
      </c>
      <c r="F924" s="166">
        <v>36</v>
      </c>
      <c r="G924" s="166">
        <v>39</v>
      </c>
      <c r="H924" s="21">
        <v>60</v>
      </c>
      <c r="I924" s="21">
        <v>8</v>
      </c>
      <c r="J924" s="21">
        <v>17</v>
      </c>
      <c r="K924" s="21">
        <v>7</v>
      </c>
      <c r="L924" s="21">
        <v>57</v>
      </c>
      <c r="M924" s="21">
        <v>18</v>
      </c>
      <c r="N924" s="21">
        <v>37</v>
      </c>
      <c r="O924" s="19">
        <v>110</v>
      </c>
      <c r="P924" s="22">
        <v>11</v>
      </c>
      <c r="Q924" s="22">
        <v>7</v>
      </c>
      <c r="R924" s="20"/>
      <c r="S924" s="234">
        <f>COUNTIFS(INP_DATA!$R$5:$R$3027,S$4,INP_DATA!$D$5:$D$3027,$D924,INP_DATA!$B$5:$B$3027,$B924)</f>
        <v>0</v>
      </c>
      <c r="T924" s="235">
        <f>COUNTIFS(INP_DATA!$R$5:$R$3027,T$4,INP_DATA!$D$5:$D$3027,$D924,INP_DATA!$B$5:$B$3027,$B924)</f>
        <v>0</v>
      </c>
    </row>
    <row r="925" spans="1:20" x14ac:dyDescent="0.35">
      <c r="A925" s="3" t="s">
        <v>16</v>
      </c>
      <c r="B925" s="165">
        <v>45413</v>
      </c>
      <c r="C925" s="57" t="str">
        <f>IF($B925="","",YEAR($B925)&amp;"-"&amp;IFERROR(VLOOKUP(MONTH(B925),KEY!$AE$5:$AF$16,2,FALSE),""))</f>
        <v>2024-Q2</v>
      </c>
      <c r="D925" s="3" t="s">
        <v>151</v>
      </c>
      <c r="E925" s="219">
        <v>8</v>
      </c>
      <c r="F925" s="166">
        <v>32</v>
      </c>
      <c r="G925" s="166">
        <v>27</v>
      </c>
      <c r="H925" s="21">
        <v>69</v>
      </c>
      <c r="I925" s="21">
        <v>8</v>
      </c>
      <c r="J925" s="21">
        <v>34</v>
      </c>
      <c r="K925" s="21">
        <v>12</v>
      </c>
      <c r="L925" s="21">
        <v>56</v>
      </c>
      <c r="M925" s="21">
        <v>24</v>
      </c>
      <c r="N925" s="21">
        <v>32</v>
      </c>
      <c r="O925" s="19">
        <v>88</v>
      </c>
      <c r="P925" s="22">
        <v>2</v>
      </c>
      <c r="Q925" s="22">
        <v>1</v>
      </c>
      <c r="R925" s="20"/>
      <c r="S925" s="234">
        <f>COUNTIFS(INP_DATA!$R$5:$R$3027,S$4,INP_DATA!$D$5:$D$3027,$D925,INP_DATA!$B$5:$B$3027,$B925)</f>
        <v>0</v>
      </c>
      <c r="T925" s="235">
        <f>COUNTIFS(INP_DATA!$R$5:$R$3027,T$4,INP_DATA!$D$5:$D$3027,$D925,INP_DATA!$B$5:$B$3027,$B925)</f>
        <v>0</v>
      </c>
    </row>
    <row r="926" spans="1:20" x14ac:dyDescent="0.35">
      <c r="A926" s="3" t="s">
        <v>106</v>
      </c>
      <c r="B926" s="165">
        <v>45413</v>
      </c>
      <c r="C926" s="57" t="str">
        <f>IF($B926="","",YEAR($B926)&amp;"-"&amp;IFERROR(VLOOKUP(MONTH(B926),KEY!$AE$5:$AF$16,2,FALSE),""))</f>
        <v>2024-Q2</v>
      </c>
      <c r="D926" s="3" t="s">
        <v>152</v>
      </c>
      <c r="E926" s="219">
        <v>57</v>
      </c>
      <c r="F926" s="166">
        <v>207</v>
      </c>
      <c r="G926" s="166">
        <v>205</v>
      </c>
      <c r="H926" s="21">
        <v>406</v>
      </c>
      <c r="I926" s="21">
        <v>66</v>
      </c>
      <c r="J926" s="21">
        <v>144</v>
      </c>
      <c r="K926" s="21">
        <v>30</v>
      </c>
      <c r="L926" s="21">
        <v>419</v>
      </c>
      <c r="M926" s="21">
        <v>177</v>
      </c>
      <c r="N926" s="21">
        <v>206</v>
      </c>
      <c r="O926" s="19">
        <v>286</v>
      </c>
      <c r="P926" s="22">
        <v>90</v>
      </c>
      <c r="Q926" s="22">
        <v>54</v>
      </c>
      <c r="R926" s="20"/>
      <c r="S926" s="234">
        <f>COUNTIFS(INP_DATA!$R$5:$R$3027,S$4,INP_DATA!$D$5:$D$3027,$D926,INP_DATA!$B$5:$B$3027,$B926)</f>
        <v>0</v>
      </c>
      <c r="T926" s="235">
        <f>COUNTIFS(INP_DATA!$R$5:$R$3027,T$4,INP_DATA!$D$5:$D$3027,$D926,INP_DATA!$B$5:$B$3027,$B926)</f>
        <v>0</v>
      </c>
    </row>
    <row r="927" spans="1:20" x14ac:dyDescent="0.35">
      <c r="A927" s="3" t="s">
        <v>16</v>
      </c>
      <c r="B927" s="165">
        <v>45413</v>
      </c>
      <c r="C927" s="57" t="str">
        <f>IF($B927="","",YEAR($B927)&amp;"-"&amp;IFERROR(VLOOKUP(MONTH(B927),KEY!$AE$5:$AF$16,2,FALSE),""))</f>
        <v>2024-Q2</v>
      </c>
      <c r="D927" s="3" t="s">
        <v>153</v>
      </c>
      <c r="E927" s="219">
        <v>45</v>
      </c>
      <c r="F927" s="166">
        <v>101</v>
      </c>
      <c r="G927" s="166">
        <v>109</v>
      </c>
      <c r="H927" s="21">
        <v>130</v>
      </c>
      <c r="I927" s="21">
        <v>12</v>
      </c>
      <c r="J927" s="21">
        <v>144</v>
      </c>
      <c r="K927" s="21">
        <v>8</v>
      </c>
      <c r="L927" s="21">
        <v>345</v>
      </c>
      <c r="M927" s="21">
        <v>51</v>
      </c>
      <c r="N927" s="21">
        <v>101</v>
      </c>
      <c r="O927" s="19">
        <v>286</v>
      </c>
      <c r="P927" s="22">
        <v>5</v>
      </c>
      <c r="Q927" s="22">
        <v>4</v>
      </c>
      <c r="R927" s="20"/>
      <c r="S927" s="234">
        <f>COUNTIFS(INP_DATA!$R$5:$R$3027,S$4,INP_DATA!$D$5:$D$3027,$D927,INP_DATA!$B$5:$B$3027,$B927)</f>
        <v>0</v>
      </c>
      <c r="T927" s="235">
        <f>COUNTIFS(INP_DATA!$R$5:$R$3027,T$4,INP_DATA!$D$5:$D$3027,$D927,INP_DATA!$B$5:$B$3027,$B927)</f>
        <v>0</v>
      </c>
    </row>
    <row r="928" spans="1:20" x14ac:dyDescent="0.35">
      <c r="A928" s="3" t="s">
        <v>106</v>
      </c>
      <c r="B928" s="165">
        <v>45413</v>
      </c>
      <c r="C928" s="57" t="str">
        <f>IF($B928="","",YEAR($B928)&amp;"-"&amp;IFERROR(VLOOKUP(MONTH(B928),KEY!$AE$5:$AF$16,2,FALSE),""))</f>
        <v>2024-Q2</v>
      </c>
      <c r="D928" s="3" t="s">
        <v>154</v>
      </c>
      <c r="E928" s="219">
        <v>23</v>
      </c>
      <c r="F928" s="166">
        <v>77</v>
      </c>
      <c r="G928" s="166">
        <v>70</v>
      </c>
      <c r="H928" s="21">
        <v>270</v>
      </c>
      <c r="I928" s="21">
        <v>30</v>
      </c>
      <c r="J928" s="21">
        <v>152</v>
      </c>
      <c r="K928" s="21">
        <v>17</v>
      </c>
      <c r="L928" s="21">
        <v>220</v>
      </c>
      <c r="M928" s="21">
        <v>44</v>
      </c>
      <c r="N928" s="21">
        <v>78</v>
      </c>
      <c r="O928" s="19">
        <v>154</v>
      </c>
      <c r="P928" s="22">
        <v>13</v>
      </c>
      <c r="Q928" s="22">
        <v>10</v>
      </c>
      <c r="R928" s="20"/>
      <c r="S928" s="234">
        <f>COUNTIFS(INP_DATA!$R$5:$R$3027,S$4,INP_DATA!$D$5:$D$3027,$D928,INP_DATA!$B$5:$B$3027,$B928)</f>
        <v>0</v>
      </c>
      <c r="T928" s="235">
        <f>COUNTIFS(INP_DATA!$R$5:$R$3027,T$4,INP_DATA!$D$5:$D$3027,$D928,INP_DATA!$B$5:$B$3027,$B928)</f>
        <v>0</v>
      </c>
    </row>
    <row r="929" spans="1:20" x14ac:dyDescent="0.35">
      <c r="A929" s="3" t="s">
        <v>109</v>
      </c>
      <c r="B929" s="165">
        <v>45413</v>
      </c>
      <c r="C929" s="57" t="str">
        <f>IF($B929="","",YEAR($B929)&amp;"-"&amp;IFERROR(VLOOKUP(MONTH(B929),KEY!$AE$5:$AF$16,2,FALSE),""))</f>
        <v>2024-Q2</v>
      </c>
      <c r="D929" s="3" t="s">
        <v>155</v>
      </c>
      <c r="E929" s="219">
        <v>76</v>
      </c>
      <c r="F929" s="166">
        <v>386</v>
      </c>
      <c r="G929" s="166">
        <v>368</v>
      </c>
      <c r="H929" s="21">
        <v>800</v>
      </c>
      <c r="I929" s="21">
        <v>109</v>
      </c>
      <c r="J929" s="21">
        <v>308</v>
      </c>
      <c r="K929" s="21">
        <v>55</v>
      </c>
      <c r="L929" s="21">
        <v>447</v>
      </c>
      <c r="M929" s="21">
        <v>180</v>
      </c>
      <c r="N929" s="21">
        <v>394</v>
      </c>
      <c r="O929" s="19">
        <v>462</v>
      </c>
      <c r="P929" s="22">
        <v>88</v>
      </c>
      <c r="Q929" s="22">
        <v>48</v>
      </c>
      <c r="R929" s="20"/>
      <c r="S929" s="234">
        <f>COUNTIFS(INP_DATA!$R$5:$R$3027,S$4,INP_DATA!$D$5:$D$3027,$D929,INP_DATA!$B$5:$B$3027,$B929)</f>
        <v>0</v>
      </c>
      <c r="T929" s="235">
        <f>COUNTIFS(INP_DATA!$R$5:$R$3027,T$4,INP_DATA!$D$5:$D$3027,$D929,INP_DATA!$B$5:$B$3027,$B929)</f>
        <v>0</v>
      </c>
    </row>
    <row r="930" spans="1:20" x14ac:dyDescent="0.35">
      <c r="A930" s="3" t="s">
        <v>109</v>
      </c>
      <c r="B930" s="165">
        <v>45413</v>
      </c>
      <c r="C930" s="57" t="str">
        <f>IF($B930="","",YEAR($B930)&amp;"-"&amp;IFERROR(VLOOKUP(MONTH(B930),KEY!$AE$5:$AF$16,2,FALSE),""))</f>
        <v>2024-Q2</v>
      </c>
      <c r="D930" s="3" t="s">
        <v>156</v>
      </c>
      <c r="E930" s="219">
        <v>70</v>
      </c>
      <c r="F930" s="166">
        <v>322</v>
      </c>
      <c r="G930" s="166">
        <v>306</v>
      </c>
      <c r="H930" s="21">
        <v>666</v>
      </c>
      <c r="I930" s="21">
        <v>90</v>
      </c>
      <c r="J930" s="21">
        <v>270</v>
      </c>
      <c r="K930" s="21">
        <v>41</v>
      </c>
      <c r="L930" s="21">
        <v>524</v>
      </c>
      <c r="M930" s="21">
        <v>124</v>
      </c>
      <c r="N930" s="21">
        <v>322</v>
      </c>
      <c r="O930" s="19">
        <v>528</v>
      </c>
      <c r="P930" s="22">
        <v>12</v>
      </c>
      <c r="Q930" s="22">
        <v>6</v>
      </c>
      <c r="R930" s="20"/>
      <c r="S930" s="234">
        <f>COUNTIFS(INP_DATA!$R$5:$R$3027,S$4,INP_DATA!$D$5:$D$3027,$D930,INP_DATA!$B$5:$B$3027,$B930)</f>
        <v>0</v>
      </c>
      <c r="T930" s="235">
        <f>COUNTIFS(INP_DATA!$R$5:$R$3027,T$4,INP_DATA!$D$5:$D$3027,$D930,INP_DATA!$B$5:$B$3027,$B930)</f>
        <v>0</v>
      </c>
    </row>
    <row r="931" spans="1:20" x14ac:dyDescent="0.35">
      <c r="A931" s="3" t="s">
        <v>109</v>
      </c>
      <c r="B931" s="165">
        <v>45413</v>
      </c>
      <c r="C931" s="57" t="str">
        <f>IF($B931="","",YEAR($B931)&amp;"-"&amp;IFERROR(VLOOKUP(MONTH(B931),KEY!$AE$5:$AF$16,2,FALSE),""))</f>
        <v>2024-Q2</v>
      </c>
      <c r="D931" s="3" t="s">
        <v>157</v>
      </c>
      <c r="E931" s="219">
        <v>15</v>
      </c>
      <c r="F931" s="166">
        <v>512</v>
      </c>
      <c r="G931" s="166">
        <v>233</v>
      </c>
      <c r="H931" s="21">
        <v>1451</v>
      </c>
      <c r="I931" s="21">
        <v>109</v>
      </c>
      <c r="J931" s="21">
        <v>503</v>
      </c>
      <c r="K931" s="21">
        <v>85</v>
      </c>
      <c r="L931" s="21">
        <v>914</v>
      </c>
      <c r="M931" s="21">
        <v>220</v>
      </c>
      <c r="N931" s="21">
        <v>521</v>
      </c>
      <c r="O931" s="19">
        <v>836</v>
      </c>
      <c r="P931" s="22">
        <v>18</v>
      </c>
      <c r="Q931" s="22">
        <v>10</v>
      </c>
      <c r="R931" s="20"/>
      <c r="S931" s="234">
        <f>COUNTIFS(INP_DATA!$R$5:$R$3027,S$4,INP_DATA!$D$5:$D$3027,$D931,INP_DATA!$B$5:$B$3027,$B931)</f>
        <v>0</v>
      </c>
      <c r="T931" s="235">
        <f>COUNTIFS(INP_DATA!$R$5:$R$3027,T$4,INP_DATA!$D$5:$D$3027,$D931,INP_DATA!$B$5:$B$3027,$B931)</f>
        <v>0</v>
      </c>
    </row>
    <row r="932" spans="1:20" x14ac:dyDescent="0.35">
      <c r="A932" s="3" t="s">
        <v>16</v>
      </c>
      <c r="B932" s="165">
        <v>45413</v>
      </c>
      <c r="C932" s="57" t="str">
        <f>IF($B932="","",YEAR($B932)&amp;"-"&amp;IFERROR(VLOOKUP(MONTH(B932),KEY!$AE$5:$AF$16,2,FALSE),""))</f>
        <v>2024-Q2</v>
      </c>
      <c r="D932" s="3" t="s">
        <v>158</v>
      </c>
      <c r="E932" s="219">
        <v>6</v>
      </c>
      <c r="F932" s="166">
        <v>35</v>
      </c>
      <c r="G932" s="166">
        <v>27</v>
      </c>
      <c r="H932" s="21">
        <v>50</v>
      </c>
      <c r="I932" s="21">
        <v>8</v>
      </c>
      <c r="J932" s="21">
        <v>26</v>
      </c>
      <c r="K932" s="21">
        <v>11</v>
      </c>
      <c r="L932" s="21">
        <v>93</v>
      </c>
      <c r="M932" s="21">
        <v>31</v>
      </c>
      <c r="N932" s="21">
        <v>35</v>
      </c>
      <c r="O932" s="19">
        <v>132</v>
      </c>
      <c r="P932" s="22">
        <v>3</v>
      </c>
      <c r="Q932" s="22">
        <v>0</v>
      </c>
      <c r="R932" s="20"/>
      <c r="S932" s="234">
        <f>COUNTIFS(INP_DATA!$R$5:$R$3027,S$4,INP_DATA!$D$5:$D$3027,$D932,INP_DATA!$B$5:$B$3027,$B932)</f>
        <v>0</v>
      </c>
      <c r="T932" s="235">
        <f>COUNTIFS(INP_DATA!$R$5:$R$3027,T$4,INP_DATA!$D$5:$D$3027,$D932,INP_DATA!$B$5:$B$3027,$B932)</f>
        <v>0</v>
      </c>
    </row>
    <row r="933" spans="1:20" x14ac:dyDescent="0.35">
      <c r="A933" s="3" t="s">
        <v>107</v>
      </c>
      <c r="B933" s="165">
        <v>45413</v>
      </c>
      <c r="C933" s="57" t="str">
        <f>IF($B933="","",YEAR($B933)&amp;"-"&amp;IFERROR(VLOOKUP(MONTH(B933),KEY!$AE$5:$AF$16,2,FALSE),""))</f>
        <v>2024-Q2</v>
      </c>
      <c r="D933" s="3" t="s">
        <v>159</v>
      </c>
      <c r="E933" s="219">
        <v>22</v>
      </c>
      <c r="F933" s="166">
        <v>124</v>
      </c>
      <c r="G933" s="166">
        <v>103</v>
      </c>
      <c r="H933" s="21">
        <v>214</v>
      </c>
      <c r="I933" s="21">
        <v>41</v>
      </c>
      <c r="J933" s="21">
        <v>80</v>
      </c>
      <c r="K933" s="21">
        <v>25</v>
      </c>
      <c r="L933" s="21">
        <v>228</v>
      </c>
      <c r="M933" s="21">
        <v>97</v>
      </c>
      <c r="N933" s="21">
        <v>125</v>
      </c>
      <c r="O933" s="19">
        <v>198</v>
      </c>
      <c r="P933" s="22">
        <v>22</v>
      </c>
      <c r="Q933" s="22">
        <v>17</v>
      </c>
      <c r="R933" s="20"/>
      <c r="S933" s="234">
        <f>COUNTIFS(INP_DATA!$R$5:$R$3027,S$4,INP_DATA!$D$5:$D$3027,$D933,INP_DATA!$B$5:$B$3027,$B933)</f>
        <v>0</v>
      </c>
      <c r="T933" s="235">
        <f>COUNTIFS(INP_DATA!$R$5:$R$3027,T$4,INP_DATA!$D$5:$D$3027,$D933,INP_DATA!$B$5:$B$3027,$B933)</f>
        <v>0</v>
      </c>
    </row>
    <row r="934" spans="1:20" x14ac:dyDescent="0.35">
      <c r="A934" s="3" t="s">
        <v>16</v>
      </c>
      <c r="B934" s="165">
        <v>45413</v>
      </c>
      <c r="C934" s="57" t="str">
        <f>IF($B934="","",YEAR($B934)&amp;"-"&amp;IFERROR(VLOOKUP(MONTH(B934),KEY!$AE$5:$AF$16,2,FALSE),""))</f>
        <v>2024-Q2</v>
      </c>
      <c r="D934" s="3" t="s">
        <v>160</v>
      </c>
      <c r="E934" s="219">
        <v>60</v>
      </c>
      <c r="F934" s="166">
        <v>407</v>
      </c>
      <c r="G934" s="166">
        <v>366</v>
      </c>
      <c r="H934" s="21">
        <v>629</v>
      </c>
      <c r="I934" s="21">
        <v>108</v>
      </c>
      <c r="J934" s="21">
        <v>219</v>
      </c>
      <c r="K934" s="21">
        <v>54</v>
      </c>
      <c r="L934" s="21">
        <v>498</v>
      </c>
      <c r="M934" s="21">
        <v>245</v>
      </c>
      <c r="N934" s="21">
        <v>408</v>
      </c>
      <c r="O934" s="19">
        <v>506</v>
      </c>
      <c r="P934" s="22">
        <v>74</v>
      </c>
      <c r="Q934" s="22">
        <v>53</v>
      </c>
      <c r="R934" s="20"/>
      <c r="S934" s="234">
        <f>COUNTIFS(INP_DATA!$R$5:$R$3027,S$4,INP_DATA!$D$5:$D$3027,$D934,INP_DATA!$B$5:$B$3027,$B934)</f>
        <v>0</v>
      </c>
      <c r="T934" s="235">
        <f>COUNTIFS(INP_DATA!$R$5:$R$3027,T$4,INP_DATA!$D$5:$D$3027,$D934,INP_DATA!$B$5:$B$3027,$B934)</f>
        <v>0</v>
      </c>
    </row>
    <row r="935" spans="1:20" x14ac:dyDescent="0.35">
      <c r="A935" s="3" t="s">
        <v>106</v>
      </c>
      <c r="B935" s="165">
        <v>45413</v>
      </c>
      <c r="C935" s="57" t="str">
        <f>IF($B935="","",YEAR($B935)&amp;"-"&amp;IFERROR(VLOOKUP(MONTH(B935),KEY!$AE$5:$AF$16,2,FALSE),""))</f>
        <v>2024-Q2</v>
      </c>
      <c r="D935" s="3" t="s">
        <v>161</v>
      </c>
      <c r="E935" s="219">
        <v>40</v>
      </c>
      <c r="F935" s="166">
        <v>285</v>
      </c>
      <c r="G935" s="166">
        <v>273</v>
      </c>
      <c r="H935" s="21">
        <v>637</v>
      </c>
      <c r="I935" s="21">
        <v>91</v>
      </c>
      <c r="J935" s="21">
        <v>192</v>
      </c>
      <c r="K935" s="21">
        <v>49</v>
      </c>
      <c r="L935" s="21">
        <v>355</v>
      </c>
      <c r="M935" s="21">
        <v>116</v>
      </c>
      <c r="N935" s="21">
        <v>292</v>
      </c>
      <c r="O935" s="19">
        <v>506</v>
      </c>
      <c r="P935" s="22">
        <v>27</v>
      </c>
      <c r="Q935" s="22">
        <v>26</v>
      </c>
      <c r="R935" s="20"/>
      <c r="S935" s="234">
        <f>COUNTIFS(INP_DATA!$R$5:$R$3027,S$4,INP_DATA!$D$5:$D$3027,$D935,INP_DATA!$B$5:$B$3027,$B935)</f>
        <v>0</v>
      </c>
      <c r="T935" s="235">
        <f>COUNTIFS(INP_DATA!$R$5:$R$3027,T$4,INP_DATA!$D$5:$D$3027,$D935,INP_DATA!$B$5:$B$3027,$B935)</f>
        <v>0</v>
      </c>
    </row>
    <row r="936" spans="1:20" x14ac:dyDescent="0.35">
      <c r="A936" s="3" t="s">
        <v>109</v>
      </c>
      <c r="B936" s="165">
        <v>45413</v>
      </c>
      <c r="C936" s="57" t="str">
        <f>IF($B936="","",YEAR($B936)&amp;"-"&amp;IFERROR(VLOOKUP(MONTH(B936),KEY!$AE$5:$AF$16,2,FALSE),""))</f>
        <v>2024-Q2</v>
      </c>
      <c r="D936" s="3" t="s">
        <v>162</v>
      </c>
      <c r="E936" s="219">
        <v>135</v>
      </c>
      <c r="F936" s="166">
        <v>440</v>
      </c>
      <c r="G936" s="166">
        <v>445</v>
      </c>
      <c r="H936" s="21">
        <v>573</v>
      </c>
      <c r="I936" s="21">
        <v>103</v>
      </c>
      <c r="J936" s="21">
        <v>178</v>
      </c>
      <c r="K936" s="21">
        <v>51</v>
      </c>
      <c r="L936" s="21">
        <v>838</v>
      </c>
      <c r="M936" s="21">
        <v>155</v>
      </c>
      <c r="N936" s="21">
        <v>444</v>
      </c>
      <c r="O936" s="19">
        <v>682</v>
      </c>
      <c r="P936" s="22">
        <v>67</v>
      </c>
      <c r="Q936" s="22">
        <v>54</v>
      </c>
      <c r="R936" s="20"/>
      <c r="S936" s="234">
        <f>COUNTIFS(INP_DATA!$R$5:$R$3027,S$4,INP_DATA!$D$5:$D$3027,$D936,INP_DATA!$B$5:$B$3027,$B936)</f>
        <v>0</v>
      </c>
      <c r="T936" s="235">
        <f>COUNTIFS(INP_DATA!$R$5:$R$3027,T$4,INP_DATA!$D$5:$D$3027,$D936,INP_DATA!$B$5:$B$3027,$B936)</f>
        <v>0</v>
      </c>
    </row>
    <row r="937" spans="1:20" x14ac:dyDescent="0.35">
      <c r="A937" s="3" t="s">
        <v>16</v>
      </c>
      <c r="B937" s="165">
        <v>45413</v>
      </c>
      <c r="C937" s="57" t="str">
        <f>IF($B937="","",YEAR($B937)&amp;"-"&amp;IFERROR(VLOOKUP(MONTH(B937),KEY!$AE$5:$AF$16,2,FALSE),""))</f>
        <v>2024-Q2</v>
      </c>
      <c r="D937" s="3" t="s">
        <v>163</v>
      </c>
      <c r="E937" s="219">
        <v>63</v>
      </c>
      <c r="F937" s="166">
        <v>305</v>
      </c>
      <c r="G937" s="166">
        <v>203</v>
      </c>
      <c r="H937" s="21">
        <v>407</v>
      </c>
      <c r="I937" s="21">
        <v>75</v>
      </c>
      <c r="J937" s="21">
        <v>293</v>
      </c>
      <c r="K937" s="21">
        <v>53</v>
      </c>
      <c r="L937" s="21">
        <v>423</v>
      </c>
      <c r="M937" s="21">
        <v>180</v>
      </c>
      <c r="N937" s="21">
        <v>307</v>
      </c>
      <c r="O937" s="19">
        <v>440</v>
      </c>
      <c r="P937" s="22">
        <v>23</v>
      </c>
      <c r="Q937" s="22">
        <v>7</v>
      </c>
      <c r="R937" s="20"/>
      <c r="S937" s="234">
        <f>COUNTIFS(INP_DATA!$R$5:$R$3027,S$4,INP_DATA!$D$5:$D$3027,$D937,INP_DATA!$B$5:$B$3027,$B937)</f>
        <v>0</v>
      </c>
      <c r="T937" s="235">
        <f>COUNTIFS(INP_DATA!$R$5:$R$3027,T$4,INP_DATA!$D$5:$D$3027,$D937,INP_DATA!$B$5:$B$3027,$B937)</f>
        <v>0</v>
      </c>
    </row>
    <row r="938" spans="1:20" x14ac:dyDescent="0.35">
      <c r="A938" s="3" t="s">
        <v>16</v>
      </c>
      <c r="B938" s="165">
        <v>45413</v>
      </c>
      <c r="C938" s="57" t="str">
        <f>IF($B938="","",YEAR($B938)&amp;"-"&amp;IFERROR(VLOOKUP(MONTH(B938),KEY!$AE$5:$AF$16,2,FALSE),""))</f>
        <v>2024-Q2</v>
      </c>
      <c r="D938" s="3" t="s">
        <v>164</v>
      </c>
      <c r="E938" s="219">
        <v>12</v>
      </c>
      <c r="F938" s="166">
        <v>87</v>
      </c>
      <c r="G938" s="166">
        <v>74</v>
      </c>
      <c r="H938" s="21">
        <v>194</v>
      </c>
      <c r="I938" s="21">
        <v>30</v>
      </c>
      <c r="J938" s="21">
        <v>47</v>
      </c>
      <c r="K938" s="21">
        <v>10</v>
      </c>
      <c r="L938" s="21">
        <v>143</v>
      </c>
      <c r="M938" s="21">
        <v>65</v>
      </c>
      <c r="N938" s="21">
        <v>85</v>
      </c>
      <c r="O938" s="19">
        <v>154</v>
      </c>
      <c r="P938" s="22">
        <v>12</v>
      </c>
      <c r="Q938" s="22">
        <v>3</v>
      </c>
      <c r="R938" s="20"/>
      <c r="S938" s="234">
        <f>COUNTIFS(INP_DATA!$R$5:$R$3027,S$4,INP_DATA!$D$5:$D$3027,$D938,INP_DATA!$B$5:$B$3027,$B938)</f>
        <v>0</v>
      </c>
      <c r="T938" s="235">
        <f>COUNTIFS(INP_DATA!$R$5:$R$3027,T$4,INP_DATA!$D$5:$D$3027,$D938,INP_DATA!$B$5:$B$3027,$B938)</f>
        <v>0</v>
      </c>
    </row>
    <row r="939" spans="1:20" x14ac:dyDescent="0.35">
      <c r="A939" s="3" t="s">
        <v>107</v>
      </c>
      <c r="B939" s="165">
        <v>45413</v>
      </c>
      <c r="C939" s="57" t="str">
        <f>IF($B939="","",YEAR($B939)&amp;"-"&amp;IFERROR(VLOOKUP(MONTH(B939),KEY!$AE$5:$AF$16,2,FALSE),""))</f>
        <v>2024-Q2</v>
      </c>
      <c r="D939" s="3" t="s">
        <v>165</v>
      </c>
      <c r="E939" s="219">
        <v>16</v>
      </c>
      <c r="F939" s="166">
        <v>73</v>
      </c>
      <c r="G939" s="166">
        <v>101</v>
      </c>
      <c r="H939" s="21">
        <v>275</v>
      </c>
      <c r="I939" s="21">
        <v>27</v>
      </c>
      <c r="J939" s="21">
        <v>58</v>
      </c>
      <c r="K939" s="21">
        <v>13</v>
      </c>
      <c r="L939" s="21">
        <v>101</v>
      </c>
      <c r="M939" s="21">
        <v>41</v>
      </c>
      <c r="N939" s="21">
        <v>74</v>
      </c>
      <c r="O939" s="19">
        <v>198</v>
      </c>
      <c r="P939" s="22">
        <v>38</v>
      </c>
      <c r="Q939" s="22">
        <v>19</v>
      </c>
      <c r="R939" s="20"/>
      <c r="S939" s="234">
        <f>COUNTIFS(INP_DATA!$R$5:$R$3027,S$4,INP_DATA!$D$5:$D$3027,$D939,INP_DATA!$B$5:$B$3027,$B939)</f>
        <v>0</v>
      </c>
      <c r="T939" s="235">
        <f>COUNTIFS(INP_DATA!$R$5:$R$3027,T$4,INP_DATA!$D$5:$D$3027,$D939,INP_DATA!$B$5:$B$3027,$B939)</f>
        <v>0</v>
      </c>
    </row>
    <row r="940" spans="1:20" x14ac:dyDescent="0.35">
      <c r="A940" s="3" t="s">
        <v>16</v>
      </c>
      <c r="B940" s="165">
        <v>45444</v>
      </c>
      <c r="C940" s="57" t="str">
        <f>IF($B940="","",YEAR($B940)&amp;"-"&amp;IFERROR(VLOOKUP(MONTH(B940),KEY!$AE$5:$AF$16,2,FALSE),""))</f>
        <v>2024-Q2</v>
      </c>
      <c r="D940" s="3" t="s">
        <v>111</v>
      </c>
      <c r="E940" s="219">
        <v>12</v>
      </c>
      <c r="F940" s="166">
        <v>67</v>
      </c>
      <c r="G940" s="166">
        <v>69</v>
      </c>
      <c r="H940" s="21">
        <v>91</v>
      </c>
      <c r="I940" s="21">
        <v>20</v>
      </c>
      <c r="J940" s="21">
        <v>50</v>
      </c>
      <c r="K940" s="21">
        <v>10</v>
      </c>
      <c r="L940" s="21">
        <v>135</v>
      </c>
      <c r="M940" s="21">
        <v>55</v>
      </c>
      <c r="N940" s="21">
        <v>67</v>
      </c>
      <c r="O940" s="19">
        <v>154</v>
      </c>
      <c r="P940" s="22">
        <v>17</v>
      </c>
      <c r="Q940" s="22">
        <v>11</v>
      </c>
      <c r="R940" s="20"/>
      <c r="S940" s="234">
        <f>COUNTIFS(INP_DATA!$R$5:$R$3027,S$4,INP_DATA!$D$5:$D$3027,$D940,INP_DATA!$B$5:$B$3027,$B940)</f>
        <v>0</v>
      </c>
      <c r="T940" s="235">
        <f>COUNTIFS(INP_DATA!$R$5:$R$3027,T$4,INP_DATA!$D$5:$D$3027,$D940,INP_DATA!$B$5:$B$3027,$B940)</f>
        <v>0</v>
      </c>
    </row>
    <row r="941" spans="1:20" x14ac:dyDescent="0.35">
      <c r="A941" s="3" t="s">
        <v>108</v>
      </c>
      <c r="B941" s="165">
        <v>45444</v>
      </c>
      <c r="C941" s="57" t="str">
        <f>IF($B941="","",YEAR($B941)&amp;"-"&amp;IFERROR(VLOOKUP(MONTH(B941),KEY!$AE$5:$AF$16,2,FALSE),""))</f>
        <v>2024-Q2</v>
      </c>
      <c r="D941" s="3" t="s">
        <v>112</v>
      </c>
      <c r="E941" s="219">
        <v>10</v>
      </c>
      <c r="F941" s="166">
        <v>28</v>
      </c>
      <c r="G941" s="166">
        <v>38</v>
      </c>
      <c r="H941" s="21">
        <v>52</v>
      </c>
      <c r="I941" s="21">
        <v>9</v>
      </c>
      <c r="J941" s="21">
        <v>18</v>
      </c>
      <c r="K941" s="21">
        <v>3</v>
      </c>
      <c r="L941" s="21">
        <v>67</v>
      </c>
      <c r="M941" s="21">
        <v>19</v>
      </c>
      <c r="N941" s="21">
        <v>28</v>
      </c>
      <c r="O941" s="19">
        <v>88</v>
      </c>
      <c r="P941" s="22">
        <v>12</v>
      </c>
      <c r="Q941" s="22">
        <v>11</v>
      </c>
      <c r="R941" s="20"/>
      <c r="S941" s="234">
        <f>COUNTIFS(INP_DATA!$R$5:$R$3027,S$4,INP_DATA!$D$5:$D$3027,$D941,INP_DATA!$B$5:$B$3027,$B941)</f>
        <v>0</v>
      </c>
      <c r="T941" s="235">
        <f>COUNTIFS(INP_DATA!$R$5:$R$3027,T$4,INP_DATA!$D$5:$D$3027,$D941,INP_DATA!$B$5:$B$3027,$B941)</f>
        <v>0</v>
      </c>
    </row>
    <row r="942" spans="1:20" x14ac:dyDescent="0.35">
      <c r="A942" s="3" t="s">
        <v>16</v>
      </c>
      <c r="B942" s="165">
        <v>45444</v>
      </c>
      <c r="C942" s="57" t="str">
        <f>IF($B942="","",YEAR($B942)&amp;"-"&amp;IFERROR(VLOOKUP(MONTH(B942),KEY!$AE$5:$AF$16,2,FALSE),""))</f>
        <v>2024-Q2</v>
      </c>
      <c r="D942" s="3" t="s">
        <v>113</v>
      </c>
      <c r="E942" s="219">
        <v>14</v>
      </c>
      <c r="F942" s="166">
        <v>77</v>
      </c>
      <c r="G942" s="166">
        <v>92</v>
      </c>
      <c r="H942" s="21">
        <v>212</v>
      </c>
      <c r="I942" s="21">
        <v>35</v>
      </c>
      <c r="J942" s="21">
        <v>61</v>
      </c>
      <c r="K942" s="21">
        <v>14</v>
      </c>
      <c r="L942" s="21">
        <v>163</v>
      </c>
      <c r="M942" s="21">
        <v>64</v>
      </c>
      <c r="N942" s="21">
        <v>80</v>
      </c>
      <c r="O942" s="19">
        <v>154</v>
      </c>
      <c r="P942" s="22">
        <v>7</v>
      </c>
      <c r="Q942" s="22">
        <v>4</v>
      </c>
      <c r="R942" s="20"/>
      <c r="S942" s="234">
        <f>COUNTIFS(INP_DATA!$R$5:$R$3027,S$4,INP_DATA!$D$5:$D$3027,$D942,INP_DATA!$B$5:$B$3027,$B942)</f>
        <v>0</v>
      </c>
      <c r="T942" s="235">
        <f>COUNTIFS(INP_DATA!$R$5:$R$3027,T$4,INP_DATA!$D$5:$D$3027,$D942,INP_DATA!$B$5:$B$3027,$B942)</f>
        <v>0</v>
      </c>
    </row>
    <row r="943" spans="1:20" x14ac:dyDescent="0.35">
      <c r="A943" s="3" t="s">
        <v>108</v>
      </c>
      <c r="B943" s="165">
        <v>45444</v>
      </c>
      <c r="C943" s="57" t="str">
        <f>IF($B943="","",YEAR($B943)&amp;"-"&amp;IFERROR(VLOOKUP(MONTH(B943),KEY!$AE$5:$AF$16,2,FALSE),""))</f>
        <v>2024-Q2</v>
      </c>
      <c r="D943" s="3" t="s">
        <v>114</v>
      </c>
      <c r="E943" s="219">
        <v>2</v>
      </c>
      <c r="F943" s="166">
        <v>38</v>
      </c>
      <c r="G943" s="166">
        <v>58</v>
      </c>
      <c r="H943" s="21">
        <v>63</v>
      </c>
      <c r="I943" s="21">
        <v>12</v>
      </c>
      <c r="J943" s="21">
        <v>29</v>
      </c>
      <c r="K943" s="21">
        <v>7</v>
      </c>
      <c r="L943" s="21">
        <v>57</v>
      </c>
      <c r="M943" s="21">
        <v>26</v>
      </c>
      <c r="N943" s="21">
        <v>41</v>
      </c>
      <c r="O943" s="19">
        <v>110</v>
      </c>
      <c r="P943" s="22">
        <v>15</v>
      </c>
      <c r="Q943" s="22">
        <v>11</v>
      </c>
      <c r="R943" s="20"/>
      <c r="S943" s="234">
        <f>COUNTIFS(INP_DATA!$R$5:$R$3027,S$4,INP_DATA!$D$5:$D$3027,$D943,INP_DATA!$B$5:$B$3027,$B943)</f>
        <v>0</v>
      </c>
      <c r="T943" s="235">
        <f>COUNTIFS(INP_DATA!$R$5:$R$3027,T$4,INP_DATA!$D$5:$D$3027,$D943,INP_DATA!$B$5:$B$3027,$B943)</f>
        <v>0</v>
      </c>
    </row>
    <row r="944" spans="1:20" x14ac:dyDescent="0.35">
      <c r="A944" s="3" t="s">
        <v>107</v>
      </c>
      <c r="B944" s="165">
        <v>45444</v>
      </c>
      <c r="C944" s="57" t="str">
        <f>IF($B944="","",YEAR($B944)&amp;"-"&amp;IFERROR(VLOOKUP(MONTH(B944),KEY!$AE$5:$AF$16,2,FALSE),""))</f>
        <v>2024-Q2</v>
      </c>
      <c r="D944" s="3" t="s">
        <v>115</v>
      </c>
      <c r="E944" s="219">
        <v>4</v>
      </c>
      <c r="F944" s="166">
        <v>39</v>
      </c>
      <c r="G944" s="166">
        <v>70</v>
      </c>
      <c r="H944" s="21">
        <v>61</v>
      </c>
      <c r="I944" s="21">
        <v>12</v>
      </c>
      <c r="J944" s="21">
        <v>25</v>
      </c>
      <c r="K944" s="21">
        <v>11</v>
      </c>
      <c r="L944" s="21">
        <v>76</v>
      </c>
      <c r="M944" s="21">
        <v>35</v>
      </c>
      <c r="N944" s="21">
        <v>39</v>
      </c>
      <c r="O944" s="19">
        <v>110</v>
      </c>
      <c r="P944" s="22">
        <v>3</v>
      </c>
      <c r="Q944" s="22">
        <v>1</v>
      </c>
      <c r="R944" s="20"/>
      <c r="S944" s="234">
        <f>COUNTIFS(INP_DATA!$R$5:$R$3027,S$4,INP_DATA!$D$5:$D$3027,$D944,INP_DATA!$B$5:$B$3027,$B944)</f>
        <v>0</v>
      </c>
      <c r="T944" s="235">
        <f>COUNTIFS(INP_DATA!$R$5:$R$3027,T$4,INP_DATA!$D$5:$D$3027,$D944,INP_DATA!$B$5:$B$3027,$B944)</f>
        <v>0</v>
      </c>
    </row>
    <row r="945" spans="1:20" x14ac:dyDescent="0.35">
      <c r="A945" s="3" t="s">
        <v>16</v>
      </c>
      <c r="B945" s="165">
        <v>45444</v>
      </c>
      <c r="C945" s="57" t="str">
        <f>IF($B945="","",YEAR($B945)&amp;"-"&amp;IFERROR(VLOOKUP(MONTH(B945),KEY!$AE$5:$AF$16,2,FALSE),""))</f>
        <v>2024-Q2</v>
      </c>
      <c r="D945" s="3" t="s">
        <v>116</v>
      </c>
      <c r="E945" s="219">
        <v>17</v>
      </c>
      <c r="F945" s="166">
        <v>121</v>
      </c>
      <c r="G945" s="166">
        <v>153</v>
      </c>
      <c r="H945" s="21">
        <v>258</v>
      </c>
      <c r="I945" s="21">
        <v>24</v>
      </c>
      <c r="J945" s="21">
        <v>114</v>
      </c>
      <c r="K945" s="21">
        <v>14</v>
      </c>
      <c r="L945" s="21">
        <v>190</v>
      </c>
      <c r="M945" s="21">
        <v>67</v>
      </c>
      <c r="N945" s="21">
        <v>130</v>
      </c>
      <c r="O945" s="19">
        <v>198</v>
      </c>
      <c r="P945" s="22">
        <v>15</v>
      </c>
      <c r="Q945" s="22">
        <v>1</v>
      </c>
      <c r="R945" s="20"/>
      <c r="S945" s="234">
        <f>COUNTIFS(INP_DATA!$R$5:$R$3027,S$4,INP_DATA!$D$5:$D$3027,$D945,INP_DATA!$B$5:$B$3027,$B945)</f>
        <v>0</v>
      </c>
      <c r="T945" s="235">
        <f>COUNTIFS(INP_DATA!$R$5:$R$3027,T$4,INP_DATA!$D$5:$D$3027,$D945,INP_DATA!$B$5:$B$3027,$B945)</f>
        <v>0</v>
      </c>
    </row>
    <row r="946" spans="1:20" x14ac:dyDescent="0.35">
      <c r="A946" s="3" t="s">
        <v>106</v>
      </c>
      <c r="B946" s="165">
        <v>45444</v>
      </c>
      <c r="C946" s="57" t="str">
        <f>IF($B946="","",YEAR($B946)&amp;"-"&amp;IFERROR(VLOOKUP(MONTH(B946),KEY!$AE$5:$AF$16,2,FALSE),""))</f>
        <v>2024-Q2</v>
      </c>
      <c r="D946" s="3" t="s">
        <v>118</v>
      </c>
      <c r="E946" s="219">
        <v>29</v>
      </c>
      <c r="F946" s="166">
        <v>167</v>
      </c>
      <c r="G946" s="166">
        <v>197</v>
      </c>
      <c r="H946" s="21">
        <v>522</v>
      </c>
      <c r="I946" s="21">
        <v>53</v>
      </c>
      <c r="J946" s="21">
        <v>149</v>
      </c>
      <c r="K946" s="21">
        <v>36</v>
      </c>
      <c r="L946" s="21">
        <v>303</v>
      </c>
      <c r="M946" s="21">
        <v>103</v>
      </c>
      <c r="N946" s="21">
        <v>170</v>
      </c>
      <c r="O946" s="19">
        <v>264</v>
      </c>
      <c r="P946" s="22">
        <v>77</v>
      </c>
      <c r="Q946" s="22">
        <v>50</v>
      </c>
      <c r="R946" s="20"/>
      <c r="S946" s="234">
        <f>COUNTIFS(INP_DATA!$R$5:$R$3027,S$4,INP_DATA!$D$5:$D$3027,$D946,INP_DATA!$B$5:$B$3027,$B946)</f>
        <v>0</v>
      </c>
      <c r="T946" s="235">
        <f>COUNTIFS(INP_DATA!$R$5:$R$3027,T$4,INP_DATA!$D$5:$D$3027,$D946,INP_DATA!$B$5:$B$3027,$B946)</f>
        <v>0</v>
      </c>
    </row>
    <row r="947" spans="1:20" x14ac:dyDescent="0.35">
      <c r="A947" s="3" t="s">
        <v>107</v>
      </c>
      <c r="B947" s="165">
        <v>45444</v>
      </c>
      <c r="C947" s="57" t="str">
        <f>IF($B947="","",YEAR($B947)&amp;"-"&amp;IFERROR(VLOOKUP(MONTH(B947),KEY!$AE$5:$AF$16,2,FALSE),""))</f>
        <v>2024-Q2</v>
      </c>
      <c r="D947" s="3" t="s">
        <v>117</v>
      </c>
      <c r="E947" s="219">
        <v>14</v>
      </c>
      <c r="F947" s="166">
        <v>39</v>
      </c>
      <c r="G947" s="166">
        <v>70</v>
      </c>
      <c r="H947" s="21">
        <v>113</v>
      </c>
      <c r="I947" s="21">
        <v>17</v>
      </c>
      <c r="J947" s="21">
        <v>71</v>
      </c>
      <c r="K947" s="21">
        <v>13</v>
      </c>
      <c r="L947" s="21">
        <v>132</v>
      </c>
      <c r="M947" s="21">
        <v>48</v>
      </c>
      <c r="N947" s="21">
        <v>74</v>
      </c>
      <c r="O947" s="19">
        <v>176</v>
      </c>
      <c r="P947" s="22">
        <v>39</v>
      </c>
      <c r="Q947" s="22">
        <v>22</v>
      </c>
      <c r="R947" s="20"/>
      <c r="S947" s="234">
        <f>COUNTIFS(INP_DATA!$R$5:$R$3027,S$4,INP_DATA!$D$5:$D$3027,$D947,INP_DATA!$B$5:$B$3027,$B947)</f>
        <v>0</v>
      </c>
      <c r="T947" s="235">
        <f>COUNTIFS(INP_DATA!$R$5:$R$3027,T$4,INP_DATA!$D$5:$D$3027,$D947,INP_DATA!$B$5:$B$3027,$B947)</f>
        <v>0</v>
      </c>
    </row>
    <row r="948" spans="1:20" x14ac:dyDescent="0.35">
      <c r="A948" s="3" t="s">
        <v>16</v>
      </c>
      <c r="B948" s="165">
        <v>45444</v>
      </c>
      <c r="C948" s="57" t="str">
        <f>IF($B948="","",YEAR($B948)&amp;"-"&amp;IFERROR(VLOOKUP(MONTH(B948),KEY!$AE$5:$AF$16,2,FALSE),""))</f>
        <v>2024-Q2</v>
      </c>
      <c r="D948" s="3" t="s">
        <v>119</v>
      </c>
      <c r="E948" s="219">
        <v>9</v>
      </c>
      <c r="F948" s="166">
        <v>27</v>
      </c>
      <c r="G948" s="166">
        <v>22</v>
      </c>
      <c r="H948" s="21">
        <v>42</v>
      </c>
      <c r="I948" s="21">
        <v>7</v>
      </c>
      <c r="J948" s="21">
        <v>30</v>
      </c>
      <c r="K948" s="21">
        <v>7</v>
      </c>
      <c r="L948" s="21">
        <v>99</v>
      </c>
      <c r="M948" s="21">
        <v>15</v>
      </c>
      <c r="N948" s="21">
        <v>26</v>
      </c>
      <c r="O948" s="19">
        <v>110</v>
      </c>
      <c r="P948" s="22">
        <v>0</v>
      </c>
      <c r="Q948" s="22">
        <v>0</v>
      </c>
      <c r="R948" s="20"/>
      <c r="S948" s="234">
        <f>COUNTIFS(INP_DATA!$R$5:$R$3027,S$4,INP_DATA!$D$5:$D$3027,$D948,INP_DATA!$B$5:$B$3027,$B948)</f>
        <v>0</v>
      </c>
      <c r="T948" s="235">
        <f>COUNTIFS(INP_DATA!$R$5:$R$3027,T$4,INP_DATA!$D$5:$D$3027,$D948,INP_DATA!$B$5:$B$3027,$B948)</f>
        <v>0</v>
      </c>
    </row>
    <row r="949" spans="1:20" x14ac:dyDescent="0.35">
      <c r="A949" s="3" t="s">
        <v>16</v>
      </c>
      <c r="B949" s="165">
        <v>45444</v>
      </c>
      <c r="C949" s="57" t="str">
        <f>IF($B949="","",YEAR($B949)&amp;"-"&amp;IFERROR(VLOOKUP(MONTH(B949),KEY!$AE$5:$AF$16,2,FALSE),""))</f>
        <v>2024-Q2</v>
      </c>
      <c r="D949" s="3" t="s">
        <v>120</v>
      </c>
      <c r="E949" s="219">
        <v>64</v>
      </c>
      <c r="F949" s="166">
        <v>336</v>
      </c>
      <c r="G949" s="166">
        <v>345</v>
      </c>
      <c r="H949" s="21">
        <v>557</v>
      </c>
      <c r="I949" s="21">
        <v>88</v>
      </c>
      <c r="J949" s="21">
        <v>271</v>
      </c>
      <c r="K949" s="21">
        <v>46</v>
      </c>
      <c r="L949" s="21">
        <v>489</v>
      </c>
      <c r="M949" s="21">
        <v>199</v>
      </c>
      <c r="N949" s="21">
        <v>342</v>
      </c>
      <c r="O949" s="19">
        <v>572</v>
      </c>
      <c r="P949" s="22">
        <v>91</v>
      </c>
      <c r="Q949" s="22">
        <v>57</v>
      </c>
      <c r="R949" s="20"/>
      <c r="S949" s="234">
        <f>COUNTIFS(INP_DATA!$R$5:$R$3027,S$4,INP_DATA!$D$5:$D$3027,$D949,INP_DATA!$B$5:$B$3027,$B949)</f>
        <v>0</v>
      </c>
      <c r="T949" s="235">
        <f>COUNTIFS(INP_DATA!$R$5:$R$3027,T$4,INP_DATA!$D$5:$D$3027,$D949,INP_DATA!$B$5:$B$3027,$B949)</f>
        <v>0</v>
      </c>
    </row>
    <row r="950" spans="1:20" x14ac:dyDescent="0.35">
      <c r="A950" s="3" t="s">
        <v>109</v>
      </c>
      <c r="B950" s="165">
        <v>45444</v>
      </c>
      <c r="C950" s="57" t="str">
        <f>IF($B950="","",YEAR($B950)&amp;"-"&amp;IFERROR(VLOOKUP(MONTH(B950),KEY!$AE$5:$AF$16,2,FALSE),""))</f>
        <v>2024-Q2</v>
      </c>
      <c r="D950" s="3" t="s">
        <v>121</v>
      </c>
      <c r="E950" s="219">
        <v>57</v>
      </c>
      <c r="F950" s="166">
        <v>263</v>
      </c>
      <c r="G950" s="166">
        <v>235</v>
      </c>
      <c r="H950" s="21">
        <v>604</v>
      </c>
      <c r="I950" s="21">
        <v>81</v>
      </c>
      <c r="J950" s="21">
        <v>257</v>
      </c>
      <c r="K950" s="21">
        <v>39</v>
      </c>
      <c r="L950" s="21">
        <v>534</v>
      </c>
      <c r="M950" s="21">
        <v>167</v>
      </c>
      <c r="N950" s="21">
        <v>265</v>
      </c>
      <c r="O950" s="19">
        <v>484</v>
      </c>
      <c r="P950" s="22">
        <v>28</v>
      </c>
      <c r="Q950" s="22">
        <v>17</v>
      </c>
      <c r="R950" s="20"/>
      <c r="S950" s="234">
        <f>COUNTIFS(INP_DATA!$R$5:$R$3027,S$4,INP_DATA!$D$5:$D$3027,$D950,INP_DATA!$B$5:$B$3027,$B950)</f>
        <v>0</v>
      </c>
      <c r="T950" s="235">
        <f>COUNTIFS(INP_DATA!$R$5:$R$3027,T$4,INP_DATA!$D$5:$D$3027,$D950,INP_DATA!$B$5:$B$3027,$B950)</f>
        <v>0</v>
      </c>
    </row>
    <row r="951" spans="1:20" x14ac:dyDescent="0.35">
      <c r="A951" s="3" t="s">
        <v>108</v>
      </c>
      <c r="B951" s="165">
        <v>45444</v>
      </c>
      <c r="C951" s="57" t="str">
        <f>IF($B951="","",YEAR($B951)&amp;"-"&amp;IFERROR(VLOOKUP(MONTH(B951),KEY!$AE$5:$AF$16,2,FALSE),""))</f>
        <v>2024-Q2</v>
      </c>
      <c r="D951" s="3" t="s">
        <v>122</v>
      </c>
      <c r="E951" s="219">
        <v>6</v>
      </c>
      <c r="F951" s="166">
        <v>85</v>
      </c>
      <c r="G951" s="166">
        <v>80</v>
      </c>
      <c r="H951" s="21">
        <v>220</v>
      </c>
      <c r="I951" s="21">
        <v>22</v>
      </c>
      <c r="J951" s="21">
        <v>79</v>
      </c>
      <c r="K951" s="21">
        <v>7</v>
      </c>
      <c r="L951" s="21">
        <v>143</v>
      </c>
      <c r="M951" s="21">
        <v>43</v>
      </c>
      <c r="N951" s="21">
        <v>86</v>
      </c>
      <c r="O951" s="19">
        <v>198</v>
      </c>
      <c r="P951" s="22">
        <v>29</v>
      </c>
      <c r="Q951" s="22">
        <v>6</v>
      </c>
      <c r="R951" s="20"/>
      <c r="S951" s="234">
        <f>COUNTIFS(INP_DATA!$R$5:$R$3027,S$4,INP_DATA!$D$5:$D$3027,$D951,INP_DATA!$B$5:$B$3027,$B951)</f>
        <v>0</v>
      </c>
      <c r="T951" s="235">
        <f>COUNTIFS(INP_DATA!$R$5:$R$3027,T$4,INP_DATA!$D$5:$D$3027,$D951,INP_DATA!$B$5:$B$3027,$B951)</f>
        <v>0</v>
      </c>
    </row>
    <row r="952" spans="1:20" x14ac:dyDescent="0.35">
      <c r="A952" s="3" t="s">
        <v>107</v>
      </c>
      <c r="B952" s="165">
        <v>45444</v>
      </c>
      <c r="C952" s="57" t="str">
        <f>IF($B952="","",YEAR($B952)&amp;"-"&amp;IFERROR(VLOOKUP(MONTH(B952),KEY!$AE$5:$AF$16,2,FALSE),""))</f>
        <v>2024-Q2</v>
      </c>
      <c r="D952" s="3" t="s">
        <v>123</v>
      </c>
      <c r="E952" s="219">
        <v>51</v>
      </c>
      <c r="F952" s="166">
        <v>261</v>
      </c>
      <c r="G952" s="166">
        <v>201</v>
      </c>
      <c r="H952" s="21">
        <v>264</v>
      </c>
      <c r="I952" s="21">
        <v>67</v>
      </c>
      <c r="J952" s="21">
        <v>136</v>
      </c>
      <c r="K952" s="21">
        <v>38</v>
      </c>
      <c r="L952" s="21">
        <v>422</v>
      </c>
      <c r="M952" s="21">
        <v>220</v>
      </c>
      <c r="N952" s="21">
        <v>264</v>
      </c>
      <c r="O952" s="19">
        <v>418</v>
      </c>
      <c r="P952" s="22">
        <v>50</v>
      </c>
      <c r="Q952" s="22">
        <v>35</v>
      </c>
      <c r="R952" s="20"/>
      <c r="S952" s="234">
        <f>COUNTIFS(INP_DATA!$R$5:$R$3027,S$4,INP_DATA!$D$5:$D$3027,$D952,INP_DATA!$B$5:$B$3027,$B952)</f>
        <v>0</v>
      </c>
      <c r="T952" s="235">
        <f>COUNTIFS(INP_DATA!$R$5:$R$3027,T$4,INP_DATA!$D$5:$D$3027,$D952,INP_DATA!$B$5:$B$3027,$B952)</f>
        <v>0</v>
      </c>
    </row>
    <row r="953" spans="1:20" x14ac:dyDescent="0.35">
      <c r="A953" s="3" t="s">
        <v>108</v>
      </c>
      <c r="B953" s="165">
        <v>45444</v>
      </c>
      <c r="C953" s="57" t="str">
        <f>IF($B953="","",YEAR($B953)&amp;"-"&amp;IFERROR(VLOOKUP(MONTH(B953),KEY!$AE$5:$AF$16,2,FALSE),""))</f>
        <v>2024-Q2</v>
      </c>
      <c r="D953" s="3" t="s">
        <v>124</v>
      </c>
      <c r="E953" s="219">
        <v>72</v>
      </c>
      <c r="F953" s="166">
        <v>231</v>
      </c>
      <c r="G953" s="166">
        <v>188</v>
      </c>
      <c r="H953" s="21">
        <v>315</v>
      </c>
      <c r="I953" s="21">
        <v>58</v>
      </c>
      <c r="J953" s="21">
        <v>181</v>
      </c>
      <c r="K953" s="21">
        <v>34</v>
      </c>
      <c r="L953" s="21">
        <v>416</v>
      </c>
      <c r="M953" s="21">
        <v>147</v>
      </c>
      <c r="N953" s="21">
        <v>231</v>
      </c>
      <c r="O953" s="19">
        <v>484</v>
      </c>
      <c r="P953" s="22">
        <v>99</v>
      </c>
      <c r="Q953" s="22">
        <v>65</v>
      </c>
      <c r="R953" s="20"/>
      <c r="S953" s="234">
        <f>COUNTIFS(INP_DATA!$R$5:$R$3027,S$4,INP_DATA!$D$5:$D$3027,$D953,INP_DATA!$B$5:$B$3027,$B953)</f>
        <v>0</v>
      </c>
      <c r="T953" s="235">
        <f>COUNTIFS(INP_DATA!$R$5:$R$3027,T$4,INP_DATA!$D$5:$D$3027,$D953,INP_DATA!$B$5:$B$3027,$B953)</f>
        <v>0</v>
      </c>
    </row>
    <row r="954" spans="1:20" x14ac:dyDescent="0.35">
      <c r="A954" s="3" t="s">
        <v>106</v>
      </c>
      <c r="B954" s="165">
        <v>45444</v>
      </c>
      <c r="C954" s="57" t="str">
        <f>IF($B954="","",YEAR($B954)&amp;"-"&amp;IFERROR(VLOOKUP(MONTH(B954),KEY!$AE$5:$AF$16,2,FALSE),""))</f>
        <v>2024-Q2</v>
      </c>
      <c r="D954" s="3" t="s">
        <v>195</v>
      </c>
      <c r="E954" s="219">
        <v>5</v>
      </c>
      <c r="F954" s="166">
        <v>46</v>
      </c>
      <c r="G954" s="166">
        <v>42</v>
      </c>
      <c r="H954" s="21">
        <v>87</v>
      </c>
      <c r="I954" s="21">
        <v>15</v>
      </c>
      <c r="J954" s="21">
        <v>29</v>
      </c>
      <c r="K954" s="21">
        <v>10</v>
      </c>
      <c r="L954" s="21">
        <v>135</v>
      </c>
      <c r="M954" s="21">
        <v>37</v>
      </c>
      <c r="N954" s="21">
        <v>47</v>
      </c>
      <c r="O954" s="19">
        <v>132</v>
      </c>
      <c r="P954" s="22">
        <v>8</v>
      </c>
      <c r="Q954" s="22">
        <v>8</v>
      </c>
      <c r="R954" s="20"/>
      <c r="S954" s="234">
        <f>COUNTIFS(INP_DATA!$R$5:$R$3027,S$4,INP_DATA!$D$5:$D$3027,$D954,INP_DATA!$B$5:$B$3027,$B954)</f>
        <v>0</v>
      </c>
      <c r="T954" s="235">
        <f>COUNTIFS(INP_DATA!$R$5:$R$3027,T$4,INP_DATA!$D$5:$D$3027,$D954,INP_DATA!$B$5:$B$3027,$B954)</f>
        <v>0</v>
      </c>
    </row>
    <row r="955" spans="1:20" x14ac:dyDescent="0.35">
      <c r="A955" s="3" t="s">
        <v>106</v>
      </c>
      <c r="B955" s="165">
        <v>45444</v>
      </c>
      <c r="C955" s="57" t="str">
        <f>IF($B955="","",YEAR($B955)&amp;"-"&amp;IFERROR(VLOOKUP(MONTH(B955),KEY!$AE$5:$AF$16,2,FALSE),""))</f>
        <v>2024-Q2</v>
      </c>
      <c r="D955" s="3" t="s">
        <v>125</v>
      </c>
      <c r="E955" s="219">
        <v>41</v>
      </c>
      <c r="F955" s="166">
        <v>249</v>
      </c>
      <c r="G955" s="166">
        <v>261</v>
      </c>
      <c r="H955" s="21">
        <v>467</v>
      </c>
      <c r="I955" s="21">
        <v>68</v>
      </c>
      <c r="J955" s="21">
        <v>149</v>
      </c>
      <c r="K955" s="21">
        <v>40</v>
      </c>
      <c r="L955" s="21">
        <v>442</v>
      </c>
      <c r="M955" s="21">
        <v>90</v>
      </c>
      <c r="N955" s="21">
        <v>266</v>
      </c>
      <c r="O955" s="19">
        <v>396</v>
      </c>
      <c r="P955" s="22">
        <v>36</v>
      </c>
      <c r="Q955" s="22">
        <v>33</v>
      </c>
      <c r="R955" s="20"/>
      <c r="S955" s="234">
        <f>COUNTIFS(INP_DATA!$R$5:$R$3027,S$4,INP_DATA!$D$5:$D$3027,$D955,INP_DATA!$B$5:$B$3027,$B955)</f>
        <v>0</v>
      </c>
      <c r="T955" s="235">
        <f>COUNTIFS(INP_DATA!$R$5:$R$3027,T$4,INP_DATA!$D$5:$D$3027,$D955,INP_DATA!$B$5:$B$3027,$B955)</f>
        <v>0</v>
      </c>
    </row>
    <row r="956" spans="1:20" x14ac:dyDescent="0.35">
      <c r="A956" s="3" t="s">
        <v>107</v>
      </c>
      <c r="B956" s="165">
        <v>45444</v>
      </c>
      <c r="C956" s="57" t="str">
        <f>IF($B956="","",YEAR($B956)&amp;"-"&amp;IFERROR(VLOOKUP(MONTH(B956),KEY!$AE$5:$AF$16,2,FALSE),""))</f>
        <v>2024-Q2</v>
      </c>
      <c r="D956" s="3" t="s">
        <v>126</v>
      </c>
      <c r="E956" s="219">
        <v>82</v>
      </c>
      <c r="F956" s="166">
        <v>428</v>
      </c>
      <c r="G956" s="166">
        <v>518</v>
      </c>
      <c r="H956" s="21">
        <v>491</v>
      </c>
      <c r="I956" s="21">
        <v>86</v>
      </c>
      <c r="J956" s="21">
        <v>281</v>
      </c>
      <c r="K956" s="21">
        <v>88</v>
      </c>
      <c r="L956" s="21">
        <v>641</v>
      </c>
      <c r="M956" s="21">
        <v>242</v>
      </c>
      <c r="N956" s="21">
        <v>431</v>
      </c>
      <c r="O956" s="19">
        <v>638</v>
      </c>
      <c r="P956" s="22">
        <v>251</v>
      </c>
      <c r="Q956" s="22">
        <v>153</v>
      </c>
      <c r="R956" s="20"/>
      <c r="S956" s="234">
        <f>COUNTIFS(INP_DATA!$R$5:$R$3027,S$4,INP_DATA!$D$5:$D$3027,$D956,INP_DATA!$B$5:$B$3027,$B956)</f>
        <v>0</v>
      </c>
      <c r="T956" s="235">
        <f>COUNTIFS(INP_DATA!$R$5:$R$3027,T$4,INP_DATA!$D$5:$D$3027,$D956,INP_DATA!$B$5:$B$3027,$B956)</f>
        <v>0</v>
      </c>
    </row>
    <row r="957" spans="1:20" x14ac:dyDescent="0.35">
      <c r="A957" s="3" t="s">
        <v>107</v>
      </c>
      <c r="B957" s="165">
        <v>45444</v>
      </c>
      <c r="C957" s="57" t="str">
        <f>IF($B957="","",YEAR($B957)&amp;"-"&amp;IFERROR(VLOOKUP(MONTH(B957),KEY!$AE$5:$AF$16,2,FALSE),""))</f>
        <v>2024-Q2</v>
      </c>
      <c r="D957" s="3" t="s">
        <v>127</v>
      </c>
      <c r="E957" s="219">
        <v>12</v>
      </c>
      <c r="F957" s="166">
        <v>36</v>
      </c>
      <c r="G957" s="166">
        <v>73</v>
      </c>
      <c r="H957" s="21">
        <v>69</v>
      </c>
      <c r="I957" s="21">
        <v>12</v>
      </c>
      <c r="J957" s="21">
        <v>28</v>
      </c>
      <c r="K957" s="21">
        <v>7</v>
      </c>
      <c r="L957" s="21">
        <v>80</v>
      </c>
      <c r="M957" s="21">
        <v>29</v>
      </c>
      <c r="N957" s="21">
        <v>37</v>
      </c>
      <c r="O957" s="19">
        <v>110</v>
      </c>
      <c r="P957" s="22">
        <v>9</v>
      </c>
      <c r="Q957" s="22">
        <v>5</v>
      </c>
      <c r="R957" s="20"/>
      <c r="S957" s="234">
        <f>COUNTIFS(INP_DATA!$R$5:$R$3027,S$4,INP_DATA!$D$5:$D$3027,$D957,INP_DATA!$B$5:$B$3027,$B957)</f>
        <v>0</v>
      </c>
      <c r="T957" s="235">
        <f>COUNTIFS(INP_DATA!$R$5:$R$3027,T$4,INP_DATA!$D$5:$D$3027,$D957,INP_DATA!$B$5:$B$3027,$B957)</f>
        <v>0</v>
      </c>
    </row>
    <row r="958" spans="1:20" x14ac:dyDescent="0.35">
      <c r="A958" s="3" t="s">
        <v>109</v>
      </c>
      <c r="B958" s="165">
        <v>45444</v>
      </c>
      <c r="C958" s="57" t="str">
        <f>IF($B958="","",YEAR($B958)&amp;"-"&amp;IFERROR(VLOOKUP(MONTH(B958),KEY!$AE$5:$AF$16,2,FALSE),""))</f>
        <v>2024-Q2</v>
      </c>
      <c r="D958" s="3" t="s">
        <v>128</v>
      </c>
      <c r="E958" s="219">
        <v>5</v>
      </c>
      <c r="F958" s="166">
        <v>225</v>
      </c>
      <c r="G958" s="166">
        <v>257</v>
      </c>
      <c r="H958" s="21">
        <v>613</v>
      </c>
      <c r="I958" s="21">
        <v>86</v>
      </c>
      <c r="J958" s="21">
        <v>354</v>
      </c>
      <c r="K958" s="21">
        <v>44</v>
      </c>
      <c r="L958" s="21">
        <v>433</v>
      </c>
      <c r="M958" s="21">
        <v>126</v>
      </c>
      <c r="N958" s="21">
        <v>229</v>
      </c>
      <c r="O958" s="19">
        <v>242</v>
      </c>
      <c r="P958" s="22">
        <v>0</v>
      </c>
      <c r="Q958" s="22">
        <v>0</v>
      </c>
      <c r="R958" s="20"/>
      <c r="S958" s="234">
        <f>COUNTIFS(INP_DATA!$R$5:$R$3027,S$4,INP_DATA!$D$5:$D$3027,$D958,INP_DATA!$B$5:$B$3027,$B958)</f>
        <v>0</v>
      </c>
      <c r="T958" s="235">
        <f>COUNTIFS(INP_DATA!$R$5:$R$3027,T$4,INP_DATA!$D$5:$D$3027,$D958,INP_DATA!$B$5:$B$3027,$B958)</f>
        <v>0</v>
      </c>
    </row>
    <row r="959" spans="1:20" x14ac:dyDescent="0.35">
      <c r="A959" s="3" t="s">
        <v>106</v>
      </c>
      <c r="B959" s="165">
        <v>45444</v>
      </c>
      <c r="C959" s="57" t="str">
        <f>IF($B959="","",YEAR($B959)&amp;"-"&amp;IFERROR(VLOOKUP(MONTH(B959),KEY!$AE$5:$AF$16,2,FALSE),""))</f>
        <v>2024-Q2</v>
      </c>
      <c r="D959" s="3" t="s">
        <v>129</v>
      </c>
      <c r="E959" s="219">
        <v>20</v>
      </c>
      <c r="F959" s="166">
        <v>187</v>
      </c>
      <c r="G959" s="166">
        <v>154</v>
      </c>
      <c r="H959" s="21">
        <v>302</v>
      </c>
      <c r="I959" s="21">
        <v>39</v>
      </c>
      <c r="J959" s="21">
        <v>248</v>
      </c>
      <c r="K959" s="21">
        <v>29</v>
      </c>
      <c r="L959" s="21">
        <v>227</v>
      </c>
      <c r="M959" s="21">
        <v>75</v>
      </c>
      <c r="N959" s="21">
        <v>192</v>
      </c>
      <c r="O959" s="19">
        <v>330</v>
      </c>
      <c r="P959" s="22">
        <v>47</v>
      </c>
      <c r="Q959" s="22">
        <v>32</v>
      </c>
      <c r="R959" s="20"/>
      <c r="S959" s="234">
        <f>COUNTIFS(INP_DATA!$R$5:$R$3027,S$4,INP_DATA!$D$5:$D$3027,$D959,INP_DATA!$B$5:$B$3027,$B959)</f>
        <v>0</v>
      </c>
      <c r="T959" s="235">
        <f>COUNTIFS(INP_DATA!$R$5:$R$3027,T$4,INP_DATA!$D$5:$D$3027,$D959,INP_DATA!$B$5:$B$3027,$B959)</f>
        <v>0</v>
      </c>
    </row>
    <row r="960" spans="1:20" x14ac:dyDescent="0.35">
      <c r="A960" s="3" t="s">
        <v>108</v>
      </c>
      <c r="B960" s="165">
        <v>45444</v>
      </c>
      <c r="C960" s="57" t="str">
        <f>IF($B960="","",YEAR($B960)&amp;"-"&amp;IFERROR(VLOOKUP(MONTH(B960),KEY!$AE$5:$AF$16,2,FALSE),""))</f>
        <v>2024-Q2</v>
      </c>
      <c r="D960" s="3" t="s">
        <v>130</v>
      </c>
      <c r="E960" s="219">
        <v>25</v>
      </c>
      <c r="F960" s="166">
        <v>147</v>
      </c>
      <c r="G960" s="166">
        <v>172</v>
      </c>
      <c r="H960" s="21">
        <v>250</v>
      </c>
      <c r="I960" s="21">
        <v>39</v>
      </c>
      <c r="J960" s="21">
        <v>141</v>
      </c>
      <c r="K960" s="21">
        <v>37</v>
      </c>
      <c r="L960" s="21">
        <v>173</v>
      </c>
      <c r="M960" s="21">
        <v>83</v>
      </c>
      <c r="N960" s="21">
        <v>151</v>
      </c>
      <c r="O960" s="19">
        <v>176</v>
      </c>
      <c r="P960" s="22">
        <v>44</v>
      </c>
      <c r="Q960" s="22">
        <v>25</v>
      </c>
      <c r="R960" s="20"/>
      <c r="S960" s="234">
        <f>COUNTIFS(INP_DATA!$R$5:$R$3027,S$4,INP_DATA!$D$5:$D$3027,$D960,INP_DATA!$B$5:$B$3027,$B960)</f>
        <v>0</v>
      </c>
      <c r="T960" s="235">
        <f>COUNTIFS(INP_DATA!$R$5:$R$3027,T$4,INP_DATA!$D$5:$D$3027,$D960,INP_DATA!$B$5:$B$3027,$B960)</f>
        <v>0</v>
      </c>
    </row>
    <row r="961" spans="1:20" x14ac:dyDescent="0.35">
      <c r="A961" s="3" t="s">
        <v>109</v>
      </c>
      <c r="B961" s="165">
        <v>45444</v>
      </c>
      <c r="C961" s="57" t="str">
        <f>IF($B961="","",YEAR($B961)&amp;"-"&amp;IFERROR(VLOOKUP(MONTH(B961),KEY!$AE$5:$AF$16,2,FALSE),""))</f>
        <v>2024-Q2</v>
      </c>
      <c r="D961" s="3" t="s">
        <v>131</v>
      </c>
      <c r="E961" s="219">
        <v>41</v>
      </c>
      <c r="F961" s="166">
        <v>132</v>
      </c>
      <c r="G961" s="166">
        <v>190</v>
      </c>
      <c r="H961" s="21">
        <v>94</v>
      </c>
      <c r="I961" s="21">
        <v>14</v>
      </c>
      <c r="J961" s="21">
        <v>124</v>
      </c>
      <c r="K961" s="21">
        <v>31</v>
      </c>
      <c r="L961" s="21">
        <v>302</v>
      </c>
      <c r="M961" s="21">
        <v>81</v>
      </c>
      <c r="N961" s="21">
        <v>142</v>
      </c>
      <c r="O961" s="19">
        <v>286</v>
      </c>
      <c r="P961" s="22">
        <v>2</v>
      </c>
      <c r="Q961" s="22">
        <v>2</v>
      </c>
      <c r="R961" s="20"/>
      <c r="S961" s="234">
        <f>COUNTIFS(INP_DATA!$R$5:$R$3027,S$4,INP_DATA!$D$5:$D$3027,$D961,INP_DATA!$B$5:$B$3027,$B961)</f>
        <v>0</v>
      </c>
      <c r="T961" s="235">
        <f>COUNTIFS(INP_DATA!$R$5:$R$3027,T$4,INP_DATA!$D$5:$D$3027,$D961,INP_DATA!$B$5:$B$3027,$B961)</f>
        <v>0</v>
      </c>
    </row>
    <row r="962" spans="1:20" x14ac:dyDescent="0.35">
      <c r="A962" s="3" t="s">
        <v>108</v>
      </c>
      <c r="B962" s="165">
        <v>45444</v>
      </c>
      <c r="C962" s="57" t="str">
        <f>IF($B962="","",YEAR($B962)&amp;"-"&amp;IFERROR(VLOOKUP(MONTH(B962),KEY!$AE$5:$AF$16,2,FALSE),""))</f>
        <v>2024-Q2</v>
      </c>
      <c r="D962" s="3" t="s">
        <v>134</v>
      </c>
      <c r="E962" s="219">
        <v>12</v>
      </c>
      <c r="F962" s="166">
        <v>37</v>
      </c>
      <c r="G962" s="166">
        <v>42</v>
      </c>
      <c r="H962" s="21">
        <v>34</v>
      </c>
      <c r="I962" s="21">
        <v>7</v>
      </c>
      <c r="J962" s="21">
        <v>25</v>
      </c>
      <c r="K962" s="21">
        <v>8</v>
      </c>
      <c r="L962" s="21">
        <v>50</v>
      </c>
      <c r="M962" s="21">
        <v>27</v>
      </c>
      <c r="N962" s="21">
        <v>39</v>
      </c>
      <c r="O962" s="19">
        <v>88</v>
      </c>
      <c r="P962" s="22">
        <v>19</v>
      </c>
      <c r="Q962" s="22">
        <v>13</v>
      </c>
      <c r="R962" s="20"/>
      <c r="S962" s="234">
        <f>COUNTIFS(INP_DATA!$R$5:$R$3027,S$4,INP_DATA!$D$5:$D$3027,$D962,INP_DATA!$B$5:$B$3027,$B962)</f>
        <v>0</v>
      </c>
      <c r="T962" s="235">
        <f>COUNTIFS(INP_DATA!$R$5:$R$3027,T$4,INP_DATA!$D$5:$D$3027,$D962,INP_DATA!$B$5:$B$3027,$B962)</f>
        <v>0</v>
      </c>
    </row>
    <row r="963" spans="1:20" x14ac:dyDescent="0.35">
      <c r="A963" s="3" t="s">
        <v>108</v>
      </c>
      <c r="B963" s="165">
        <v>45444</v>
      </c>
      <c r="C963" s="57" t="str">
        <f>IF($B963="","",YEAR($B963)&amp;"-"&amp;IFERROR(VLOOKUP(MONTH(B963),KEY!$AE$5:$AF$16,2,FALSE),""))</f>
        <v>2024-Q2</v>
      </c>
      <c r="D963" s="3" t="s">
        <v>135</v>
      </c>
      <c r="E963" s="219">
        <v>60</v>
      </c>
      <c r="F963" s="166">
        <v>230</v>
      </c>
      <c r="G963" s="166">
        <v>221</v>
      </c>
      <c r="H963" s="21">
        <v>463</v>
      </c>
      <c r="I963" s="21">
        <v>58</v>
      </c>
      <c r="J963" s="21">
        <v>207</v>
      </c>
      <c r="K963" s="21">
        <v>47</v>
      </c>
      <c r="L963" s="21">
        <v>605</v>
      </c>
      <c r="M963" s="21">
        <v>128</v>
      </c>
      <c r="N963" s="21">
        <v>234</v>
      </c>
      <c r="O963" s="19">
        <v>462</v>
      </c>
      <c r="P963" s="22">
        <v>33</v>
      </c>
      <c r="Q963" s="22">
        <v>22</v>
      </c>
      <c r="R963" s="20"/>
      <c r="S963" s="234">
        <f>COUNTIFS(INP_DATA!$R$5:$R$3027,S$4,INP_DATA!$D$5:$D$3027,$D963,INP_DATA!$B$5:$B$3027,$B963)</f>
        <v>0</v>
      </c>
      <c r="T963" s="235">
        <f>COUNTIFS(INP_DATA!$R$5:$R$3027,T$4,INP_DATA!$D$5:$D$3027,$D963,INP_DATA!$B$5:$B$3027,$B963)</f>
        <v>0</v>
      </c>
    </row>
    <row r="964" spans="1:20" x14ac:dyDescent="0.35">
      <c r="A964" s="3" t="s">
        <v>16</v>
      </c>
      <c r="B964" s="165">
        <v>45444</v>
      </c>
      <c r="C964" s="57" t="str">
        <f>IF($B964="","",YEAR($B964)&amp;"-"&amp;IFERROR(VLOOKUP(MONTH(B964),KEY!$AE$5:$AF$16,2,FALSE),""))</f>
        <v>2024-Q2</v>
      </c>
      <c r="D964" s="3" t="s">
        <v>196</v>
      </c>
      <c r="E964" s="219">
        <v>13</v>
      </c>
      <c r="F964" s="166">
        <v>43</v>
      </c>
      <c r="G964" s="166">
        <v>38</v>
      </c>
      <c r="H964" s="21">
        <v>78</v>
      </c>
      <c r="I964" s="21">
        <v>12</v>
      </c>
      <c r="J964" s="21">
        <v>71</v>
      </c>
      <c r="K964" s="21">
        <v>14</v>
      </c>
      <c r="L964" s="21">
        <v>112</v>
      </c>
      <c r="M964" s="21">
        <v>31</v>
      </c>
      <c r="N964" s="21">
        <v>43</v>
      </c>
      <c r="O964" s="19">
        <v>110</v>
      </c>
      <c r="P964" s="22">
        <v>7</v>
      </c>
      <c r="Q964" s="22">
        <v>5</v>
      </c>
      <c r="R964" s="20"/>
      <c r="S964" s="234">
        <f>COUNTIFS(INP_DATA!$R$5:$R$3027,S$4,INP_DATA!$D$5:$D$3027,$D964,INP_DATA!$B$5:$B$3027,$B964)</f>
        <v>0</v>
      </c>
      <c r="T964" s="235">
        <f>COUNTIFS(INP_DATA!$R$5:$R$3027,T$4,INP_DATA!$D$5:$D$3027,$D964,INP_DATA!$B$5:$B$3027,$B964)</f>
        <v>0</v>
      </c>
    </row>
    <row r="965" spans="1:20" x14ac:dyDescent="0.35">
      <c r="A965" s="3" t="s">
        <v>16</v>
      </c>
      <c r="B965" s="165">
        <v>45444</v>
      </c>
      <c r="C965" s="57" t="str">
        <f>IF($B965="","",YEAR($B965)&amp;"-"&amp;IFERROR(VLOOKUP(MONTH(B965),KEY!$AE$5:$AF$16,2,FALSE),""))</f>
        <v>2024-Q2</v>
      </c>
      <c r="D965" s="3" t="s">
        <v>197</v>
      </c>
      <c r="E965" s="219">
        <v>24</v>
      </c>
      <c r="F965" s="166">
        <v>79</v>
      </c>
      <c r="G965" s="166">
        <v>89</v>
      </c>
      <c r="H965" s="21">
        <v>104</v>
      </c>
      <c r="I965" s="21">
        <v>18</v>
      </c>
      <c r="J965" s="21">
        <v>77</v>
      </c>
      <c r="K965" s="21">
        <v>16</v>
      </c>
      <c r="L965" s="21">
        <v>130</v>
      </c>
      <c r="M965" s="21">
        <v>59</v>
      </c>
      <c r="N965" s="21">
        <v>82</v>
      </c>
      <c r="O965" s="19">
        <v>242</v>
      </c>
      <c r="P965" s="22">
        <v>9</v>
      </c>
      <c r="Q965" s="22">
        <v>7</v>
      </c>
      <c r="R965" s="20"/>
      <c r="S965" s="234">
        <f>COUNTIFS(INP_DATA!$R$5:$R$3027,S$4,INP_DATA!$D$5:$D$3027,$D965,INP_DATA!$B$5:$B$3027,$B965)</f>
        <v>0</v>
      </c>
      <c r="T965" s="235">
        <f>COUNTIFS(INP_DATA!$R$5:$R$3027,T$4,INP_DATA!$D$5:$D$3027,$D965,INP_DATA!$B$5:$B$3027,$B965)</f>
        <v>0</v>
      </c>
    </row>
    <row r="966" spans="1:20" x14ac:dyDescent="0.35">
      <c r="A966" s="3" t="s">
        <v>109</v>
      </c>
      <c r="B966" s="165">
        <v>45444</v>
      </c>
      <c r="C966" s="57" t="str">
        <f>IF($B966="","",YEAR($B966)&amp;"-"&amp;IFERROR(VLOOKUP(MONTH(B966),KEY!$AE$5:$AF$16,2,FALSE),""))</f>
        <v>2024-Q2</v>
      </c>
      <c r="D966" s="3" t="s">
        <v>136</v>
      </c>
      <c r="E966" s="219">
        <v>62</v>
      </c>
      <c r="F966" s="166">
        <v>256</v>
      </c>
      <c r="G966" s="166">
        <v>258</v>
      </c>
      <c r="H966" s="21">
        <v>414</v>
      </c>
      <c r="I966" s="21">
        <v>60</v>
      </c>
      <c r="J966" s="21">
        <v>238</v>
      </c>
      <c r="K966" s="21">
        <v>42</v>
      </c>
      <c r="L966" s="21">
        <v>396</v>
      </c>
      <c r="M966" s="21">
        <v>143</v>
      </c>
      <c r="N966" s="21">
        <v>262</v>
      </c>
      <c r="O966" s="19">
        <v>330</v>
      </c>
      <c r="P966" s="22">
        <v>19</v>
      </c>
      <c r="Q966" s="22">
        <v>16</v>
      </c>
      <c r="R966" s="20"/>
      <c r="S966" s="234">
        <f>COUNTIFS(INP_DATA!$R$5:$R$3027,S$4,INP_DATA!$D$5:$D$3027,$D966,INP_DATA!$B$5:$B$3027,$B966)</f>
        <v>0</v>
      </c>
      <c r="T966" s="235">
        <f>COUNTIFS(INP_DATA!$R$5:$R$3027,T$4,INP_DATA!$D$5:$D$3027,$D966,INP_DATA!$B$5:$B$3027,$B966)</f>
        <v>0</v>
      </c>
    </row>
    <row r="967" spans="1:20" x14ac:dyDescent="0.35">
      <c r="A967" s="3" t="s">
        <v>16</v>
      </c>
      <c r="B967" s="165">
        <v>45444</v>
      </c>
      <c r="C967" s="57" t="str">
        <f>IF($B967="","",YEAR($B967)&amp;"-"&amp;IFERROR(VLOOKUP(MONTH(B967),KEY!$AE$5:$AF$16,2,FALSE),""))</f>
        <v>2024-Q2</v>
      </c>
      <c r="D967" s="3" t="s">
        <v>137</v>
      </c>
      <c r="E967" s="219">
        <v>17</v>
      </c>
      <c r="F967" s="166">
        <v>79</v>
      </c>
      <c r="G967" s="166">
        <v>82</v>
      </c>
      <c r="H967" s="21">
        <v>178</v>
      </c>
      <c r="I967" s="21">
        <v>24</v>
      </c>
      <c r="J967" s="21">
        <v>149</v>
      </c>
      <c r="K967" s="21">
        <v>35</v>
      </c>
      <c r="L967" s="21">
        <v>136</v>
      </c>
      <c r="M967" s="21">
        <v>63</v>
      </c>
      <c r="N967" s="21">
        <v>79</v>
      </c>
      <c r="O967" s="19">
        <v>198</v>
      </c>
      <c r="P967" s="22">
        <v>16</v>
      </c>
      <c r="Q967" s="22">
        <v>11</v>
      </c>
      <c r="R967" s="20"/>
      <c r="S967" s="234">
        <f>COUNTIFS(INP_DATA!$R$5:$R$3027,S$4,INP_DATA!$D$5:$D$3027,$D967,INP_DATA!$B$5:$B$3027,$B967)</f>
        <v>0</v>
      </c>
      <c r="T967" s="235">
        <f>COUNTIFS(INP_DATA!$R$5:$R$3027,T$4,INP_DATA!$D$5:$D$3027,$D967,INP_DATA!$B$5:$B$3027,$B967)</f>
        <v>0</v>
      </c>
    </row>
    <row r="968" spans="1:20" x14ac:dyDescent="0.35">
      <c r="A968" s="3" t="s">
        <v>109</v>
      </c>
      <c r="B968" s="165">
        <v>45444</v>
      </c>
      <c r="C968" s="57" t="str">
        <f>IF($B968="","",YEAR($B968)&amp;"-"&amp;IFERROR(VLOOKUP(MONTH(B968),KEY!$AE$5:$AF$16,2,FALSE),""))</f>
        <v>2024-Q2</v>
      </c>
      <c r="D968" s="3" t="s">
        <v>138</v>
      </c>
      <c r="E968" s="219">
        <v>32</v>
      </c>
      <c r="F968" s="166">
        <v>150</v>
      </c>
      <c r="G968" s="166">
        <v>132</v>
      </c>
      <c r="H968" s="21">
        <v>164</v>
      </c>
      <c r="I968" s="21">
        <v>24</v>
      </c>
      <c r="J968" s="21">
        <v>151</v>
      </c>
      <c r="K968" s="21">
        <v>49</v>
      </c>
      <c r="L968" s="21">
        <v>291</v>
      </c>
      <c r="M968" s="21">
        <v>106</v>
      </c>
      <c r="N968" s="21">
        <v>153</v>
      </c>
      <c r="O968" s="19">
        <v>176</v>
      </c>
      <c r="P968" s="22">
        <v>17</v>
      </c>
      <c r="Q968" s="22">
        <v>13</v>
      </c>
      <c r="R968" s="20"/>
      <c r="S968" s="234">
        <f>COUNTIFS(INP_DATA!$R$5:$R$3027,S$4,INP_DATA!$D$5:$D$3027,$D968,INP_DATA!$B$5:$B$3027,$B968)</f>
        <v>0</v>
      </c>
      <c r="T968" s="235">
        <f>COUNTIFS(INP_DATA!$R$5:$R$3027,T$4,INP_DATA!$D$5:$D$3027,$D968,INP_DATA!$B$5:$B$3027,$B968)</f>
        <v>0</v>
      </c>
    </row>
    <row r="969" spans="1:20" x14ac:dyDescent="0.35">
      <c r="A969" s="3" t="s">
        <v>108</v>
      </c>
      <c r="B969" s="165">
        <v>45444</v>
      </c>
      <c r="C969" s="57" t="str">
        <f>IF($B969="","",YEAR($B969)&amp;"-"&amp;IFERROR(VLOOKUP(MONTH(B969),KEY!$AE$5:$AF$16,2,FALSE),""))</f>
        <v>2024-Q2</v>
      </c>
      <c r="D969" s="3" t="s">
        <v>139</v>
      </c>
      <c r="E969" s="219">
        <v>41</v>
      </c>
      <c r="F969" s="166">
        <v>183</v>
      </c>
      <c r="G969" s="166">
        <v>160</v>
      </c>
      <c r="H969" s="21">
        <v>328</v>
      </c>
      <c r="I969" s="21">
        <v>55</v>
      </c>
      <c r="J969" s="21">
        <v>121</v>
      </c>
      <c r="K969" s="21">
        <v>29</v>
      </c>
      <c r="L969" s="21">
        <v>481</v>
      </c>
      <c r="M969" s="21">
        <v>140</v>
      </c>
      <c r="N969" s="21">
        <v>188</v>
      </c>
      <c r="O969" s="19">
        <v>308</v>
      </c>
      <c r="P969" s="22">
        <v>71</v>
      </c>
      <c r="Q969" s="22">
        <v>53</v>
      </c>
      <c r="R969" s="20"/>
      <c r="S969" s="234">
        <f>COUNTIFS(INP_DATA!$R$5:$R$3027,S$4,INP_DATA!$D$5:$D$3027,$D969,INP_DATA!$B$5:$B$3027,$B969)</f>
        <v>0</v>
      </c>
      <c r="T969" s="235">
        <f>COUNTIFS(INP_DATA!$R$5:$R$3027,T$4,INP_DATA!$D$5:$D$3027,$D969,INP_DATA!$B$5:$B$3027,$B969)</f>
        <v>0</v>
      </c>
    </row>
    <row r="970" spans="1:20" x14ac:dyDescent="0.35">
      <c r="A970" s="3" t="s">
        <v>107</v>
      </c>
      <c r="B970" s="165">
        <v>45444</v>
      </c>
      <c r="C970" s="57" t="str">
        <f>IF($B970="","",YEAR($B970)&amp;"-"&amp;IFERROR(VLOOKUP(MONTH(B970),KEY!$AE$5:$AF$16,2,FALSE),""))</f>
        <v>2024-Q2</v>
      </c>
      <c r="D970" s="3" t="s">
        <v>140</v>
      </c>
      <c r="E970" s="219">
        <v>4</v>
      </c>
      <c r="F970" s="166">
        <v>26</v>
      </c>
      <c r="G970" s="166">
        <v>25</v>
      </c>
      <c r="H970" s="21">
        <v>73</v>
      </c>
      <c r="I970" s="21">
        <v>10</v>
      </c>
      <c r="J970" s="21">
        <v>22</v>
      </c>
      <c r="K970" s="21">
        <v>5</v>
      </c>
      <c r="L970" s="21">
        <v>58</v>
      </c>
      <c r="M970" s="21">
        <v>24</v>
      </c>
      <c r="N970" s="21">
        <v>26</v>
      </c>
      <c r="O970" s="19">
        <v>88</v>
      </c>
      <c r="P970" s="22">
        <v>6</v>
      </c>
      <c r="Q970" s="22">
        <v>1</v>
      </c>
      <c r="R970" s="20"/>
      <c r="S970" s="234">
        <f>COUNTIFS(INP_DATA!$R$5:$R$3027,S$4,INP_DATA!$D$5:$D$3027,$D970,INP_DATA!$B$5:$B$3027,$B970)</f>
        <v>0</v>
      </c>
      <c r="T970" s="235">
        <f>COUNTIFS(INP_DATA!$R$5:$R$3027,T$4,INP_DATA!$D$5:$D$3027,$D970,INP_DATA!$B$5:$B$3027,$B970)</f>
        <v>0</v>
      </c>
    </row>
    <row r="971" spans="1:20" x14ac:dyDescent="0.35">
      <c r="A971" s="3" t="s">
        <v>108</v>
      </c>
      <c r="B971" s="165">
        <v>45444</v>
      </c>
      <c r="C971" s="57" t="str">
        <f>IF($B971="","",YEAR($B971)&amp;"-"&amp;IFERROR(VLOOKUP(MONTH(B971),KEY!$AE$5:$AF$16,2,FALSE),""))</f>
        <v>2024-Q2</v>
      </c>
      <c r="D971" s="3" t="s">
        <v>142</v>
      </c>
      <c r="E971" s="219">
        <v>15</v>
      </c>
      <c r="F971" s="166">
        <v>121</v>
      </c>
      <c r="G971" s="166">
        <v>71</v>
      </c>
      <c r="H971" s="21">
        <v>234</v>
      </c>
      <c r="I971" s="21">
        <v>42</v>
      </c>
      <c r="J971" s="21">
        <v>55</v>
      </c>
      <c r="K971" s="21">
        <v>14</v>
      </c>
      <c r="L971" s="21">
        <v>153</v>
      </c>
      <c r="M971" s="21">
        <v>61</v>
      </c>
      <c r="N971" s="21">
        <v>121</v>
      </c>
      <c r="O971" s="19">
        <v>88</v>
      </c>
      <c r="P971" s="22">
        <v>35</v>
      </c>
      <c r="Q971" s="22">
        <v>19</v>
      </c>
      <c r="R971" s="20"/>
      <c r="S971" s="234">
        <f>COUNTIFS(INP_DATA!$R$5:$R$3027,S$4,INP_DATA!$D$5:$D$3027,$D971,INP_DATA!$B$5:$B$3027,$B971)</f>
        <v>0</v>
      </c>
      <c r="T971" s="235">
        <f>COUNTIFS(INP_DATA!$R$5:$R$3027,T$4,INP_DATA!$D$5:$D$3027,$D971,INP_DATA!$B$5:$B$3027,$B971)</f>
        <v>0</v>
      </c>
    </row>
    <row r="972" spans="1:20" x14ac:dyDescent="0.35">
      <c r="A972" s="3" t="s">
        <v>16</v>
      </c>
      <c r="B972" s="165">
        <v>45444</v>
      </c>
      <c r="C972" s="57" t="str">
        <f>IF($B972="","",YEAR($B972)&amp;"-"&amp;IFERROR(VLOOKUP(MONTH(B972),KEY!$AE$5:$AF$16,2,FALSE),""))</f>
        <v>2024-Q2</v>
      </c>
      <c r="D972" s="3" t="s">
        <v>143</v>
      </c>
      <c r="E972" s="219">
        <v>14</v>
      </c>
      <c r="F972" s="166">
        <v>61</v>
      </c>
      <c r="G972" s="166">
        <v>74</v>
      </c>
      <c r="H972" s="21">
        <v>138</v>
      </c>
      <c r="I972" s="21">
        <v>24</v>
      </c>
      <c r="J972" s="21">
        <v>57</v>
      </c>
      <c r="K972" s="21">
        <v>14</v>
      </c>
      <c r="L972" s="21">
        <v>143</v>
      </c>
      <c r="M972" s="21">
        <v>43</v>
      </c>
      <c r="N972" s="21">
        <v>65</v>
      </c>
      <c r="O972" s="19">
        <v>154</v>
      </c>
      <c r="P972" s="22">
        <v>7</v>
      </c>
      <c r="Q972" s="22">
        <v>1</v>
      </c>
      <c r="R972" s="20"/>
      <c r="S972" s="234">
        <f>COUNTIFS(INP_DATA!$R$5:$R$3027,S$4,INP_DATA!$D$5:$D$3027,$D972,INP_DATA!$B$5:$B$3027,$B972)</f>
        <v>0</v>
      </c>
      <c r="T972" s="235">
        <f>COUNTIFS(INP_DATA!$R$5:$R$3027,T$4,INP_DATA!$D$5:$D$3027,$D972,INP_DATA!$B$5:$B$3027,$B972)</f>
        <v>0</v>
      </c>
    </row>
    <row r="973" spans="1:20" x14ac:dyDescent="0.35">
      <c r="A973" s="3" t="s">
        <v>16</v>
      </c>
      <c r="B973" s="165">
        <v>45444</v>
      </c>
      <c r="C973" s="57" t="str">
        <f>IF($B973="","",YEAR($B973)&amp;"-"&amp;IFERROR(VLOOKUP(MONTH(B973),KEY!$AE$5:$AF$16,2,FALSE),""))</f>
        <v>2024-Q2</v>
      </c>
      <c r="D973" s="3" t="s">
        <v>144</v>
      </c>
      <c r="E973" s="219">
        <v>41</v>
      </c>
      <c r="F973" s="166">
        <v>184</v>
      </c>
      <c r="G973" s="166">
        <v>142</v>
      </c>
      <c r="H973" s="21">
        <v>244</v>
      </c>
      <c r="I973" s="21">
        <v>37</v>
      </c>
      <c r="J973" s="21">
        <v>179</v>
      </c>
      <c r="K973" s="21">
        <v>18</v>
      </c>
      <c r="L973" s="21">
        <v>342</v>
      </c>
      <c r="M973" s="21">
        <v>100</v>
      </c>
      <c r="N973" s="21">
        <v>194</v>
      </c>
      <c r="O973" s="19">
        <v>440</v>
      </c>
      <c r="P973" s="22">
        <v>14</v>
      </c>
      <c r="Q973" s="22">
        <v>11</v>
      </c>
      <c r="R973" s="20"/>
      <c r="S973" s="234">
        <f>COUNTIFS(INP_DATA!$R$5:$R$3027,S$4,INP_DATA!$D$5:$D$3027,$D973,INP_DATA!$B$5:$B$3027,$B973)</f>
        <v>0</v>
      </c>
      <c r="T973" s="235">
        <f>COUNTIFS(INP_DATA!$R$5:$R$3027,T$4,INP_DATA!$D$5:$D$3027,$D973,INP_DATA!$B$5:$B$3027,$B973)</f>
        <v>0</v>
      </c>
    </row>
    <row r="974" spans="1:20" x14ac:dyDescent="0.35">
      <c r="A974" s="3" t="s">
        <v>108</v>
      </c>
      <c r="B974" s="165">
        <v>45444</v>
      </c>
      <c r="C974" s="57" t="str">
        <f>IF($B974="","",YEAR($B974)&amp;"-"&amp;IFERROR(VLOOKUP(MONTH(B974),KEY!$AE$5:$AF$16,2,FALSE),""))</f>
        <v>2024-Q2</v>
      </c>
      <c r="D974" s="3" t="s">
        <v>145</v>
      </c>
      <c r="E974" s="219">
        <v>49</v>
      </c>
      <c r="F974" s="166">
        <v>166</v>
      </c>
      <c r="G974" s="166">
        <v>161</v>
      </c>
      <c r="H974" s="21">
        <v>294</v>
      </c>
      <c r="I974" s="21">
        <v>41</v>
      </c>
      <c r="J974" s="21">
        <v>151</v>
      </c>
      <c r="K974" s="21">
        <v>30</v>
      </c>
      <c r="L974" s="21">
        <v>303</v>
      </c>
      <c r="M974" s="21">
        <v>98</v>
      </c>
      <c r="N974" s="21">
        <v>168</v>
      </c>
      <c r="O974" s="19">
        <v>330</v>
      </c>
      <c r="P974" s="22">
        <v>38</v>
      </c>
      <c r="Q974" s="22">
        <v>28</v>
      </c>
      <c r="R974" s="20"/>
      <c r="S974" s="234">
        <f>COUNTIFS(INP_DATA!$R$5:$R$3027,S$4,INP_DATA!$D$5:$D$3027,$D974,INP_DATA!$B$5:$B$3027,$B974)</f>
        <v>0</v>
      </c>
      <c r="T974" s="235">
        <f>COUNTIFS(INP_DATA!$R$5:$R$3027,T$4,INP_DATA!$D$5:$D$3027,$D974,INP_DATA!$B$5:$B$3027,$B974)</f>
        <v>0</v>
      </c>
    </row>
    <row r="975" spans="1:20" x14ac:dyDescent="0.35">
      <c r="A975" s="3" t="s">
        <v>16</v>
      </c>
      <c r="B975" s="165">
        <v>45444</v>
      </c>
      <c r="C975" s="57" t="str">
        <f>IF($B975="","",YEAR($B975)&amp;"-"&amp;IFERROR(VLOOKUP(MONTH(B975),KEY!$AE$5:$AF$16,2,FALSE),""))</f>
        <v>2024-Q2</v>
      </c>
      <c r="D975" s="3" t="s">
        <v>146</v>
      </c>
      <c r="E975" s="219">
        <v>3</v>
      </c>
      <c r="F975" s="166">
        <v>29</v>
      </c>
      <c r="G975" s="166">
        <v>48</v>
      </c>
      <c r="H975" s="21">
        <v>62</v>
      </c>
      <c r="I975" s="21">
        <v>13</v>
      </c>
      <c r="J975" s="21">
        <v>34</v>
      </c>
      <c r="K975" s="21">
        <v>3</v>
      </c>
      <c r="L975" s="21">
        <v>63</v>
      </c>
      <c r="M975" s="21">
        <v>25</v>
      </c>
      <c r="N975" s="21">
        <v>29</v>
      </c>
      <c r="O975" s="19">
        <v>88</v>
      </c>
      <c r="P975" s="22">
        <v>4</v>
      </c>
      <c r="Q975" s="22">
        <v>2</v>
      </c>
      <c r="R975" s="20"/>
      <c r="S975" s="234">
        <f>COUNTIFS(INP_DATA!$R$5:$R$3027,S$4,INP_DATA!$D$5:$D$3027,$D975,INP_DATA!$B$5:$B$3027,$B975)</f>
        <v>0</v>
      </c>
      <c r="T975" s="235">
        <f>COUNTIFS(INP_DATA!$R$5:$R$3027,T$4,INP_DATA!$D$5:$D$3027,$D975,INP_DATA!$B$5:$B$3027,$B975)</f>
        <v>0</v>
      </c>
    </row>
    <row r="976" spans="1:20" x14ac:dyDescent="0.35">
      <c r="A976" s="3" t="s">
        <v>109</v>
      </c>
      <c r="B976" s="165">
        <v>45444</v>
      </c>
      <c r="C976" s="57" t="str">
        <f>IF($B976="","",YEAR($B976)&amp;"-"&amp;IFERROR(VLOOKUP(MONTH(B976),KEY!$AE$5:$AF$16,2,FALSE),""))</f>
        <v>2024-Q2</v>
      </c>
      <c r="D976" s="3" t="s">
        <v>147</v>
      </c>
      <c r="E976" s="219">
        <v>10</v>
      </c>
      <c r="F976" s="166">
        <v>58</v>
      </c>
      <c r="G976" s="166">
        <v>55</v>
      </c>
      <c r="H976" s="21">
        <v>98</v>
      </c>
      <c r="I976" s="21">
        <v>28</v>
      </c>
      <c r="J976" s="21">
        <v>34</v>
      </c>
      <c r="K976" s="21">
        <v>6</v>
      </c>
      <c r="L976" s="21">
        <v>88</v>
      </c>
      <c r="M976" s="21">
        <v>39</v>
      </c>
      <c r="N976" s="21">
        <v>58</v>
      </c>
      <c r="O976" s="19">
        <v>88</v>
      </c>
      <c r="P976" s="22">
        <v>8</v>
      </c>
      <c r="Q976" s="22">
        <v>5</v>
      </c>
      <c r="R976" s="20"/>
      <c r="S976" s="234">
        <f>COUNTIFS(INP_DATA!$R$5:$R$3027,S$4,INP_DATA!$D$5:$D$3027,$D976,INP_DATA!$B$5:$B$3027,$B976)</f>
        <v>0</v>
      </c>
      <c r="T976" s="235">
        <f>COUNTIFS(INP_DATA!$R$5:$R$3027,T$4,INP_DATA!$D$5:$D$3027,$D976,INP_DATA!$B$5:$B$3027,$B976)</f>
        <v>0</v>
      </c>
    </row>
    <row r="977" spans="1:20" x14ac:dyDescent="0.35">
      <c r="A977" s="3" t="s">
        <v>106</v>
      </c>
      <c r="B977" s="165">
        <v>45444</v>
      </c>
      <c r="C977" s="57" t="str">
        <f>IF($B977="","",YEAR($B977)&amp;"-"&amp;IFERROR(VLOOKUP(MONTH(B977),KEY!$AE$5:$AF$16,2,FALSE),""))</f>
        <v>2024-Q2</v>
      </c>
      <c r="D977" s="3" t="s">
        <v>148</v>
      </c>
      <c r="E977" s="219">
        <v>9</v>
      </c>
      <c r="F977" s="166">
        <v>34</v>
      </c>
      <c r="G977" s="166">
        <v>53</v>
      </c>
      <c r="H977" s="21">
        <v>85</v>
      </c>
      <c r="I977" s="21">
        <v>8</v>
      </c>
      <c r="J977" s="21">
        <v>54</v>
      </c>
      <c r="K977" s="21">
        <v>5</v>
      </c>
      <c r="L977" s="21">
        <v>88</v>
      </c>
      <c r="M977" s="21">
        <v>27</v>
      </c>
      <c r="N977" s="21">
        <v>34</v>
      </c>
      <c r="O977" s="19">
        <v>88</v>
      </c>
      <c r="P977" s="22">
        <v>4</v>
      </c>
      <c r="Q977" s="22">
        <v>1</v>
      </c>
      <c r="R977" s="20"/>
      <c r="S977" s="234">
        <f>COUNTIFS(INP_DATA!$R$5:$R$3027,S$4,INP_DATA!$D$5:$D$3027,$D977,INP_DATA!$B$5:$B$3027,$B977)</f>
        <v>0</v>
      </c>
      <c r="T977" s="235">
        <f>COUNTIFS(INP_DATA!$R$5:$R$3027,T$4,INP_DATA!$D$5:$D$3027,$D977,INP_DATA!$B$5:$B$3027,$B977)</f>
        <v>0</v>
      </c>
    </row>
    <row r="978" spans="1:20" x14ac:dyDescent="0.35">
      <c r="A978" s="3" t="s">
        <v>107</v>
      </c>
      <c r="B978" s="165">
        <v>45444</v>
      </c>
      <c r="C978" s="57" t="str">
        <f>IF($B978="","",YEAR($B978)&amp;"-"&amp;IFERROR(VLOOKUP(MONTH(B978),KEY!$AE$5:$AF$16,2,FALSE),""))</f>
        <v>2024-Q2</v>
      </c>
      <c r="D978" s="3" t="s">
        <v>149</v>
      </c>
      <c r="E978" s="219">
        <v>7</v>
      </c>
      <c r="F978" s="166">
        <v>32</v>
      </c>
      <c r="G978" s="166">
        <v>33</v>
      </c>
      <c r="H978" s="21">
        <v>27</v>
      </c>
      <c r="I978" s="21">
        <v>8</v>
      </c>
      <c r="J978" s="21">
        <v>19</v>
      </c>
      <c r="K978" s="21">
        <v>9</v>
      </c>
      <c r="L978" s="21">
        <v>61</v>
      </c>
      <c r="M978" s="21">
        <v>32</v>
      </c>
      <c r="N978" s="21">
        <v>32</v>
      </c>
      <c r="O978" s="19">
        <v>66</v>
      </c>
      <c r="P978" s="22">
        <v>5</v>
      </c>
      <c r="Q978" s="22">
        <v>4</v>
      </c>
      <c r="R978" s="20"/>
      <c r="S978" s="234">
        <f>COUNTIFS(INP_DATA!$R$5:$R$3027,S$4,INP_DATA!$D$5:$D$3027,$D978,INP_DATA!$B$5:$B$3027,$B978)</f>
        <v>0</v>
      </c>
      <c r="T978" s="235">
        <f>COUNTIFS(INP_DATA!$R$5:$R$3027,T$4,INP_DATA!$D$5:$D$3027,$D978,INP_DATA!$B$5:$B$3027,$B978)</f>
        <v>0</v>
      </c>
    </row>
    <row r="979" spans="1:20" x14ac:dyDescent="0.35">
      <c r="A979" s="3" t="s">
        <v>108</v>
      </c>
      <c r="B979" s="165">
        <v>45444</v>
      </c>
      <c r="C979" s="57" t="str">
        <f>IF($B979="","",YEAR($B979)&amp;"-"&amp;IFERROR(VLOOKUP(MONTH(B979),KEY!$AE$5:$AF$16,2,FALSE),""))</f>
        <v>2024-Q2</v>
      </c>
      <c r="D979" s="3" t="s">
        <v>150</v>
      </c>
      <c r="E979" s="219">
        <v>7</v>
      </c>
      <c r="F979" s="166">
        <v>36</v>
      </c>
      <c r="G979" s="166">
        <v>44</v>
      </c>
      <c r="H979" s="21">
        <v>41</v>
      </c>
      <c r="I979" s="21">
        <v>8</v>
      </c>
      <c r="J979" s="21">
        <v>22</v>
      </c>
      <c r="K979" s="21">
        <v>6</v>
      </c>
      <c r="L979" s="21">
        <v>55</v>
      </c>
      <c r="M979" s="21">
        <v>23</v>
      </c>
      <c r="N979" s="21">
        <v>36</v>
      </c>
      <c r="O979" s="19">
        <v>110</v>
      </c>
      <c r="P979" s="22">
        <v>6</v>
      </c>
      <c r="Q979" s="22">
        <v>2</v>
      </c>
      <c r="R979" s="20"/>
      <c r="S979" s="234">
        <f>COUNTIFS(INP_DATA!$R$5:$R$3027,S$4,INP_DATA!$D$5:$D$3027,$D979,INP_DATA!$B$5:$B$3027,$B979)</f>
        <v>0</v>
      </c>
      <c r="T979" s="235">
        <f>COUNTIFS(INP_DATA!$R$5:$R$3027,T$4,INP_DATA!$D$5:$D$3027,$D979,INP_DATA!$B$5:$B$3027,$B979)</f>
        <v>0</v>
      </c>
    </row>
    <row r="980" spans="1:20" x14ac:dyDescent="0.35">
      <c r="A980" s="3" t="s">
        <v>16</v>
      </c>
      <c r="B980" s="165">
        <v>45444</v>
      </c>
      <c r="C980" s="57" t="str">
        <f>IF($B980="","",YEAR($B980)&amp;"-"&amp;IFERROR(VLOOKUP(MONTH(B980),KEY!$AE$5:$AF$16,2,FALSE),""))</f>
        <v>2024-Q2</v>
      </c>
      <c r="D980" s="3" t="s">
        <v>151</v>
      </c>
      <c r="E980" s="219">
        <v>8</v>
      </c>
      <c r="F980" s="166">
        <v>32</v>
      </c>
      <c r="G980" s="166">
        <v>22</v>
      </c>
      <c r="H980" s="21">
        <v>82</v>
      </c>
      <c r="I980" s="21">
        <v>11</v>
      </c>
      <c r="J980" s="21">
        <v>29</v>
      </c>
      <c r="K980" s="21">
        <v>6</v>
      </c>
      <c r="L980" s="21">
        <v>72</v>
      </c>
      <c r="M980" s="21">
        <v>24</v>
      </c>
      <c r="N980" s="21">
        <v>32</v>
      </c>
      <c r="O980" s="19">
        <v>88</v>
      </c>
      <c r="P980" s="22">
        <v>0</v>
      </c>
      <c r="Q980" s="22">
        <v>0</v>
      </c>
      <c r="R980" s="20"/>
      <c r="S980" s="234">
        <f>COUNTIFS(INP_DATA!$R$5:$R$3027,S$4,INP_DATA!$D$5:$D$3027,$D980,INP_DATA!$B$5:$B$3027,$B980)</f>
        <v>0</v>
      </c>
      <c r="T980" s="235">
        <f>COUNTIFS(INP_DATA!$R$5:$R$3027,T$4,INP_DATA!$D$5:$D$3027,$D980,INP_DATA!$B$5:$B$3027,$B980)</f>
        <v>0</v>
      </c>
    </row>
    <row r="981" spans="1:20" x14ac:dyDescent="0.35">
      <c r="A981" s="3" t="s">
        <v>106</v>
      </c>
      <c r="B981" s="165">
        <v>45444</v>
      </c>
      <c r="C981" s="57" t="str">
        <f>IF($B981="","",YEAR($B981)&amp;"-"&amp;IFERROR(VLOOKUP(MONTH(B981),KEY!$AE$5:$AF$16,2,FALSE),""))</f>
        <v>2024-Q2</v>
      </c>
      <c r="D981" s="3" t="s">
        <v>152</v>
      </c>
      <c r="E981" s="219">
        <v>57</v>
      </c>
      <c r="F981" s="166">
        <v>232</v>
      </c>
      <c r="G981" s="166">
        <v>193</v>
      </c>
      <c r="H981" s="21">
        <v>428</v>
      </c>
      <c r="I981" s="21">
        <v>81</v>
      </c>
      <c r="J981" s="21">
        <v>146</v>
      </c>
      <c r="K981" s="21">
        <v>50</v>
      </c>
      <c r="L981" s="21">
        <v>408</v>
      </c>
      <c r="M981" s="21">
        <v>171</v>
      </c>
      <c r="N981" s="21">
        <v>232</v>
      </c>
      <c r="O981" s="19">
        <v>286</v>
      </c>
      <c r="P981" s="22">
        <v>88</v>
      </c>
      <c r="Q981" s="22">
        <v>56</v>
      </c>
      <c r="R981" s="20"/>
      <c r="S981" s="234">
        <f>COUNTIFS(INP_DATA!$R$5:$R$3027,S$4,INP_DATA!$D$5:$D$3027,$D981,INP_DATA!$B$5:$B$3027,$B981)</f>
        <v>0</v>
      </c>
      <c r="T981" s="235">
        <f>COUNTIFS(INP_DATA!$R$5:$R$3027,T$4,INP_DATA!$D$5:$D$3027,$D981,INP_DATA!$B$5:$B$3027,$B981)</f>
        <v>0</v>
      </c>
    </row>
    <row r="982" spans="1:20" x14ac:dyDescent="0.35">
      <c r="A982" s="3" t="s">
        <v>16</v>
      </c>
      <c r="B982" s="165">
        <v>45444</v>
      </c>
      <c r="C982" s="57" t="str">
        <f>IF($B982="","",YEAR($B982)&amp;"-"&amp;IFERROR(VLOOKUP(MONTH(B982),KEY!$AE$5:$AF$16,2,FALSE),""))</f>
        <v>2024-Q2</v>
      </c>
      <c r="D982" s="3" t="s">
        <v>153</v>
      </c>
      <c r="E982" s="219">
        <v>39</v>
      </c>
      <c r="F982" s="166">
        <v>104</v>
      </c>
      <c r="G982" s="166">
        <v>107</v>
      </c>
      <c r="H982" s="21">
        <v>124</v>
      </c>
      <c r="I982" s="21">
        <v>21</v>
      </c>
      <c r="J982" s="21">
        <v>115</v>
      </c>
      <c r="K982" s="21">
        <v>13</v>
      </c>
      <c r="L982" s="21">
        <v>336</v>
      </c>
      <c r="M982" s="21">
        <v>59</v>
      </c>
      <c r="N982" s="21">
        <v>104</v>
      </c>
      <c r="O982" s="19">
        <v>286</v>
      </c>
      <c r="P982" s="22">
        <v>3</v>
      </c>
      <c r="Q982" s="22">
        <v>0</v>
      </c>
      <c r="R982" s="20"/>
      <c r="S982" s="234">
        <f>COUNTIFS(INP_DATA!$R$5:$R$3027,S$4,INP_DATA!$D$5:$D$3027,$D982,INP_DATA!$B$5:$B$3027,$B982)</f>
        <v>0</v>
      </c>
      <c r="T982" s="235">
        <f>COUNTIFS(INP_DATA!$R$5:$R$3027,T$4,INP_DATA!$D$5:$D$3027,$D982,INP_DATA!$B$5:$B$3027,$B982)</f>
        <v>0</v>
      </c>
    </row>
    <row r="983" spans="1:20" x14ac:dyDescent="0.35">
      <c r="A983" s="3" t="s">
        <v>106</v>
      </c>
      <c r="B983" s="165">
        <v>45444</v>
      </c>
      <c r="C983" s="57" t="str">
        <f>IF($B983="","",YEAR($B983)&amp;"-"&amp;IFERROR(VLOOKUP(MONTH(B983),KEY!$AE$5:$AF$16,2,FALSE),""))</f>
        <v>2024-Q2</v>
      </c>
      <c r="D983" s="3" t="s">
        <v>154</v>
      </c>
      <c r="E983" s="219">
        <v>21</v>
      </c>
      <c r="F983" s="166">
        <v>96</v>
      </c>
      <c r="G983" s="166">
        <v>53</v>
      </c>
      <c r="H983" s="21">
        <v>297</v>
      </c>
      <c r="I983" s="21">
        <v>42</v>
      </c>
      <c r="J983" s="21">
        <v>125</v>
      </c>
      <c r="K983" s="21">
        <v>18</v>
      </c>
      <c r="L983" s="21">
        <v>255</v>
      </c>
      <c r="M983" s="21">
        <v>55</v>
      </c>
      <c r="N983" s="21">
        <v>94</v>
      </c>
      <c r="O983" s="19">
        <v>154</v>
      </c>
      <c r="P983" s="22">
        <v>18</v>
      </c>
      <c r="Q983" s="22">
        <v>16</v>
      </c>
      <c r="R983" s="20"/>
      <c r="S983" s="234">
        <f>COUNTIFS(INP_DATA!$R$5:$R$3027,S$4,INP_DATA!$D$5:$D$3027,$D983,INP_DATA!$B$5:$B$3027,$B983)</f>
        <v>0</v>
      </c>
      <c r="T983" s="235">
        <f>COUNTIFS(INP_DATA!$R$5:$R$3027,T$4,INP_DATA!$D$5:$D$3027,$D983,INP_DATA!$B$5:$B$3027,$B983)</f>
        <v>0</v>
      </c>
    </row>
    <row r="984" spans="1:20" x14ac:dyDescent="0.35">
      <c r="A984" s="3" t="s">
        <v>109</v>
      </c>
      <c r="B984" s="165">
        <v>45444</v>
      </c>
      <c r="C984" s="57" t="str">
        <f>IF($B984="","",YEAR($B984)&amp;"-"&amp;IFERROR(VLOOKUP(MONTH(B984),KEY!$AE$5:$AF$16,2,FALSE),""))</f>
        <v>2024-Q2</v>
      </c>
      <c r="D984" s="3" t="s">
        <v>155</v>
      </c>
      <c r="E984" s="219">
        <v>71</v>
      </c>
      <c r="F984" s="166">
        <v>357</v>
      </c>
      <c r="G984" s="166">
        <v>338</v>
      </c>
      <c r="H984" s="21">
        <v>726</v>
      </c>
      <c r="I984" s="21">
        <v>102</v>
      </c>
      <c r="J984" s="21">
        <v>323</v>
      </c>
      <c r="K984" s="21">
        <v>56</v>
      </c>
      <c r="L984" s="21">
        <v>401</v>
      </c>
      <c r="M984" s="21">
        <v>173</v>
      </c>
      <c r="N984" s="21">
        <v>369</v>
      </c>
      <c r="O984" s="19">
        <v>462</v>
      </c>
      <c r="P984" s="22">
        <v>44</v>
      </c>
      <c r="Q984" s="22">
        <v>24</v>
      </c>
      <c r="R984" s="20"/>
      <c r="S984" s="234">
        <f>COUNTIFS(INP_DATA!$R$5:$R$3027,S$4,INP_DATA!$D$5:$D$3027,$D984,INP_DATA!$B$5:$B$3027,$B984)</f>
        <v>0</v>
      </c>
      <c r="T984" s="235">
        <f>COUNTIFS(INP_DATA!$R$5:$R$3027,T$4,INP_DATA!$D$5:$D$3027,$D984,INP_DATA!$B$5:$B$3027,$B984)</f>
        <v>0</v>
      </c>
    </row>
    <row r="985" spans="1:20" x14ac:dyDescent="0.35">
      <c r="A985" s="3" t="s">
        <v>109</v>
      </c>
      <c r="B985" s="165">
        <v>45444</v>
      </c>
      <c r="C985" s="57" t="str">
        <f>IF($B985="","",YEAR($B985)&amp;"-"&amp;IFERROR(VLOOKUP(MONTH(B985),KEY!$AE$5:$AF$16,2,FALSE),""))</f>
        <v>2024-Q2</v>
      </c>
      <c r="D985" s="3" t="s">
        <v>156</v>
      </c>
      <c r="E985" s="219">
        <v>49</v>
      </c>
      <c r="F985" s="166">
        <v>251</v>
      </c>
      <c r="G985" s="166">
        <v>316</v>
      </c>
      <c r="H985" s="21">
        <v>552</v>
      </c>
      <c r="I985" s="21">
        <v>78</v>
      </c>
      <c r="J985" s="21">
        <v>200</v>
      </c>
      <c r="K985" s="21">
        <v>39</v>
      </c>
      <c r="L985" s="21">
        <v>455</v>
      </c>
      <c r="M985" s="21">
        <v>104</v>
      </c>
      <c r="N985" s="21">
        <v>254</v>
      </c>
      <c r="O985" s="19">
        <v>550</v>
      </c>
      <c r="P985" s="22">
        <v>13</v>
      </c>
      <c r="Q985" s="22">
        <v>8</v>
      </c>
      <c r="R985" s="20"/>
      <c r="S985" s="234">
        <f>COUNTIFS(INP_DATA!$R$5:$R$3027,S$4,INP_DATA!$D$5:$D$3027,$D985,INP_DATA!$B$5:$B$3027,$B985)</f>
        <v>0</v>
      </c>
      <c r="T985" s="235">
        <f>COUNTIFS(INP_DATA!$R$5:$R$3027,T$4,INP_DATA!$D$5:$D$3027,$D985,INP_DATA!$B$5:$B$3027,$B985)</f>
        <v>0</v>
      </c>
    </row>
    <row r="986" spans="1:20" x14ac:dyDescent="0.35">
      <c r="A986" s="3" t="s">
        <v>109</v>
      </c>
      <c r="B986" s="165">
        <v>45444</v>
      </c>
      <c r="C986" s="57" t="str">
        <f>IF($B986="","",YEAR($B986)&amp;"-"&amp;IFERROR(VLOOKUP(MONTH(B986),KEY!$AE$5:$AF$16,2,FALSE),""))</f>
        <v>2024-Q2</v>
      </c>
      <c r="D986" s="3" t="s">
        <v>157</v>
      </c>
      <c r="E986" s="219">
        <v>8</v>
      </c>
      <c r="F986" s="166">
        <v>389</v>
      </c>
      <c r="G986" s="166">
        <v>231</v>
      </c>
      <c r="H986" s="21">
        <v>1115</v>
      </c>
      <c r="I986" s="21">
        <v>87</v>
      </c>
      <c r="J986" s="21">
        <v>483</v>
      </c>
      <c r="K986" s="21">
        <v>66</v>
      </c>
      <c r="L986" s="21">
        <v>965</v>
      </c>
      <c r="M986" s="21">
        <v>215</v>
      </c>
      <c r="N986" s="21">
        <v>404</v>
      </c>
      <c r="O986" s="19">
        <v>770</v>
      </c>
      <c r="P986" s="22">
        <v>8</v>
      </c>
      <c r="Q986" s="22">
        <v>5</v>
      </c>
      <c r="R986" s="20"/>
      <c r="S986" s="234">
        <f>COUNTIFS(INP_DATA!$R$5:$R$3027,S$4,INP_DATA!$D$5:$D$3027,$D986,INP_DATA!$B$5:$B$3027,$B986)</f>
        <v>0</v>
      </c>
      <c r="T986" s="235">
        <f>COUNTIFS(INP_DATA!$R$5:$R$3027,T$4,INP_DATA!$D$5:$D$3027,$D986,INP_DATA!$B$5:$B$3027,$B986)</f>
        <v>0</v>
      </c>
    </row>
    <row r="987" spans="1:20" x14ac:dyDescent="0.35">
      <c r="A987" s="3" t="s">
        <v>16</v>
      </c>
      <c r="B987" s="165">
        <v>45444</v>
      </c>
      <c r="C987" s="57" t="str">
        <f>IF($B987="","",YEAR($B987)&amp;"-"&amp;IFERROR(VLOOKUP(MONTH(B987),KEY!$AE$5:$AF$16,2,FALSE),""))</f>
        <v>2024-Q2</v>
      </c>
      <c r="D987" s="3" t="s">
        <v>158</v>
      </c>
      <c r="E987" s="219">
        <v>2</v>
      </c>
      <c r="F987" s="166">
        <v>22</v>
      </c>
      <c r="G987" s="166">
        <v>24</v>
      </c>
      <c r="H987" s="21">
        <v>82</v>
      </c>
      <c r="I987" s="21">
        <v>10</v>
      </c>
      <c r="J987" s="21">
        <v>41</v>
      </c>
      <c r="K987" s="21">
        <v>7</v>
      </c>
      <c r="L987" s="21">
        <v>63</v>
      </c>
      <c r="M987" s="21">
        <v>17</v>
      </c>
      <c r="N987" s="21">
        <v>22</v>
      </c>
      <c r="O987" s="19">
        <v>132</v>
      </c>
      <c r="P987" s="22">
        <v>1</v>
      </c>
      <c r="Q987" s="22">
        <v>1</v>
      </c>
      <c r="R987" s="20"/>
      <c r="S987" s="234">
        <f>COUNTIFS(INP_DATA!$R$5:$R$3027,S$4,INP_DATA!$D$5:$D$3027,$D987,INP_DATA!$B$5:$B$3027,$B987)</f>
        <v>0</v>
      </c>
      <c r="T987" s="235">
        <f>COUNTIFS(INP_DATA!$R$5:$R$3027,T$4,INP_DATA!$D$5:$D$3027,$D987,INP_DATA!$B$5:$B$3027,$B987)</f>
        <v>0</v>
      </c>
    </row>
    <row r="988" spans="1:20" x14ac:dyDescent="0.35">
      <c r="A988" s="3" t="s">
        <v>107</v>
      </c>
      <c r="B988" s="165">
        <v>45444</v>
      </c>
      <c r="C988" s="57" t="str">
        <f>IF($B988="","",YEAR($B988)&amp;"-"&amp;IFERROR(VLOOKUP(MONTH(B988),KEY!$AE$5:$AF$16,2,FALSE),""))</f>
        <v>2024-Q2</v>
      </c>
      <c r="D988" s="3" t="s">
        <v>159</v>
      </c>
      <c r="E988" s="219">
        <v>28</v>
      </c>
      <c r="F988" s="166">
        <v>126</v>
      </c>
      <c r="G988" s="166">
        <v>95</v>
      </c>
      <c r="H988" s="21">
        <v>202</v>
      </c>
      <c r="I988" s="21">
        <v>44</v>
      </c>
      <c r="J988" s="21">
        <v>68</v>
      </c>
      <c r="K988" s="21">
        <v>17</v>
      </c>
      <c r="L988" s="21">
        <v>207</v>
      </c>
      <c r="M988" s="21">
        <v>94</v>
      </c>
      <c r="N988" s="21">
        <v>126</v>
      </c>
      <c r="O988" s="19">
        <v>198</v>
      </c>
      <c r="P988" s="22">
        <v>13</v>
      </c>
      <c r="Q988" s="22">
        <v>12</v>
      </c>
      <c r="R988" s="20"/>
      <c r="S988" s="234">
        <f>COUNTIFS(INP_DATA!$R$5:$R$3027,S$4,INP_DATA!$D$5:$D$3027,$D988,INP_DATA!$B$5:$B$3027,$B988)</f>
        <v>0</v>
      </c>
      <c r="T988" s="235">
        <f>COUNTIFS(INP_DATA!$R$5:$R$3027,T$4,INP_DATA!$D$5:$D$3027,$D988,INP_DATA!$B$5:$B$3027,$B988)</f>
        <v>0</v>
      </c>
    </row>
    <row r="989" spans="1:20" x14ac:dyDescent="0.35">
      <c r="A989" s="3" t="s">
        <v>16</v>
      </c>
      <c r="B989" s="165">
        <v>45444</v>
      </c>
      <c r="C989" s="57" t="str">
        <f>IF($B989="","",YEAR($B989)&amp;"-"&amp;IFERROR(VLOOKUP(MONTH(B989),KEY!$AE$5:$AF$16,2,FALSE),""))</f>
        <v>2024-Q2</v>
      </c>
      <c r="D989" s="3" t="s">
        <v>160</v>
      </c>
      <c r="E989" s="219">
        <v>49</v>
      </c>
      <c r="F989" s="166">
        <v>346</v>
      </c>
      <c r="G989" s="166">
        <v>380</v>
      </c>
      <c r="H989" s="21">
        <v>635</v>
      </c>
      <c r="I989" s="21">
        <v>95</v>
      </c>
      <c r="J989" s="21">
        <v>208</v>
      </c>
      <c r="K989" s="21">
        <v>41</v>
      </c>
      <c r="L989" s="21">
        <v>470</v>
      </c>
      <c r="M989" s="21">
        <v>189</v>
      </c>
      <c r="N989" s="21">
        <v>359</v>
      </c>
      <c r="O989" s="19">
        <v>506</v>
      </c>
      <c r="P989" s="22">
        <v>51</v>
      </c>
      <c r="Q989" s="22">
        <v>32</v>
      </c>
      <c r="R989" s="20"/>
      <c r="S989" s="234">
        <f>COUNTIFS(INP_DATA!$R$5:$R$3027,S$4,INP_DATA!$D$5:$D$3027,$D989,INP_DATA!$B$5:$B$3027,$B989)</f>
        <v>0</v>
      </c>
      <c r="T989" s="235">
        <f>COUNTIFS(INP_DATA!$R$5:$R$3027,T$4,INP_DATA!$D$5:$D$3027,$D989,INP_DATA!$B$5:$B$3027,$B989)</f>
        <v>0</v>
      </c>
    </row>
    <row r="990" spans="1:20" x14ac:dyDescent="0.35">
      <c r="A990" s="3" t="s">
        <v>106</v>
      </c>
      <c r="B990" s="165">
        <v>45444</v>
      </c>
      <c r="C990" s="57" t="str">
        <f>IF($B990="","",YEAR($B990)&amp;"-"&amp;IFERROR(VLOOKUP(MONTH(B990),KEY!$AE$5:$AF$16,2,FALSE),""))</f>
        <v>2024-Q2</v>
      </c>
      <c r="D990" s="3" t="s">
        <v>161</v>
      </c>
      <c r="E990" s="219">
        <v>32</v>
      </c>
      <c r="F990" s="166">
        <v>265</v>
      </c>
      <c r="G990" s="166">
        <v>274</v>
      </c>
      <c r="H990" s="21">
        <v>514</v>
      </c>
      <c r="I990" s="21">
        <v>83</v>
      </c>
      <c r="J990" s="21">
        <v>185</v>
      </c>
      <c r="K990" s="21">
        <v>37</v>
      </c>
      <c r="L990" s="21">
        <v>287</v>
      </c>
      <c r="M990" s="21">
        <v>100</v>
      </c>
      <c r="N990" s="21">
        <v>271</v>
      </c>
      <c r="O990" s="19">
        <v>484</v>
      </c>
      <c r="P990" s="22">
        <v>16</v>
      </c>
      <c r="Q990" s="22">
        <v>14</v>
      </c>
      <c r="R990" s="20"/>
      <c r="S990" s="234">
        <f>COUNTIFS(INP_DATA!$R$5:$R$3027,S$4,INP_DATA!$D$5:$D$3027,$D990,INP_DATA!$B$5:$B$3027,$B990)</f>
        <v>0</v>
      </c>
      <c r="T990" s="235">
        <f>COUNTIFS(INP_DATA!$R$5:$R$3027,T$4,INP_DATA!$D$5:$D$3027,$D990,INP_DATA!$B$5:$B$3027,$B990)</f>
        <v>0</v>
      </c>
    </row>
    <row r="991" spans="1:20" x14ac:dyDescent="0.35">
      <c r="A991" s="3" t="s">
        <v>109</v>
      </c>
      <c r="B991" s="165">
        <v>45444</v>
      </c>
      <c r="C991" s="57" t="str">
        <f>IF($B991="","",YEAR($B991)&amp;"-"&amp;IFERROR(VLOOKUP(MONTH(B991),KEY!$AE$5:$AF$16,2,FALSE),""))</f>
        <v>2024-Q2</v>
      </c>
      <c r="D991" s="3" t="s">
        <v>162</v>
      </c>
      <c r="E991" s="219">
        <v>117</v>
      </c>
      <c r="F991" s="166">
        <v>396</v>
      </c>
      <c r="G991" s="166">
        <v>487</v>
      </c>
      <c r="H991" s="21">
        <v>347</v>
      </c>
      <c r="I991" s="21">
        <v>89</v>
      </c>
      <c r="J991" s="21">
        <v>169</v>
      </c>
      <c r="K991" s="21">
        <v>54</v>
      </c>
      <c r="L991" s="21">
        <v>629</v>
      </c>
      <c r="M991" s="21">
        <v>122</v>
      </c>
      <c r="N991" s="21">
        <v>402</v>
      </c>
      <c r="O991" s="19">
        <v>748</v>
      </c>
      <c r="P991" s="22">
        <v>54</v>
      </c>
      <c r="Q991" s="22">
        <v>40</v>
      </c>
      <c r="R991" s="20"/>
      <c r="S991" s="234">
        <f>COUNTIFS(INP_DATA!$R$5:$R$3027,S$4,INP_DATA!$D$5:$D$3027,$D991,INP_DATA!$B$5:$B$3027,$B991)</f>
        <v>0</v>
      </c>
      <c r="T991" s="235">
        <f>COUNTIFS(INP_DATA!$R$5:$R$3027,T$4,INP_DATA!$D$5:$D$3027,$D991,INP_DATA!$B$5:$B$3027,$B991)</f>
        <v>0</v>
      </c>
    </row>
    <row r="992" spans="1:20" x14ac:dyDescent="0.35">
      <c r="A992" s="3" t="s">
        <v>16</v>
      </c>
      <c r="B992" s="165">
        <v>45444</v>
      </c>
      <c r="C992" s="57" t="str">
        <f>IF($B992="","",YEAR($B992)&amp;"-"&amp;IFERROR(VLOOKUP(MONTH(B992),KEY!$AE$5:$AF$16,2,FALSE),""))</f>
        <v>2024-Q2</v>
      </c>
      <c r="D992" s="3" t="s">
        <v>163</v>
      </c>
      <c r="E992" s="219">
        <v>67</v>
      </c>
      <c r="F992" s="166">
        <v>258</v>
      </c>
      <c r="G992" s="166">
        <v>246</v>
      </c>
      <c r="H992" s="21">
        <v>394</v>
      </c>
      <c r="I992" s="21">
        <v>63</v>
      </c>
      <c r="J992" s="21">
        <v>251</v>
      </c>
      <c r="K992" s="21">
        <v>39</v>
      </c>
      <c r="L992" s="21">
        <v>360</v>
      </c>
      <c r="M992" s="21">
        <v>143</v>
      </c>
      <c r="N992" s="21">
        <v>261</v>
      </c>
      <c r="O992" s="19">
        <v>418</v>
      </c>
      <c r="P992" s="22">
        <v>20</v>
      </c>
      <c r="Q992" s="22">
        <v>5</v>
      </c>
      <c r="R992" s="20"/>
      <c r="S992" s="234">
        <f>COUNTIFS(INP_DATA!$R$5:$R$3027,S$4,INP_DATA!$D$5:$D$3027,$D992,INP_DATA!$B$5:$B$3027,$B992)</f>
        <v>0</v>
      </c>
      <c r="T992" s="235">
        <f>COUNTIFS(INP_DATA!$R$5:$R$3027,T$4,INP_DATA!$D$5:$D$3027,$D992,INP_DATA!$B$5:$B$3027,$B992)</f>
        <v>0</v>
      </c>
    </row>
    <row r="993" spans="1:20" x14ac:dyDescent="0.35">
      <c r="A993" s="3" t="s">
        <v>16</v>
      </c>
      <c r="B993" s="165">
        <v>45444</v>
      </c>
      <c r="C993" s="57" t="str">
        <f>IF($B993="","",YEAR($B993)&amp;"-"&amp;IFERROR(VLOOKUP(MONTH(B993),KEY!$AE$5:$AF$16,2,FALSE),""))</f>
        <v>2024-Q2</v>
      </c>
      <c r="D993" s="3" t="s">
        <v>164</v>
      </c>
      <c r="E993" s="219">
        <v>15</v>
      </c>
      <c r="F993" s="166">
        <v>77</v>
      </c>
      <c r="G993" s="166">
        <v>76</v>
      </c>
      <c r="H993" s="21">
        <v>114</v>
      </c>
      <c r="I993" s="21">
        <v>20</v>
      </c>
      <c r="J993" s="21">
        <v>34</v>
      </c>
      <c r="K993" s="21">
        <v>16</v>
      </c>
      <c r="L993" s="21">
        <v>122</v>
      </c>
      <c r="M993" s="21">
        <v>61</v>
      </c>
      <c r="N993" s="21">
        <v>84</v>
      </c>
      <c r="O993" s="19">
        <v>154</v>
      </c>
      <c r="P993" s="22">
        <v>25</v>
      </c>
      <c r="Q993" s="22">
        <v>13</v>
      </c>
      <c r="R993" s="20"/>
      <c r="S993" s="234">
        <f>COUNTIFS(INP_DATA!$R$5:$R$3027,S$4,INP_DATA!$D$5:$D$3027,$D993,INP_DATA!$B$5:$B$3027,$B993)</f>
        <v>0</v>
      </c>
      <c r="T993" s="235">
        <f>COUNTIFS(INP_DATA!$R$5:$R$3027,T$4,INP_DATA!$D$5:$D$3027,$D993,INP_DATA!$B$5:$B$3027,$B993)</f>
        <v>0</v>
      </c>
    </row>
    <row r="994" spans="1:20" x14ac:dyDescent="0.35">
      <c r="A994" s="3" t="s">
        <v>107</v>
      </c>
      <c r="B994" s="165">
        <v>45444</v>
      </c>
      <c r="C994" s="57" t="str">
        <f>IF($B994="","",YEAR($B994)&amp;"-"&amp;IFERROR(VLOOKUP(MONTH(B994),KEY!$AE$5:$AF$16,2,FALSE),""))</f>
        <v>2024-Q2</v>
      </c>
      <c r="D994" s="3" t="s">
        <v>165</v>
      </c>
      <c r="E994" s="219">
        <v>15</v>
      </c>
      <c r="F994" s="166">
        <v>68</v>
      </c>
      <c r="G994" s="166">
        <v>85</v>
      </c>
      <c r="H994" s="21">
        <v>224</v>
      </c>
      <c r="I994" s="21">
        <v>23</v>
      </c>
      <c r="J994" s="21">
        <v>63</v>
      </c>
      <c r="K994" s="21">
        <v>12</v>
      </c>
      <c r="L994" s="21">
        <v>90</v>
      </c>
      <c r="M994" s="21">
        <v>44</v>
      </c>
      <c r="N994" s="21">
        <v>68</v>
      </c>
      <c r="O994" s="19">
        <v>176</v>
      </c>
      <c r="P994" s="22">
        <v>45</v>
      </c>
      <c r="Q994" s="22">
        <v>28</v>
      </c>
      <c r="R994" s="20"/>
      <c r="S994" s="234">
        <f>COUNTIFS(INP_DATA!$R$5:$R$3027,S$4,INP_DATA!$D$5:$D$3027,$D994,INP_DATA!$B$5:$B$3027,$B994)</f>
        <v>0</v>
      </c>
      <c r="T994" s="235">
        <f>COUNTIFS(INP_DATA!$R$5:$R$3027,T$4,INP_DATA!$D$5:$D$3027,$D994,INP_DATA!$B$5:$B$3027,$B994)</f>
        <v>0</v>
      </c>
    </row>
    <row r="995" spans="1:20" x14ac:dyDescent="0.35">
      <c r="A995" s="3" t="s">
        <v>16</v>
      </c>
      <c r="B995" s="165">
        <v>45474</v>
      </c>
      <c r="C995" s="57" t="str">
        <f>IF($B995="","",YEAR($B995)&amp;"-"&amp;IFERROR(VLOOKUP(MONTH(B995),KEY!$AE$5:$AF$16,2,FALSE),""))</f>
        <v>2024-Q3</v>
      </c>
      <c r="D995" s="3" t="s">
        <v>111</v>
      </c>
      <c r="E995" s="219">
        <v>11</v>
      </c>
      <c r="F995" s="166">
        <v>57</v>
      </c>
      <c r="G995" s="166">
        <v>67</v>
      </c>
      <c r="H995" s="21">
        <v>123</v>
      </c>
      <c r="I995" s="21">
        <v>17</v>
      </c>
      <c r="J995" s="21">
        <v>61</v>
      </c>
      <c r="K995" s="21">
        <v>9</v>
      </c>
      <c r="L995" s="21">
        <v>128</v>
      </c>
      <c r="M995" s="21">
        <v>41</v>
      </c>
      <c r="N995" s="21">
        <v>57</v>
      </c>
      <c r="O995" s="19">
        <v>176</v>
      </c>
      <c r="P995" s="22">
        <v>9</v>
      </c>
      <c r="Q995" s="22">
        <v>6</v>
      </c>
      <c r="R995" s="20"/>
      <c r="S995" s="234">
        <f>COUNTIFS(INP_DATA!$R$5:$R$3027,S$4,INP_DATA!$D$5:$D$3027,$D995,INP_DATA!$B$5:$B$3027,$B995)</f>
        <v>0</v>
      </c>
      <c r="T995" s="235">
        <f>COUNTIFS(INP_DATA!$R$5:$R$3027,T$4,INP_DATA!$D$5:$D$3027,$D995,INP_DATA!$B$5:$B$3027,$B995)</f>
        <v>0</v>
      </c>
    </row>
    <row r="996" spans="1:20" x14ac:dyDescent="0.35">
      <c r="A996" s="3" t="s">
        <v>108</v>
      </c>
      <c r="B996" s="165">
        <v>45474</v>
      </c>
      <c r="C996" s="57" t="str">
        <f>IF($B996="","",YEAR($B996)&amp;"-"&amp;IFERROR(VLOOKUP(MONTH(B996),KEY!$AE$5:$AF$16,2,FALSE),""))</f>
        <v>2024-Q3</v>
      </c>
      <c r="D996" s="3" t="s">
        <v>112</v>
      </c>
      <c r="E996" s="219">
        <v>10</v>
      </c>
      <c r="F996" s="166">
        <v>32</v>
      </c>
      <c r="G996" s="166">
        <v>34</v>
      </c>
      <c r="H996" s="21">
        <v>52</v>
      </c>
      <c r="I996" s="21">
        <v>9</v>
      </c>
      <c r="J996" s="21">
        <v>31</v>
      </c>
      <c r="K996" s="21">
        <v>8</v>
      </c>
      <c r="L996" s="21">
        <v>58</v>
      </c>
      <c r="M996" s="21">
        <v>22</v>
      </c>
      <c r="N996" s="21">
        <v>34</v>
      </c>
      <c r="O996" s="19">
        <v>88</v>
      </c>
      <c r="P996" s="22">
        <v>14</v>
      </c>
      <c r="Q996" s="22">
        <v>8</v>
      </c>
      <c r="R996" s="20"/>
      <c r="S996" s="234">
        <f>COUNTIFS(INP_DATA!$R$5:$R$3027,S$4,INP_DATA!$D$5:$D$3027,$D996,INP_DATA!$B$5:$B$3027,$B996)</f>
        <v>0</v>
      </c>
      <c r="T996" s="235">
        <f>COUNTIFS(INP_DATA!$R$5:$R$3027,T$4,INP_DATA!$D$5:$D$3027,$D996,INP_DATA!$B$5:$B$3027,$B996)</f>
        <v>0</v>
      </c>
    </row>
    <row r="997" spans="1:20" x14ac:dyDescent="0.35">
      <c r="A997" s="3" t="s">
        <v>16</v>
      </c>
      <c r="B997" s="165">
        <v>45474</v>
      </c>
      <c r="C997" s="57" t="str">
        <f>IF($B997="","",YEAR($B997)&amp;"-"&amp;IFERROR(VLOOKUP(MONTH(B997),KEY!$AE$5:$AF$16,2,FALSE),""))</f>
        <v>2024-Q3</v>
      </c>
      <c r="D997" s="3" t="s">
        <v>113</v>
      </c>
      <c r="E997" s="219">
        <v>14</v>
      </c>
      <c r="F997" s="166">
        <v>60</v>
      </c>
      <c r="G997" s="166">
        <v>67</v>
      </c>
      <c r="H997" s="21">
        <v>126</v>
      </c>
      <c r="I997" s="21">
        <v>19</v>
      </c>
      <c r="J997" s="21">
        <v>53</v>
      </c>
      <c r="K997" s="21">
        <v>13</v>
      </c>
      <c r="L997" s="21">
        <v>121</v>
      </c>
      <c r="M997" s="21">
        <v>51</v>
      </c>
      <c r="N997" s="21">
        <v>61</v>
      </c>
      <c r="O997" s="19">
        <v>154</v>
      </c>
      <c r="P997" s="22">
        <v>2</v>
      </c>
      <c r="Q997" s="22">
        <v>0</v>
      </c>
      <c r="R997" s="20"/>
      <c r="S997" s="234">
        <f>COUNTIFS(INP_DATA!$R$5:$R$3027,S$4,INP_DATA!$D$5:$D$3027,$D997,INP_DATA!$B$5:$B$3027,$B997)</f>
        <v>0</v>
      </c>
      <c r="T997" s="235">
        <f>COUNTIFS(INP_DATA!$R$5:$R$3027,T$4,INP_DATA!$D$5:$D$3027,$D997,INP_DATA!$B$5:$B$3027,$B997)</f>
        <v>0</v>
      </c>
    </row>
    <row r="998" spans="1:20" x14ac:dyDescent="0.35">
      <c r="A998" s="3" t="s">
        <v>108</v>
      </c>
      <c r="B998" s="165">
        <v>45474</v>
      </c>
      <c r="C998" s="57" t="str">
        <f>IF($B998="","",YEAR($B998)&amp;"-"&amp;IFERROR(VLOOKUP(MONTH(B998),KEY!$AE$5:$AF$16,2,FALSE),""))</f>
        <v>2024-Q3</v>
      </c>
      <c r="D998" s="3" t="s">
        <v>114</v>
      </c>
      <c r="E998" s="219">
        <v>10</v>
      </c>
      <c r="F998" s="166">
        <v>39</v>
      </c>
      <c r="G998" s="166">
        <v>63</v>
      </c>
      <c r="H998" s="21">
        <v>62</v>
      </c>
      <c r="I998" s="21">
        <v>15</v>
      </c>
      <c r="J998" s="21">
        <v>25</v>
      </c>
      <c r="K998" s="21">
        <v>6</v>
      </c>
      <c r="L998" s="21">
        <v>66</v>
      </c>
      <c r="M998" s="21">
        <v>25</v>
      </c>
      <c r="N998" s="21">
        <v>51</v>
      </c>
      <c r="O998" s="19">
        <v>110</v>
      </c>
      <c r="P998" s="22">
        <v>19</v>
      </c>
      <c r="Q998" s="22">
        <v>14</v>
      </c>
      <c r="R998" s="20"/>
      <c r="S998" s="234">
        <f>COUNTIFS(INP_DATA!$R$5:$R$3027,S$4,INP_DATA!$D$5:$D$3027,$D998,INP_DATA!$B$5:$B$3027,$B998)</f>
        <v>0</v>
      </c>
      <c r="T998" s="235">
        <f>COUNTIFS(INP_DATA!$R$5:$R$3027,T$4,INP_DATA!$D$5:$D$3027,$D998,INP_DATA!$B$5:$B$3027,$B998)</f>
        <v>0</v>
      </c>
    </row>
    <row r="999" spans="1:20" x14ac:dyDescent="0.35">
      <c r="A999" s="3" t="s">
        <v>107</v>
      </c>
      <c r="B999" s="165">
        <v>45474</v>
      </c>
      <c r="C999" s="57" t="str">
        <f>IF($B999="","",YEAR($B999)&amp;"-"&amp;IFERROR(VLOOKUP(MONTH(B999),KEY!$AE$5:$AF$16,2,FALSE),""))</f>
        <v>2024-Q3</v>
      </c>
      <c r="D999" s="3" t="s">
        <v>115</v>
      </c>
      <c r="E999" s="219">
        <v>8</v>
      </c>
      <c r="F999" s="166">
        <v>47</v>
      </c>
      <c r="G999" s="166">
        <v>50</v>
      </c>
      <c r="H999" s="21">
        <v>71</v>
      </c>
      <c r="I999" s="21">
        <v>21</v>
      </c>
      <c r="J999" s="21">
        <v>29</v>
      </c>
      <c r="K999" s="21">
        <v>7</v>
      </c>
      <c r="L999" s="21">
        <v>91</v>
      </c>
      <c r="M999" s="21">
        <v>43</v>
      </c>
      <c r="N999" s="21">
        <v>47</v>
      </c>
      <c r="O999" s="19">
        <v>110</v>
      </c>
      <c r="P999" s="22">
        <v>0</v>
      </c>
      <c r="Q999" s="22">
        <v>0</v>
      </c>
      <c r="R999" s="20"/>
      <c r="S999" s="234">
        <f>COUNTIFS(INP_DATA!$R$5:$R$3027,S$4,INP_DATA!$D$5:$D$3027,$D999,INP_DATA!$B$5:$B$3027,$B999)</f>
        <v>0</v>
      </c>
      <c r="T999" s="235">
        <f>COUNTIFS(INP_DATA!$R$5:$R$3027,T$4,INP_DATA!$D$5:$D$3027,$D999,INP_DATA!$B$5:$B$3027,$B999)</f>
        <v>0</v>
      </c>
    </row>
    <row r="1000" spans="1:20" x14ac:dyDescent="0.35">
      <c r="A1000" s="3" t="s">
        <v>16</v>
      </c>
      <c r="B1000" s="165">
        <v>45474</v>
      </c>
      <c r="C1000" s="57" t="str">
        <f>IF($B1000="","",YEAR($B1000)&amp;"-"&amp;IFERROR(VLOOKUP(MONTH(B1000),KEY!$AE$5:$AF$16,2,FALSE),""))</f>
        <v>2024-Q3</v>
      </c>
      <c r="D1000" s="3" t="s">
        <v>116</v>
      </c>
      <c r="E1000" s="219">
        <v>15</v>
      </c>
      <c r="F1000" s="166">
        <v>127</v>
      </c>
      <c r="G1000" s="166">
        <v>163</v>
      </c>
      <c r="H1000" s="21">
        <v>186</v>
      </c>
      <c r="I1000" s="21">
        <v>36</v>
      </c>
      <c r="J1000" s="21">
        <v>151</v>
      </c>
      <c r="K1000" s="21">
        <v>21</v>
      </c>
      <c r="L1000" s="21">
        <v>189</v>
      </c>
      <c r="M1000" s="21">
        <v>67</v>
      </c>
      <c r="N1000" s="21">
        <v>136</v>
      </c>
      <c r="O1000" s="19">
        <v>198</v>
      </c>
      <c r="P1000" s="22">
        <v>23</v>
      </c>
      <c r="Q1000" s="22">
        <v>8</v>
      </c>
      <c r="R1000" s="20"/>
      <c r="S1000" s="234">
        <f>COUNTIFS(INP_DATA!$R$5:$R$3027,S$4,INP_DATA!$D$5:$D$3027,$D1000,INP_DATA!$B$5:$B$3027,$B1000)</f>
        <v>0</v>
      </c>
      <c r="T1000" s="235">
        <f>COUNTIFS(INP_DATA!$R$5:$R$3027,T$4,INP_DATA!$D$5:$D$3027,$D1000,INP_DATA!$B$5:$B$3027,$B1000)</f>
        <v>0</v>
      </c>
    </row>
    <row r="1001" spans="1:20" x14ac:dyDescent="0.35">
      <c r="A1001" s="3" t="s">
        <v>106</v>
      </c>
      <c r="B1001" s="165">
        <v>45474</v>
      </c>
      <c r="C1001" s="57" t="str">
        <f>IF($B1001="","",YEAR($B1001)&amp;"-"&amp;IFERROR(VLOOKUP(MONTH(B1001),KEY!$AE$5:$AF$16,2,FALSE),""))</f>
        <v>2024-Q3</v>
      </c>
      <c r="D1001" s="3" t="s">
        <v>118</v>
      </c>
      <c r="E1001" s="219">
        <v>31</v>
      </c>
      <c r="F1001" s="166">
        <v>148</v>
      </c>
      <c r="G1001" s="166">
        <v>238</v>
      </c>
      <c r="H1001" s="21">
        <v>453</v>
      </c>
      <c r="I1001" s="21">
        <v>46</v>
      </c>
      <c r="J1001" s="21">
        <v>136</v>
      </c>
      <c r="K1001" s="21">
        <v>31</v>
      </c>
      <c r="L1001" s="21">
        <v>278</v>
      </c>
      <c r="M1001" s="21">
        <v>80</v>
      </c>
      <c r="N1001" s="21">
        <v>150</v>
      </c>
      <c r="O1001" s="19">
        <v>264</v>
      </c>
      <c r="P1001" s="22">
        <v>52</v>
      </c>
      <c r="Q1001" s="22">
        <v>30</v>
      </c>
      <c r="R1001" s="20"/>
      <c r="S1001" s="234">
        <f>COUNTIFS(INP_DATA!$R$5:$R$3027,S$4,INP_DATA!$D$5:$D$3027,$D1001,INP_DATA!$B$5:$B$3027,$B1001)</f>
        <v>0</v>
      </c>
      <c r="T1001" s="235">
        <f>COUNTIFS(INP_DATA!$R$5:$R$3027,T$4,INP_DATA!$D$5:$D$3027,$D1001,INP_DATA!$B$5:$B$3027,$B1001)</f>
        <v>0</v>
      </c>
    </row>
    <row r="1002" spans="1:20" x14ac:dyDescent="0.35">
      <c r="A1002" s="3" t="s">
        <v>107</v>
      </c>
      <c r="B1002" s="165">
        <v>45474</v>
      </c>
      <c r="C1002" s="57" t="str">
        <f>IF($B1002="","",YEAR($B1002)&amp;"-"&amp;IFERROR(VLOOKUP(MONTH(B1002),KEY!$AE$5:$AF$16,2,FALSE),""))</f>
        <v>2024-Q3</v>
      </c>
      <c r="D1002" s="3" t="s">
        <v>117</v>
      </c>
      <c r="E1002" s="219">
        <v>16</v>
      </c>
      <c r="F1002" s="166">
        <v>74</v>
      </c>
      <c r="G1002" s="166">
        <v>154</v>
      </c>
      <c r="H1002" s="21">
        <v>120</v>
      </c>
      <c r="I1002" s="21">
        <v>19</v>
      </c>
      <c r="J1002" s="21">
        <v>52</v>
      </c>
      <c r="K1002" s="21">
        <v>16</v>
      </c>
      <c r="L1002" s="21">
        <v>180</v>
      </c>
      <c r="M1002" s="21">
        <v>66</v>
      </c>
      <c r="N1002" s="21">
        <v>75</v>
      </c>
      <c r="O1002" s="19">
        <v>176</v>
      </c>
      <c r="P1002" s="22">
        <v>31</v>
      </c>
      <c r="Q1002" s="22">
        <v>21</v>
      </c>
      <c r="R1002" s="20"/>
      <c r="S1002" s="234">
        <f>COUNTIFS(INP_DATA!$R$5:$R$3027,S$4,INP_DATA!$D$5:$D$3027,$D1002,INP_DATA!$B$5:$B$3027,$B1002)</f>
        <v>0</v>
      </c>
      <c r="T1002" s="235">
        <f>COUNTIFS(INP_DATA!$R$5:$R$3027,T$4,INP_DATA!$D$5:$D$3027,$D1002,INP_DATA!$B$5:$B$3027,$B1002)</f>
        <v>0</v>
      </c>
    </row>
    <row r="1003" spans="1:20" x14ac:dyDescent="0.35">
      <c r="A1003" s="3" t="s">
        <v>16</v>
      </c>
      <c r="B1003" s="165">
        <v>45474</v>
      </c>
      <c r="C1003" s="57" t="str">
        <f>IF($B1003="","",YEAR($B1003)&amp;"-"&amp;IFERROR(VLOOKUP(MONTH(B1003),KEY!$AE$5:$AF$16,2,FALSE),""))</f>
        <v>2024-Q3</v>
      </c>
      <c r="D1003" s="3" t="s">
        <v>119</v>
      </c>
      <c r="E1003" s="219">
        <v>6</v>
      </c>
      <c r="F1003" s="166">
        <v>34</v>
      </c>
      <c r="G1003" s="166">
        <v>21</v>
      </c>
      <c r="H1003" s="21">
        <v>22</v>
      </c>
      <c r="I1003" s="21">
        <v>5</v>
      </c>
      <c r="J1003" s="21">
        <v>18</v>
      </c>
      <c r="K1003" s="21">
        <v>4</v>
      </c>
      <c r="L1003" s="21">
        <v>74</v>
      </c>
      <c r="M1003" s="21">
        <v>7</v>
      </c>
      <c r="N1003" s="21">
        <v>17</v>
      </c>
      <c r="O1003" s="19">
        <v>66</v>
      </c>
      <c r="P1003" s="22">
        <v>0</v>
      </c>
      <c r="Q1003" s="22">
        <v>0</v>
      </c>
      <c r="R1003" s="20"/>
      <c r="S1003" s="234">
        <f>COUNTIFS(INP_DATA!$R$5:$R$3027,S$4,INP_DATA!$D$5:$D$3027,$D1003,INP_DATA!$B$5:$B$3027,$B1003)</f>
        <v>0</v>
      </c>
      <c r="T1003" s="235">
        <f>COUNTIFS(INP_DATA!$R$5:$R$3027,T$4,INP_DATA!$D$5:$D$3027,$D1003,INP_DATA!$B$5:$B$3027,$B1003)</f>
        <v>0</v>
      </c>
    </row>
    <row r="1004" spans="1:20" x14ac:dyDescent="0.35">
      <c r="A1004" s="3" t="s">
        <v>16</v>
      </c>
      <c r="B1004" s="165">
        <v>45474</v>
      </c>
      <c r="C1004" s="57" t="str">
        <f>IF($B1004="","",YEAR($B1004)&amp;"-"&amp;IFERROR(VLOOKUP(MONTH(B1004),KEY!$AE$5:$AF$16,2,FALSE),""))</f>
        <v>2024-Q3</v>
      </c>
      <c r="D1004" s="3" t="s">
        <v>120</v>
      </c>
      <c r="E1004" s="219">
        <v>46</v>
      </c>
      <c r="F1004" s="166">
        <v>272</v>
      </c>
      <c r="G1004" s="166">
        <v>344</v>
      </c>
      <c r="H1004" s="21">
        <v>511</v>
      </c>
      <c r="I1004" s="21">
        <v>69</v>
      </c>
      <c r="J1004" s="21">
        <v>254</v>
      </c>
      <c r="K1004" s="21">
        <v>36</v>
      </c>
      <c r="L1004" s="21">
        <v>499</v>
      </c>
      <c r="M1004" s="21">
        <v>172</v>
      </c>
      <c r="N1004" s="21">
        <v>277</v>
      </c>
      <c r="O1004" s="19">
        <v>572</v>
      </c>
      <c r="P1004" s="22">
        <v>73</v>
      </c>
      <c r="Q1004" s="22">
        <v>40</v>
      </c>
      <c r="R1004" s="20"/>
      <c r="S1004" s="234">
        <f>COUNTIFS(INP_DATA!$R$5:$R$3027,S$4,INP_DATA!$D$5:$D$3027,$D1004,INP_DATA!$B$5:$B$3027,$B1004)</f>
        <v>0</v>
      </c>
      <c r="T1004" s="235">
        <f>COUNTIFS(INP_DATA!$R$5:$R$3027,T$4,INP_DATA!$D$5:$D$3027,$D1004,INP_DATA!$B$5:$B$3027,$B1004)</f>
        <v>0</v>
      </c>
    </row>
    <row r="1005" spans="1:20" x14ac:dyDescent="0.35">
      <c r="A1005" s="3" t="s">
        <v>109</v>
      </c>
      <c r="B1005" s="165">
        <v>45474</v>
      </c>
      <c r="C1005" s="57" t="str">
        <f>IF($B1005="","",YEAR($B1005)&amp;"-"&amp;IFERROR(VLOOKUP(MONTH(B1005),KEY!$AE$5:$AF$16,2,FALSE),""))</f>
        <v>2024-Q3</v>
      </c>
      <c r="D1005" s="3" t="s">
        <v>121</v>
      </c>
      <c r="E1005" s="219">
        <v>55</v>
      </c>
      <c r="F1005" s="166">
        <v>230</v>
      </c>
      <c r="G1005" s="166">
        <v>228</v>
      </c>
      <c r="H1005" s="21">
        <v>605</v>
      </c>
      <c r="I1005" s="21">
        <v>72</v>
      </c>
      <c r="J1005" s="21">
        <v>226</v>
      </c>
      <c r="K1005" s="21">
        <v>40</v>
      </c>
      <c r="L1005" s="21">
        <v>487</v>
      </c>
      <c r="M1005" s="21">
        <v>155</v>
      </c>
      <c r="N1005" s="21">
        <v>233</v>
      </c>
      <c r="O1005" s="19">
        <v>484</v>
      </c>
      <c r="P1005" s="22">
        <v>20</v>
      </c>
      <c r="Q1005" s="22">
        <v>15</v>
      </c>
      <c r="R1005" s="20"/>
      <c r="S1005" s="234">
        <f>COUNTIFS(INP_DATA!$R$5:$R$3027,S$4,INP_DATA!$D$5:$D$3027,$D1005,INP_DATA!$B$5:$B$3027,$B1005)</f>
        <v>0</v>
      </c>
      <c r="T1005" s="235">
        <f>COUNTIFS(INP_DATA!$R$5:$R$3027,T$4,INP_DATA!$D$5:$D$3027,$D1005,INP_DATA!$B$5:$B$3027,$B1005)</f>
        <v>0</v>
      </c>
    </row>
    <row r="1006" spans="1:20" x14ac:dyDescent="0.35">
      <c r="A1006" s="3" t="s">
        <v>108</v>
      </c>
      <c r="B1006" s="165">
        <v>45474</v>
      </c>
      <c r="C1006" s="57" t="str">
        <f>IF($B1006="","",YEAR($B1006)&amp;"-"&amp;IFERROR(VLOOKUP(MONTH(B1006),KEY!$AE$5:$AF$16,2,FALSE),""))</f>
        <v>2024-Q3</v>
      </c>
      <c r="D1006" s="3" t="s">
        <v>122</v>
      </c>
      <c r="E1006" s="219">
        <v>6</v>
      </c>
      <c r="F1006" s="166">
        <v>91</v>
      </c>
      <c r="G1006" s="166">
        <v>97</v>
      </c>
      <c r="H1006" s="21">
        <v>219</v>
      </c>
      <c r="I1006" s="21">
        <v>27</v>
      </c>
      <c r="J1006" s="21">
        <v>104</v>
      </c>
      <c r="K1006" s="21">
        <v>12</v>
      </c>
      <c r="L1006" s="21">
        <v>145</v>
      </c>
      <c r="M1006" s="21">
        <v>58</v>
      </c>
      <c r="N1006" s="21">
        <v>92</v>
      </c>
      <c r="O1006" s="19">
        <v>198</v>
      </c>
      <c r="P1006" s="22">
        <v>21</v>
      </c>
      <c r="Q1006" s="22">
        <v>3</v>
      </c>
      <c r="R1006" s="20"/>
      <c r="S1006" s="234">
        <f>COUNTIFS(INP_DATA!$R$5:$R$3027,S$4,INP_DATA!$D$5:$D$3027,$D1006,INP_DATA!$B$5:$B$3027,$B1006)</f>
        <v>0</v>
      </c>
      <c r="T1006" s="235">
        <f>COUNTIFS(INP_DATA!$R$5:$R$3027,T$4,INP_DATA!$D$5:$D$3027,$D1006,INP_DATA!$B$5:$B$3027,$B1006)</f>
        <v>0</v>
      </c>
    </row>
    <row r="1007" spans="1:20" x14ac:dyDescent="0.35">
      <c r="A1007" s="3" t="s">
        <v>107</v>
      </c>
      <c r="B1007" s="165">
        <v>45474</v>
      </c>
      <c r="C1007" s="57" t="str">
        <f>IF($B1007="","",YEAR($B1007)&amp;"-"&amp;IFERROR(VLOOKUP(MONTH(B1007),KEY!$AE$5:$AF$16,2,FALSE),""))</f>
        <v>2024-Q3</v>
      </c>
      <c r="D1007" s="3" t="s">
        <v>123</v>
      </c>
      <c r="E1007" s="219">
        <v>50</v>
      </c>
      <c r="F1007" s="166">
        <v>244</v>
      </c>
      <c r="G1007" s="166">
        <v>194</v>
      </c>
      <c r="H1007" s="21">
        <v>256</v>
      </c>
      <c r="I1007" s="21">
        <v>56</v>
      </c>
      <c r="J1007" s="21">
        <v>154</v>
      </c>
      <c r="K1007" s="21">
        <v>40</v>
      </c>
      <c r="L1007" s="21">
        <v>423</v>
      </c>
      <c r="M1007" s="21">
        <v>188</v>
      </c>
      <c r="N1007" s="21">
        <v>250</v>
      </c>
      <c r="O1007" s="19">
        <v>418</v>
      </c>
      <c r="P1007" s="22">
        <v>50</v>
      </c>
      <c r="Q1007" s="22">
        <v>37</v>
      </c>
      <c r="R1007" s="20"/>
      <c r="S1007" s="234">
        <f>COUNTIFS(INP_DATA!$R$5:$R$3027,S$4,INP_DATA!$D$5:$D$3027,$D1007,INP_DATA!$B$5:$B$3027,$B1007)</f>
        <v>0</v>
      </c>
      <c r="T1007" s="235">
        <f>COUNTIFS(INP_DATA!$R$5:$R$3027,T$4,INP_DATA!$D$5:$D$3027,$D1007,INP_DATA!$B$5:$B$3027,$B1007)</f>
        <v>0</v>
      </c>
    </row>
    <row r="1008" spans="1:20" x14ac:dyDescent="0.35">
      <c r="A1008" s="3" t="s">
        <v>108</v>
      </c>
      <c r="B1008" s="165">
        <v>45474</v>
      </c>
      <c r="C1008" s="57" t="str">
        <f>IF($B1008="","",YEAR($B1008)&amp;"-"&amp;IFERROR(VLOOKUP(MONTH(B1008),KEY!$AE$5:$AF$16,2,FALSE),""))</f>
        <v>2024-Q3</v>
      </c>
      <c r="D1008" s="3" t="s">
        <v>124</v>
      </c>
      <c r="E1008" s="219">
        <v>51</v>
      </c>
      <c r="F1008" s="166">
        <v>238</v>
      </c>
      <c r="G1008" s="166">
        <v>242</v>
      </c>
      <c r="H1008" s="21">
        <v>328</v>
      </c>
      <c r="I1008" s="21">
        <v>53</v>
      </c>
      <c r="J1008" s="21">
        <v>199</v>
      </c>
      <c r="K1008" s="21">
        <v>40</v>
      </c>
      <c r="L1008" s="21">
        <v>378</v>
      </c>
      <c r="M1008" s="21">
        <v>140</v>
      </c>
      <c r="N1008" s="21">
        <v>239</v>
      </c>
      <c r="O1008" s="19">
        <v>484</v>
      </c>
      <c r="P1008" s="22">
        <v>50</v>
      </c>
      <c r="Q1008" s="22">
        <v>34</v>
      </c>
      <c r="R1008" s="20"/>
      <c r="S1008" s="234">
        <f>COUNTIFS(INP_DATA!$R$5:$R$3027,S$4,INP_DATA!$D$5:$D$3027,$D1008,INP_DATA!$B$5:$B$3027,$B1008)</f>
        <v>0</v>
      </c>
      <c r="T1008" s="235">
        <f>COUNTIFS(INP_DATA!$R$5:$R$3027,T$4,INP_DATA!$D$5:$D$3027,$D1008,INP_DATA!$B$5:$B$3027,$B1008)</f>
        <v>0</v>
      </c>
    </row>
    <row r="1009" spans="1:20" x14ac:dyDescent="0.35">
      <c r="A1009" s="3" t="s">
        <v>106</v>
      </c>
      <c r="B1009" s="165">
        <v>45474</v>
      </c>
      <c r="C1009" s="57" t="str">
        <f>IF($B1009="","",YEAR($B1009)&amp;"-"&amp;IFERROR(VLOOKUP(MONTH(B1009),KEY!$AE$5:$AF$16,2,FALSE),""))</f>
        <v>2024-Q3</v>
      </c>
      <c r="D1009" s="3" t="s">
        <v>195</v>
      </c>
      <c r="E1009" s="219">
        <v>10</v>
      </c>
      <c r="F1009" s="166">
        <v>53</v>
      </c>
      <c r="G1009" s="166">
        <v>51</v>
      </c>
      <c r="H1009" s="21">
        <v>73</v>
      </c>
      <c r="I1009" s="21">
        <v>10</v>
      </c>
      <c r="J1009" s="21">
        <v>32</v>
      </c>
      <c r="K1009" s="21">
        <v>8</v>
      </c>
      <c r="L1009" s="21">
        <v>122</v>
      </c>
      <c r="M1009" s="21">
        <v>42</v>
      </c>
      <c r="N1009" s="21">
        <v>53</v>
      </c>
      <c r="O1009" s="19">
        <v>110</v>
      </c>
      <c r="P1009" s="22">
        <v>5</v>
      </c>
      <c r="Q1009" s="22">
        <v>4</v>
      </c>
      <c r="R1009" s="20"/>
      <c r="S1009" s="234">
        <f>COUNTIFS(INP_DATA!$R$5:$R$3027,S$4,INP_DATA!$D$5:$D$3027,$D1009,INP_DATA!$B$5:$B$3027,$B1009)</f>
        <v>0</v>
      </c>
      <c r="T1009" s="235">
        <f>COUNTIFS(INP_DATA!$R$5:$R$3027,T$4,INP_DATA!$D$5:$D$3027,$D1009,INP_DATA!$B$5:$B$3027,$B1009)</f>
        <v>0</v>
      </c>
    </row>
    <row r="1010" spans="1:20" x14ac:dyDescent="0.35">
      <c r="A1010" s="3" t="s">
        <v>106</v>
      </c>
      <c r="B1010" s="165">
        <v>45474</v>
      </c>
      <c r="C1010" s="57" t="str">
        <f>IF($B1010="","",YEAR($B1010)&amp;"-"&amp;IFERROR(VLOOKUP(MONTH(B1010),KEY!$AE$5:$AF$16,2,FALSE),""))</f>
        <v>2024-Q3</v>
      </c>
      <c r="D1010" s="3" t="s">
        <v>125</v>
      </c>
      <c r="E1010" s="219">
        <v>45</v>
      </c>
      <c r="F1010" s="166">
        <v>280</v>
      </c>
      <c r="G1010" s="166">
        <v>301</v>
      </c>
      <c r="H1010" s="21">
        <v>448</v>
      </c>
      <c r="I1010" s="21">
        <v>59</v>
      </c>
      <c r="J1010" s="21">
        <v>176</v>
      </c>
      <c r="K1010" s="21">
        <v>46</v>
      </c>
      <c r="L1010" s="21">
        <v>409</v>
      </c>
      <c r="M1010" s="21">
        <v>85</v>
      </c>
      <c r="N1010" s="21">
        <v>291</v>
      </c>
      <c r="O1010" s="19">
        <v>440</v>
      </c>
      <c r="P1010" s="22">
        <v>41</v>
      </c>
      <c r="Q1010" s="22">
        <v>28</v>
      </c>
      <c r="R1010" s="20"/>
      <c r="S1010" s="234">
        <f>COUNTIFS(INP_DATA!$R$5:$R$3027,S$4,INP_DATA!$D$5:$D$3027,$D1010,INP_DATA!$B$5:$B$3027,$B1010)</f>
        <v>0</v>
      </c>
      <c r="T1010" s="235">
        <f>COUNTIFS(INP_DATA!$R$5:$R$3027,T$4,INP_DATA!$D$5:$D$3027,$D1010,INP_DATA!$B$5:$B$3027,$B1010)</f>
        <v>0</v>
      </c>
    </row>
    <row r="1011" spans="1:20" x14ac:dyDescent="0.35">
      <c r="A1011" s="3" t="s">
        <v>107</v>
      </c>
      <c r="B1011" s="165">
        <v>45474</v>
      </c>
      <c r="C1011" s="57" t="str">
        <f>IF($B1011="","",YEAR($B1011)&amp;"-"&amp;IFERROR(VLOOKUP(MONTH(B1011),KEY!$AE$5:$AF$16,2,FALSE),""))</f>
        <v>2024-Q3</v>
      </c>
      <c r="D1011" s="3" t="s">
        <v>126</v>
      </c>
      <c r="E1011" s="219">
        <v>86</v>
      </c>
      <c r="F1011" s="166">
        <v>450</v>
      </c>
      <c r="G1011" s="166">
        <v>477</v>
      </c>
      <c r="H1011" s="21">
        <v>516</v>
      </c>
      <c r="I1011" s="21">
        <v>85</v>
      </c>
      <c r="J1011" s="21">
        <v>364</v>
      </c>
      <c r="K1011" s="21">
        <v>99</v>
      </c>
      <c r="L1011" s="21">
        <v>664</v>
      </c>
      <c r="M1011" s="21">
        <v>267</v>
      </c>
      <c r="N1011" s="21">
        <v>455</v>
      </c>
      <c r="O1011" s="19">
        <v>638</v>
      </c>
      <c r="P1011" s="22">
        <v>151</v>
      </c>
      <c r="Q1011" s="22">
        <v>92</v>
      </c>
      <c r="R1011" s="20"/>
      <c r="S1011" s="234">
        <f>COUNTIFS(INP_DATA!$R$5:$R$3027,S$4,INP_DATA!$D$5:$D$3027,$D1011,INP_DATA!$B$5:$B$3027,$B1011)</f>
        <v>0</v>
      </c>
      <c r="T1011" s="235">
        <f>COUNTIFS(INP_DATA!$R$5:$R$3027,T$4,INP_DATA!$D$5:$D$3027,$D1011,INP_DATA!$B$5:$B$3027,$B1011)</f>
        <v>0</v>
      </c>
    </row>
    <row r="1012" spans="1:20" x14ac:dyDescent="0.35">
      <c r="A1012" s="3" t="s">
        <v>107</v>
      </c>
      <c r="B1012" s="165">
        <v>45474</v>
      </c>
      <c r="C1012" s="57" t="str">
        <f>IF($B1012="","",YEAR($B1012)&amp;"-"&amp;IFERROR(VLOOKUP(MONTH(B1012),KEY!$AE$5:$AF$16,2,FALSE),""))</f>
        <v>2024-Q3</v>
      </c>
      <c r="D1012" s="3" t="s">
        <v>127</v>
      </c>
      <c r="E1012" s="219">
        <v>10</v>
      </c>
      <c r="F1012" s="166">
        <v>35</v>
      </c>
      <c r="G1012" s="166">
        <v>59</v>
      </c>
      <c r="H1012" s="21">
        <v>66</v>
      </c>
      <c r="I1012" s="21">
        <v>11</v>
      </c>
      <c r="J1012" s="21">
        <v>26</v>
      </c>
      <c r="K1012" s="21">
        <v>5</v>
      </c>
      <c r="L1012" s="21">
        <v>79</v>
      </c>
      <c r="M1012" s="21">
        <v>29</v>
      </c>
      <c r="N1012" s="21">
        <v>35</v>
      </c>
      <c r="O1012" s="19">
        <v>110</v>
      </c>
      <c r="P1012" s="22">
        <v>15</v>
      </c>
      <c r="Q1012" s="22">
        <v>11</v>
      </c>
      <c r="R1012" s="20"/>
      <c r="S1012" s="234">
        <f>COUNTIFS(INP_DATA!$R$5:$R$3027,S$4,INP_DATA!$D$5:$D$3027,$D1012,INP_DATA!$B$5:$B$3027,$B1012)</f>
        <v>0</v>
      </c>
      <c r="T1012" s="235">
        <f>COUNTIFS(INP_DATA!$R$5:$R$3027,T$4,INP_DATA!$D$5:$D$3027,$D1012,INP_DATA!$B$5:$B$3027,$B1012)</f>
        <v>0</v>
      </c>
    </row>
    <row r="1013" spans="1:20" x14ac:dyDescent="0.35">
      <c r="A1013" s="3" t="s">
        <v>109</v>
      </c>
      <c r="B1013" s="165">
        <v>45474</v>
      </c>
      <c r="C1013" s="57" t="str">
        <f>IF($B1013="","",YEAR($B1013)&amp;"-"&amp;IFERROR(VLOOKUP(MONTH(B1013),KEY!$AE$5:$AF$16,2,FALSE),""))</f>
        <v>2024-Q3</v>
      </c>
      <c r="D1013" s="3" t="s">
        <v>198</v>
      </c>
      <c r="E1013" s="219">
        <v>5</v>
      </c>
      <c r="F1013" s="166">
        <v>72</v>
      </c>
      <c r="G1013" s="166">
        <v>52</v>
      </c>
      <c r="H1013" s="21">
        <v>195</v>
      </c>
      <c r="I1013" s="21">
        <v>19</v>
      </c>
      <c r="J1013" s="21">
        <v>60</v>
      </c>
      <c r="K1013" s="21">
        <v>11</v>
      </c>
      <c r="L1013" s="21">
        <v>102</v>
      </c>
      <c r="M1013" s="21">
        <v>30</v>
      </c>
      <c r="N1013" s="21">
        <v>71</v>
      </c>
      <c r="O1013" s="19">
        <v>154</v>
      </c>
      <c r="P1013" s="22">
        <v>0</v>
      </c>
      <c r="Q1013" s="22">
        <v>0</v>
      </c>
      <c r="R1013" s="20"/>
      <c r="S1013" s="234">
        <f>COUNTIFS(INP_DATA!$R$5:$R$3027,S$4,INP_DATA!$D$5:$D$3027,$D1013,INP_DATA!$B$5:$B$3027,$B1013)</f>
        <v>0</v>
      </c>
      <c r="T1013" s="235">
        <f>COUNTIFS(INP_DATA!$R$5:$R$3027,T$4,INP_DATA!$D$5:$D$3027,$D1013,INP_DATA!$B$5:$B$3027,$B1013)</f>
        <v>0</v>
      </c>
    </row>
    <row r="1014" spans="1:20" x14ac:dyDescent="0.35">
      <c r="A1014" s="3" t="s">
        <v>109</v>
      </c>
      <c r="B1014" s="165">
        <v>45474</v>
      </c>
      <c r="C1014" s="57" t="str">
        <f>IF($B1014="","",YEAR($B1014)&amp;"-"&amp;IFERROR(VLOOKUP(MONTH(B1014),KEY!$AE$5:$AF$16,2,FALSE),""))</f>
        <v>2024-Q3</v>
      </c>
      <c r="D1014" s="3" t="s">
        <v>128</v>
      </c>
      <c r="E1014" s="219">
        <v>9</v>
      </c>
      <c r="F1014" s="166">
        <v>260</v>
      </c>
      <c r="G1014" s="166">
        <v>274</v>
      </c>
      <c r="H1014" s="21">
        <v>633</v>
      </c>
      <c r="I1014" s="21">
        <v>81</v>
      </c>
      <c r="J1014" s="21">
        <v>336</v>
      </c>
      <c r="K1014" s="21">
        <v>56</v>
      </c>
      <c r="L1014" s="21">
        <v>490</v>
      </c>
      <c r="M1014" s="21">
        <v>124</v>
      </c>
      <c r="N1014" s="21">
        <v>259</v>
      </c>
      <c r="O1014" s="19">
        <v>308</v>
      </c>
      <c r="P1014" s="22">
        <v>0</v>
      </c>
      <c r="Q1014" s="22">
        <v>0</v>
      </c>
      <c r="R1014" s="20"/>
      <c r="S1014" s="234">
        <f>COUNTIFS(INP_DATA!$R$5:$R$3027,S$4,INP_DATA!$D$5:$D$3027,$D1014,INP_DATA!$B$5:$B$3027,$B1014)</f>
        <v>0</v>
      </c>
      <c r="T1014" s="235">
        <f>COUNTIFS(INP_DATA!$R$5:$R$3027,T$4,INP_DATA!$D$5:$D$3027,$D1014,INP_DATA!$B$5:$B$3027,$B1014)</f>
        <v>0</v>
      </c>
    </row>
    <row r="1015" spans="1:20" x14ac:dyDescent="0.35">
      <c r="A1015" s="3" t="s">
        <v>106</v>
      </c>
      <c r="B1015" s="165">
        <v>45474</v>
      </c>
      <c r="C1015" s="57" t="str">
        <f>IF($B1015="","",YEAR($B1015)&amp;"-"&amp;IFERROR(VLOOKUP(MONTH(B1015),KEY!$AE$5:$AF$16,2,FALSE),""))</f>
        <v>2024-Q3</v>
      </c>
      <c r="D1015" s="3" t="s">
        <v>129</v>
      </c>
      <c r="E1015" s="219">
        <v>21</v>
      </c>
      <c r="F1015" s="166">
        <v>212</v>
      </c>
      <c r="G1015" s="166">
        <v>178</v>
      </c>
      <c r="H1015" s="21">
        <v>316</v>
      </c>
      <c r="I1015" s="21">
        <v>30</v>
      </c>
      <c r="J1015" s="21">
        <v>248</v>
      </c>
      <c r="K1015" s="21">
        <v>28</v>
      </c>
      <c r="L1015" s="21">
        <v>219</v>
      </c>
      <c r="M1015" s="21">
        <v>71</v>
      </c>
      <c r="N1015" s="21">
        <v>213</v>
      </c>
      <c r="O1015" s="19">
        <v>286</v>
      </c>
      <c r="P1015" s="22">
        <v>40</v>
      </c>
      <c r="Q1015" s="22">
        <v>27</v>
      </c>
      <c r="R1015" s="20"/>
      <c r="S1015" s="234">
        <f>COUNTIFS(INP_DATA!$R$5:$R$3027,S$4,INP_DATA!$D$5:$D$3027,$D1015,INP_DATA!$B$5:$B$3027,$B1015)</f>
        <v>0</v>
      </c>
      <c r="T1015" s="235">
        <f>COUNTIFS(INP_DATA!$R$5:$R$3027,T$4,INP_DATA!$D$5:$D$3027,$D1015,INP_DATA!$B$5:$B$3027,$B1015)</f>
        <v>0</v>
      </c>
    </row>
    <row r="1016" spans="1:20" x14ac:dyDescent="0.35">
      <c r="A1016" s="3" t="s">
        <v>108</v>
      </c>
      <c r="B1016" s="165">
        <v>45474</v>
      </c>
      <c r="C1016" s="57" t="str">
        <f>IF($B1016="","",YEAR($B1016)&amp;"-"&amp;IFERROR(VLOOKUP(MONTH(B1016),KEY!$AE$5:$AF$16,2,FALSE),""))</f>
        <v>2024-Q3</v>
      </c>
      <c r="D1016" s="3" t="s">
        <v>130</v>
      </c>
      <c r="E1016" s="219">
        <v>23</v>
      </c>
      <c r="F1016" s="166">
        <v>127</v>
      </c>
      <c r="G1016" s="166">
        <v>216</v>
      </c>
      <c r="H1016" s="21">
        <v>303</v>
      </c>
      <c r="I1016" s="21">
        <v>38</v>
      </c>
      <c r="J1016" s="21">
        <v>143</v>
      </c>
      <c r="K1016" s="21">
        <v>35</v>
      </c>
      <c r="L1016" s="21">
        <v>181</v>
      </c>
      <c r="M1016" s="21">
        <v>74</v>
      </c>
      <c r="N1016" s="21">
        <v>130</v>
      </c>
      <c r="O1016" s="19">
        <v>176</v>
      </c>
      <c r="P1016" s="22">
        <v>30</v>
      </c>
      <c r="Q1016" s="22">
        <v>19</v>
      </c>
      <c r="R1016" s="20"/>
      <c r="S1016" s="234">
        <f>COUNTIFS(INP_DATA!$R$5:$R$3027,S$4,INP_DATA!$D$5:$D$3027,$D1016,INP_DATA!$B$5:$B$3027,$B1016)</f>
        <v>0</v>
      </c>
      <c r="T1016" s="235">
        <f>COUNTIFS(INP_DATA!$R$5:$R$3027,T$4,INP_DATA!$D$5:$D$3027,$D1016,INP_DATA!$B$5:$B$3027,$B1016)</f>
        <v>0</v>
      </c>
    </row>
    <row r="1017" spans="1:20" x14ac:dyDescent="0.35">
      <c r="A1017" s="3" t="s">
        <v>109</v>
      </c>
      <c r="B1017" s="165">
        <v>45474</v>
      </c>
      <c r="C1017" s="57" t="str">
        <f>IF($B1017="","",YEAR($B1017)&amp;"-"&amp;IFERROR(VLOOKUP(MONTH(B1017),KEY!$AE$5:$AF$16,2,FALSE),""))</f>
        <v>2024-Q3</v>
      </c>
      <c r="D1017" s="3" t="s">
        <v>131</v>
      </c>
      <c r="E1017" s="219">
        <v>44</v>
      </c>
      <c r="F1017" s="166">
        <v>168</v>
      </c>
      <c r="G1017" s="166">
        <v>192</v>
      </c>
      <c r="H1017" s="21">
        <v>83</v>
      </c>
      <c r="I1017" s="21">
        <v>12</v>
      </c>
      <c r="J1017" s="21">
        <v>130</v>
      </c>
      <c r="K1017" s="21">
        <v>33</v>
      </c>
      <c r="L1017" s="21">
        <v>332</v>
      </c>
      <c r="M1017" s="21">
        <v>94</v>
      </c>
      <c r="N1017" s="21">
        <v>180</v>
      </c>
      <c r="O1017" s="19">
        <v>308</v>
      </c>
      <c r="P1017" s="22">
        <v>3</v>
      </c>
      <c r="Q1017" s="22">
        <v>3</v>
      </c>
      <c r="R1017" s="20"/>
      <c r="S1017" s="234">
        <f>COUNTIFS(INP_DATA!$R$5:$R$3027,S$4,INP_DATA!$D$5:$D$3027,$D1017,INP_DATA!$B$5:$B$3027,$B1017)</f>
        <v>0</v>
      </c>
      <c r="T1017" s="235">
        <f>COUNTIFS(INP_DATA!$R$5:$R$3027,T$4,INP_DATA!$D$5:$D$3027,$D1017,INP_DATA!$B$5:$B$3027,$B1017)</f>
        <v>0</v>
      </c>
    </row>
    <row r="1018" spans="1:20" x14ac:dyDescent="0.35">
      <c r="A1018" s="3" t="s">
        <v>108</v>
      </c>
      <c r="B1018" s="165">
        <v>45474</v>
      </c>
      <c r="C1018" s="57" t="str">
        <f>IF($B1018="","",YEAR($B1018)&amp;"-"&amp;IFERROR(VLOOKUP(MONTH(B1018),KEY!$AE$5:$AF$16,2,FALSE),""))</f>
        <v>2024-Q3</v>
      </c>
      <c r="D1018" s="3" t="s">
        <v>134</v>
      </c>
      <c r="E1018" s="219">
        <v>8</v>
      </c>
      <c r="F1018" s="166">
        <v>31</v>
      </c>
      <c r="G1018" s="166">
        <v>47</v>
      </c>
      <c r="H1018" s="21">
        <v>42</v>
      </c>
      <c r="I1018" s="21">
        <v>8</v>
      </c>
      <c r="J1018" s="21">
        <v>26</v>
      </c>
      <c r="K1018" s="21">
        <v>6</v>
      </c>
      <c r="L1018" s="21">
        <v>35</v>
      </c>
      <c r="M1018" s="21">
        <v>18</v>
      </c>
      <c r="N1018" s="21">
        <v>33</v>
      </c>
      <c r="O1018" s="19">
        <v>88</v>
      </c>
      <c r="P1018" s="22">
        <v>16</v>
      </c>
      <c r="Q1018" s="22">
        <v>9</v>
      </c>
      <c r="R1018" s="20"/>
      <c r="S1018" s="234">
        <f>COUNTIFS(INP_DATA!$R$5:$R$3027,S$4,INP_DATA!$D$5:$D$3027,$D1018,INP_DATA!$B$5:$B$3027,$B1018)</f>
        <v>0</v>
      </c>
      <c r="T1018" s="235">
        <f>COUNTIFS(INP_DATA!$R$5:$R$3027,T$4,INP_DATA!$D$5:$D$3027,$D1018,INP_DATA!$B$5:$B$3027,$B1018)</f>
        <v>0</v>
      </c>
    </row>
    <row r="1019" spans="1:20" x14ac:dyDescent="0.35">
      <c r="A1019" s="3" t="s">
        <v>108</v>
      </c>
      <c r="B1019" s="165">
        <v>45474</v>
      </c>
      <c r="C1019" s="57" t="str">
        <f>IF($B1019="","",YEAR($B1019)&amp;"-"&amp;IFERROR(VLOOKUP(MONTH(B1019),KEY!$AE$5:$AF$16,2,FALSE),""))</f>
        <v>2024-Q3</v>
      </c>
      <c r="D1019" s="3" t="s">
        <v>135</v>
      </c>
      <c r="E1019" s="219">
        <v>56</v>
      </c>
      <c r="F1019" s="166">
        <v>246</v>
      </c>
      <c r="G1019" s="166">
        <v>209</v>
      </c>
      <c r="H1019" s="21">
        <v>479</v>
      </c>
      <c r="I1019" s="21">
        <v>61</v>
      </c>
      <c r="J1019" s="21">
        <v>206</v>
      </c>
      <c r="K1019" s="21">
        <v>45</v>
      </c>
      <c r="L1019" s="21">
        <v>719</v>
      </c>
      <c r="M1019" s="21">
        <v>132</v>
      </c>
      <c r="N1019" s="21">
        <v>247</v>
      </c>
      <c r="O1019" s="19">
        <v>506</v>
      </c>
      <c r="P1019" s="22">
        <v>31</v>
      </c>
      <c r="Q1019" s="22">
        <v>20</v>
      </c>
      <c r="R1019" s="20"/>
      <c r="S1019" s="234">
        <f>COUNTIFS(INP_DATA!$R$5:$R$3027,S$4,INP_DATA!$D$5:$D$3027,$D1019,INP_DATA!$B$5:$B$3027,$B1019)</f>
        <v>0</v>
      </c>
      <c r="T1019" s="235">
        <f>COUNTIFS(INP_DATA!$R$5:$R$3027,T$4,INP_DATA!$D$5:$D$3027,$D1019,INP_DATA!$B$5:$B$3027,$B1019)</f>
        <v>0</v>
      </c>
    </row>
    <row r="1020" spans="1:20" x14ac:dyDescent="0.35">
      <c r="A1020" s="3" t="s">
        <v>16</v>
      </c>
      <c r="B1020" s="165">
        <v>45474</v>
      </c>
      <c r="C1020" s="57" t="str">
        <f>IF($B1020="","",YEAR($B1020)&amp;"-"&amp;IFERROR(VLOOKUP(MONTH(B1020),KEY!$AE$5:$AF$16,2,FALSE),""))</f>
        <v>2024-Q3</v>
      </c>
      <c r="D1020" s="3" t="s">
        <v>196</v>
      </c>
      <c r="E1020" s="219">
        <v>13</v>
      </c>
      <c r="F1020" s="166">
        <v>47</v>
      </c>
      <c r="G1020" s="166">
        <v>28</v>
      </c>
      <c r="H1020" s="21">
        <v>74</v>
      </c>
      <c r="I1020" s="21">
        <v>13</v>
      </c>
      <c r="J1020" s="21">
        <v>41</v>
      </c>
      <c r="K1020" s="21">
        <v>10</v>
      </c>
      <c r="L1020" s="21">
        <v>115</v>
      </c>
      <c r="M1020" s="21">
        <v>37</v>
      </c>
      <c r="N1020" s="21">
        <v>48</v>
      </c>
      <c r="O1020" s="19">
        <v>110</v>
      </c>
      <c r="P1020" s="22">
        <v>9</v>
      </c>
      <c r="Q1020" s="22">
        <v>8</v>
      </c>
      <c r="R1020" s="20"/>
      <c r="S1020" s="234">
        <f>COUNTIFS(INP_DATA!$R$5:$R$3027,S$4,INP_DATA!$D$5:$D$3027,$D1020,INP_DATA!$B$5:$B$3027,$B1020)</f>
        <v>0</v>
      </c>
      <c r="T1020" s="235">
        <f>COUNTIFS(INP_DATA!$R$5:$R$3027,T$4,INP_DATA!$D$5:$D$3027,$D1020,INP_DATA!$B$5:$B$3027,$B1020)</f>
        <v>0</v>
      </c>
    </row>
    <row r="1021" spans="1:20" x14ac:dyDescent="0.35">
      <c r="A1021" s="3" t="s">
        <v>16</v>
      </c>
      <c r="B1021" s="165">
        <v>45474</v>
      </c>
      <c r="C1021" s="57" t="str">
        <f>IF($B1021="","",YEAR($B1021)&amp;"-"&amp;IFERROR(VLOOKUP(MONTH(B1021),KEY!$AE$5:$AF$16,2,FALSE),""))</f>
        <v>2024-Q3</v>
      </c>
      <c r="D1021" s="3" t="s">
        <v>197</v>
      </c>
      <c r="E1021" s="219">
        <v>20</v>
      </c>
      <c r="F1021" s="166">
        <v>83</v>
      </c>
      <c r="G1021" s="166">
        <v>82</v>
      </c>
      <c r="H1021" s="21">
        <v>96</v>
      </c>
      <c r="I1021" s="21">
        <v>14</v>
      </c>
      <c r="J1021" s="21">
        <v>66</v>
      </c>
      <c r="K1021" s="21">
        <v>17</v>
      </c>
      <c r="L1021" s="21">
        <v>165</v>
      </c>
      <c r="M1021" s="21">
        <v>71</v>
      </c>
      <c r="N1021" s="21">
        <v>89</v>
      </c>
      <c r="O1021" s="19">
        <v>220</v>
      </c>
      <c r="P1021" s="22">
        <v>11</v>
      </c>
      <c r="Q1021" s="22">
        <v>8</v>
      </c>
      <c r="R1021" s="20"/>
      <c r="S1021" s="234">
        <f>COUNTIFS(INP_DATA!$R$5:$R$3027,S$4,INP_DATA!$D$5:$D$3027,$D1021,INP_DATA!$B$5:$B$3027,$B1021)</f>
        <v>0</v>
      </c>
      <c r="T1021" s="235">
        <f>COUNTIFS(INP_DATA!$R$5:$R$3027,T$4,INP_DATA!$D$5:$D$3027,$D1021,INP_DATA!$B$5:$B$3027,$B1021)</f>
        <v>0</v>
      </c>
    </row>
    <row r="1022" spans="1:20" x14ac:dyDescent="0.35">
      <c r="A1022" s="3" t="s">
        <v>109</v>
      </c>
      <c r="B1022" s="165">
        <v>45474</v>
      </c>
      <c r="C1022" s="57" t="str">
        <f>IF($B1022="","",YEAR($B1022)&amp;"-"&amp;IFERROR(VLOOKUP(MONTH(B1022),KEY!$AE$5:$AF$16,2,FALSE),""))</f>
        <v>2024-Q3</v>
      </c>
      <c r="D1022" s="3" t="s">
        <v>136</v>
      </c>
      <c r="E1022" s="219">
        <v>69</v>
      </c>
      <c r="F1022" s="166">
        <v>262</v>
      </c>
      <c r="G1022" s="166">
        <v>250</v>
      </c>
      <c r="H1022" s="21">
        <v>377</v>
      </c>
      <c r="I1022" s="21">
        <v>58</v>
      </c>
      <c r="J1022" s="21">
        <v>216</v>
      </c>
      <c r="K1022" s="21">
        <v>41</v>
      </c>
      <c r="L1022" s="21">
        <v>374</v>
      </c>
      <c r="M1022" s="21">
        <v>147</v>
      </c>
      <c r="N1022" s="21">
        <v>266</v>
      </c>
      <c r="O1022" s="19">
        <v>330</v>
      </c>
      <c r="P1022" s="22">
        <v>43</v>
      </c>
      <c r="Q1022" s="22">
        <v>34</v>
      </c>
      <c r="R1022" s="20"/>
      <c r="S1022" s="234">
        <f>COUNTIFS(INP_DATA!$R$5:$R$3027,S$4,INP_DATA!$D$5:$D$3027,$D1022,INP_DATA!$B$5:$B$3027,$B1022)</f>
        <v>0</v>
      </c>
      <c r="T1022" s="235">
        <f>COUNTIFS(INP_DATA!$R$5:$R$3027,T$4,INP_DATA!$D$5:$D$3027,$D1022,INP_DATA!$B$5:$B$3027,$B1022)</f>
        <v>0</v>
      </c>
    </row>
    <row r="1023" spans="1:20" x14ac:dyDescent="0.35">
      <c r="A1023" s="3" t="s">
        <v>16</v>
      </c>
      <c r="B1023" s="165">
        <v>45474</v>
      </c>
      <c r="C1023" s="57" t="str">
        <f>IF($B1023="","",YEAR($B1023)&amp;"-"&amp;IFERROR(VLOOKUP(MONTH(B1023),KEY!$AE$5:$AF$16,2,FALSE),""))</f>
        <v>2024-Q3</v>
      </c>
      <c r="D1023" s="3" t="s">
        <v>137</v>
      </c>
      <c r="E1023" s="219">
        <v>19</v>
      </c>
      <c r="F1023" s="166">
        <v>89</v>
      </c>
      <c r="G1023" s="166">
        <v>81</v>
      </c>
      <c r="H1023" s="21">
        <v>182</v>
      </c>
      <c r="I1023" s="21">
        <v>26</v>
      </c>
      <c r="J1023" s="21">
        <v>167</v>
      </c>
      <c r="K1023" s="21">
        <v>39</v>
      </c>
      <c r="L1023" s="21">
        <v>134</v>
      </c>
      <c r="M1023" s="21">
        <v>69</v>
      </c>
      <c r="N1023" s="21">
        <v>91</v>
      </c>
      <c r="O1023" s="19">
        <v>176</v>
      </c>
      <c r="P1023" s="22">
        <v>15</v>
      </c>
      <c r="Q1023" s="22">
        <v>6</v>
      </c>
      <c r="R1023" s="20"/>
      <c r="S1023" s="234">
        <f>COUNTIFS(INP_DATA!$R$5:$R$3027,S$4,INP_DATA!$D$5:$D$3027,$D1023,INP_DATA!$B$5:$B$3027,$B1023)</f>
        <v>0</v>
      </c>
      <c r="T1023" s="235">
        <f>COUNTIFS(INP_DATA!$R$5:$R$3027,T$4,INP_DATA!$D$5:$D$3027,$D1023,INP_DATA!$B$5:$B$3027,$B1023)</f>
        <v>0</v>
      </c>
    </row>
    <row r="1024" spans="1:20" x14ac:dyDescent="0.35">
      <c r="A1024" s="3" t="s">
        <v>109</v>
      </c>
      <c r="B1024" s="165">
        <v>45474</v>
      </c>
      <c r="C1024" s="57" t="str">
        <f>IF($B1024="","",YEAR($B1024)&amp;"-"&amp;IFERROR(VLOOKUP(MONTH(B1024),KEY!$AE$5:$AF$16,2,FALSE),""))</f>
        <v>2024-Q3</v>
      </c>
      <c r="D1024" s="3" t="s">
        <v>138</v>
      </c>
      <c r="E1024" s="219">
        <v>34</v>
      </c>
      <c r="F1024" s="166">
        <v>153</v>
      </c>
      <c r="G1024" s="166">
        <v>131</v>
      </c>
      <c r="H1024" s="21">
        <v>150</v>
      </c>
      <c r="I1024" s="21">
        <v>34</v>
      </c>
      <c r="J1024" s="21">
        <v>148</v>
      </c>
      <c r="K1024" s="21">
        <v>45</v>
      </c>
      <c r="L1024" s="21">
        <v>297</v>
      </c>
      <c r="M1024" s="21">
        <v>108</v>
      </c>
      <c r="N1024" s="21">
        <v>157</v>
      </c>
      <c r="O1024" s="19">
        <v>198</v>
      </c>
      <c r="P1024" s="22">
        <v>29</v>
      </c>
      <c r="Q1024" s="22">
        <v>22</v>
      </c>
      <c r="R1024" s="20"/>
      <c r="S1024" s="234">
        <f>COUNTIFS(INP_DATA!$R$5:$R$3027,S$4,INP_DATA!$D$5:$D$3027,$D1024,INP_DATA!$B$5:$B$3027,$B1024)</f>
        <v>0</v>
      </c>
      <c r="T1024" s="235">
        <f>COUNTIFS(INP_DATA!$R$5:$R$3027,T$4,INP_DATA!$D$5:$D$3027,$D1024,INP_DATA!$B$5:$B$3027,$B1024)</f>
        <v>0</v>
      </c>
    </row>
    <row r="1025" spans="1:20" x14ac:dyDescent="0.35">
      <c r="A1025" s="3" t="s">
        <v>108</v>
      </c>
      <c r="B1025" s="165">
        <v>45474</v>
      </c>
      <c r="C1025" s="57" t="str">
        <f>IF($B1025="","",YEAR($B1025)&amp;"-"&amp;IFERROR(VLOOKUP(MONTH(B1025),KEY!$AE$5:$AF$16,2,FALSE),""))</f>
        <v>2024-Q3</v>
      </c>
      <c r="D1025" s="3" t="s">
        <v>139</v>
      </c>
      <c r="E1025" s="219">
        <v>38</v>
      </c>
      <c r="F1025" s="166">
        <v>178</v>
      </c>
      <c r="G1025" s="166">
        <v>161</v>
      </c>
      <c r="H1025" s="21">
        <v>305</v>
      </c>
      <c r="I1025" s="21">
        <v>49</v>
      </c>
      <c r="J1025" s="21">
        <v>100</v>
      </c>
      <c r="K1025" s="21">
        <v>26</v>
      </c>
      <c r="L1025" s="21">
        <v>554</v>
      </c>
      <c r="M1025" s="21">
        <v>131</v>
      </c>
      <c r="N1025" s="21">
        <v>179</v>
      </c>
      <c r="O1025" s="19">
        <v>308</v>
      </c>
      <c r="P1025" s="22">
        <v>81</v>
      </c>
      <c r="Q1025" s="22">
        <v>57</v>
      </c>
      <c r="R1025" s="20"/>
      <c r="S1025" s="234">
        <f>COUNTIFS(INP_DATA!$R$5:$R$3027,S$4,INP_DATA!$D$5:$D$3027,$D1025,INP_DATA!$B$5:$B$3027,$B1025)</f>
        <v>0</v>
      </c>
      <c r="T1025" s="235">
        <f>COUNTIFS(INP_DATA!$R$5:$R$3027,T$4,INP_DATA!$D$5:$D$3027,$D1025,INP_DATA!$B$5:$B$3027,$B1025)</f>
        <v>0</v>
      </c>
    </row>
    <row r="1026" spans="1:20" x14ac:dyDescent="0.35">
      <c r="A1026" s="3" t="s">
        <v>107</v>
      </c>
      <c r="B1026" s="165">
        <v>45474</v>
      </c>
      <c r="C1026" s="57" t="str">
        <f>IF($B1026="","",YEAR($B1026)&amp;"-"&amp;IFERROR(VLOOKUP(MONTH(B1026),KEY!$AE$5:$AF$16,2,FALSE),""))</f>
        <v>2024-Q3</v>
      </c>
      <c r="D1026" s="3" t="s">
        <v>140</v>
      </c>
      <c r="E1026" s="219">
        <v>5</v>
      </c>
      <c r="F1026" s="166">
        <v>31</v>
      </c>
      <c r="G1026" s="166">
        <v>31</v>
      </c>
      <c r="H1026" s="21">
        <v>62</v>
      </c>
      <c r="I1026" s="21">
        <v>9</v>
      </c>
      <c r="J1026" s="21">
        <v>28</v>
      </c>
      <c r="K1026" s="21">
        <v>12</v>
      </c>
      <c r="L1026" s="21">
        <v>61</v>
      </c>
      <c r="M1026" s="21">
        <v>30</v>
      </c>
      <c r="N1026" s="21">
        <v>31</v>
      </c>
      <c r="O1026" s="19">
        <v>66</v>
      </c>
      <c r="P1026" s="22">
        <v>4</v>
      </c>
      <c r="Q1026" s="22">
        <v>2</v>
      </c>
      <c r="R1026" s="20"/>
      <c r="S1026" s="234">
        <f>COUNTIFS(INP_DATA!$R$5:$R$3027,S$4,INP_DATA!$D$5:$D$3027,$D1026,INP_DATA!$B$5:$B$3027,$B1026)</f>
        <v>0</v>
      </c>
      <c r="T1026" s="235">
        <f>COUNTIFS(INP_DATA!$R$5:$R$3027,T$4,INP_DATA!$D$5:$D$3027,$D1026,INP_DATA!$B$5:$B$3027,$B1026)</f>
        <v>0</v>
      </c>
    </row>
    <row r="1027" spans="1:20" x14ac:dyDescent="0.35">
      <c r="A1027" s="3" t="s">
        <v>108</v>
      </c>
      <c r="B1027" s="165">
        <v>45474</v>
      </c>
      <c r="C1027" s="57" t="str">
        <f>IF($B1027="","",YEAR($B1027)&amp;"-"&amp;IFERROR(VLOOKUP(MONTH(B1027),KEY!$AE$5:$AF$16,2,FALSE),""))</f>
        <v>2024-Q3</v>
      </c>
      <c r="D1027" s="3" t="s">
        <v>142</v>
      </c>
      <c r="E1027" s="219">
        <v>24</v>
      </c>
      <c r="F1027" s="166">
        <v>127</v>
      </c>
      <c r="G1027" s="166">
        <v>57</v>
      </c>
      <c r="H1027" s="21">
        <v>251</v>
      </c>
      <c r="I1027" s="21">
        <v>35</v>
      </c>
      <c r="J1027" s="21">
        <v>58</v>
      </c>
      <c r="K1027" s="21">
        <v>16</v>
      </c>
      <c r="L1027" s="21">
        <v>155</v>
      </c>
      <c r="M1027" s="21">
        <v>58</v>
      </c>
      <c r="N1027" s="21">
        <v>127</v>
      </c>
      <c r="O1027" s="19">
        <v>110</v>
      </c>
      <c r="P1027" s="22">
        <v>34</v>
      </c>
      <c r="Q1027" s="22">
        <v>16</v>
      </c>
      <c r="R1027" s="20"/>
      <c r="S1027" s="234">
        <f>COUNTIFS(INP_DATA!$R$5:$R$3027,S$4,INP_DATA!$D$5:$D$3027,$D1027,INP_DATA!$B$5:$B$3027,$B1027)</f>
        <v>0</v>
      </c>
      <c r="T1027" s="235">
        <f>COUNTIFS(INP_DATA!$R$5:$R$3027,T$4,INP_DATA!$D$5:$D$3027,$D1027,INP_DATA!$B$5:$B$3027,$B1027)</f>
        <v>0</v>
      </c>
    </row>
    <row r="1028" spans="1:20" x14ac:dyDescent="0.35">
      <c r="A1028" s="3" t="s">
        <v>16</v>
      </c>
      <c r="B1028" s="165">
        <v>45474</v>
      </c>
      <c r="C1028" s="57" t="str">
        <f>IF($B1028="","",YEAR($B1028)&amp;"-"&amp;IFERROR(VLOOKUP(MONTH(B1028),KEY!$AE$5:$AF$16,2,FALSE),""))</f>
        <v>2024-Q3</v>
      </c>
      <c r="D1028" s="3" t="s">
        <v>143</v>
      </c>
      <c r="E1028" s="219">
        <v>18</v>
      </c>
      <c r="F1028" s="166">
        <v>75</v>
      </c>
      <c r="G1028" s="166">
        <v>93</v>
      </c>
      <c r="H1028" s="21">
        <v>138</v>
      </c>
      <c r="I1028" s="21">
        <v>20</v>
      </c>
      <c r="J1028" s="21">
        <v>49</v>
      </c>
      <c r="K1028" s="21">
        <v>14</v>
      </c>
      <c r="L1028" s="21">
        <v>154</v>
      </c>
      <c r="M1028" s="21">
        <v>50</v>
      </c>
      <c r="N1028" s="21">
        <v>76</v>
      </c>
      <c r="O1028" s="19">
        <v>154</v>
      </c>
      <c r="P1028" s="22">
        <v>7</v>
      </c>
      <c r="Q1028" s="22">
        <v>4</v>
      </c>
      <c r="R1028" s="20"/>
      <c r="S1028" s="234">
        <f>COUNTIFS(INP_DATA!$R$5:$R$3027,S$4,INP_DATA!$D$5:$D$3027,$D1028,INP_DATA!$B$5:$B$3027,$B1028)</f>
        <v>0</v>
      </c>
      <c r="T1028" s="235">
        <f>COUNTIFS(INP_DATA!$R$5:$R$3027,T$4,INP_DATA!$D$5:$D$3027,$D1028,INP_DATA!$B$5:$B$3027,$B1028)</f>
        <v>0</v>
      </c>
    </row>
    <row r="1029" spans="1:20" x14ac:dyDescent="0.35">
      <c r="A1029" s="3" t="s">
        <v>16</v>
      </c>
      <c r="B1029" s="165">
        <v>45474</v>
      </c>
      <c r="C1029" s="57" t="str">
        <f>IF($B1029="","",YEAR($B1029)&amp;"-"&amp;IFERROR(VLOOKUP(MONTH(B1029),KEY!$AE$5:$AF$16,2,FALSE),""))</f>
        <v>2024-Q3</v>
      </c>
      <c r="D1029" s="3" t="s">
        <v>144</v>
      </c>
      <c r="E1029" s="219">
        <v>47</v>
      </c>
      <c r="F1029" s="166">
        <v>196</v>
      </c>
      <c r="G1029" s="166">
        <v>163</v>
      </c>
      <c r="H1029" s="21">
        <v>184</v>
      </c>
      <c r="I1029" s="21">
        <v>45</v>
      </c>
      <c r="J1029" s="21">
        <v>174</v>
      </c>
      <c r="K1029" s="21">
        <v>32</v>
      </c>
      <c r="L1029" s="21">
        <v>384</v>
      </c>
      <c r="M1029" s="21">
        <v>127</v>
      </c>
      <c r="N1029" s="21">
        <v>204</v>
      </c>
      <c r="O1029" s="19">
        <v>396</v>
      </c>
      <c r="P1029" s="22">
        <v>13</v>
      </c>
      <c r="Q1029" s="22">
        <v>11</v>
      </c>
      <c r="R1029" s="20"/>
      <c r="S1029" s="234">
        <f>COUNTIFS(INP_DATA!$R$5:$R$3027,S$4,INP_DATA!$D$5:$D$3027,$D1029,INP_DATA!$B$5:$B$3027,$B1029)</f>
        <v>0</v>
      </c>
      <c r="T1029" s="235">
        <f>COUNTIFS(INP_DATA!$R$5:$R$3027,T$4,INP_DATA!$D$5:$D$3027,$D1029,INP_DATA!$B$5:$B$3027,$B1029)</f>
        <v>0</v>
      </c>
    </row>
    <row r="1030" spans="1:20" x14ac:dyDescent="0.35">
      <c r="A1030" s="3" t="s">
        <v>108</v>
      </c>
      <c r="B1030" s="165">
        <v>45474</v>
      </c>
      <c r="C1030" s="57" t="str">
        <f>IF($B1030="","",YEAR($B1030)&amp;"-"&amp;IFERROR(VLOOKUP(MONTH(B1030),KEY!$AE$5:$AF$16,2,FALSE),""))</f>
        <v>2024-Q3</v>
      </c>
      <c r="D1030" s="3" t="s">
        <v>145</v>
      </c>
      <c r="E1030" s="219">
        <v>51</v>
      </c>
      <c r="F1030" s="166">
        <v>176</v>
      </c>
      <c r="G1030" s="166">
        <v>179</v>
      </c>
      <c r="H1030" s="21">
        <v>300</v>
      </c>
      <c r="I1030" s="21">
        <v>40</v>
      </c>
      <c r="J1030" s="21">
        <v>144</v>
      </c>
      <c r="K1030" s="21">
        <v>33</v>
      </c>
      <c r="L1030" s="21">
        <v>287</v>
      </c>
      <c r="M1030" s="21">
        <v>90</v>
      </c>
      <c r="N1030" s="21">
        <v>177</v>
      </c>
      <c r="O1030" s="19">
        <v>308</v>
      </c>
      <c r="P1030" s="22">
        <v>39</v>
      </c>
      <c r="Q1030" s="22">
        <v>24</v>
      </c>
      <c r="R1030" s="20"/>
      <c r="S1030" s="234">
        <f>COUNTIFS(INP_DATA!$R$5:$R$3027,S$4,INP_DATA!$D$5:$D$3027,$D1030,INP_DATA!$B$5:$B$3027,$B1030)</f>
        <v>0</v>
      </c>
      <c r="T1030" s="235">
        <f>COUNTIFS(INP_DATA!$R$5:$R$3027,T$4,INP_DATA!$D$5:$D$3027,$D1030,INP_DATA!$B$5:$B$3027,$B1030)</f>
        <v>0</v>
      </c>
    </row>
    <row r="1031" spans="1:20" x14ac:dyDescent="0.35">
      <c r="A1031" s="3" t="s">
        <v>16</v>
      </c>
      <c r="B1031" s="165">
        <v>45474</v>
      </c>
      <c r="C1031" s="57" t="str">
        <f>IF($B1031="","",YEAR($B1031)&amp;"-"&amp;IFERROR(VLOOKUP(MONTH(B1031),KEY!$AE$5:$AF$16,2,FALSE),""))</f>
        <v>2024-Q3</v>
      </c>
      <c r="D1031" s="3" t="s">
        <v>146</v>
      </c>
      <c r="E1031" s="219">
        <v>10</v>
      </c>
      <c r="F1031" s="166">
        <v>50</v>
      </c>
      <c r="G1031" s="166">
        <v>51</v>
      </c>
      <c r="H1031" s="21">
        <v>88</v>
      </c>
      <c r="I1031" s="21">
        <v>12</v>
      </c>
      <c r="J1031" s="21">
        <v>39</v>
      </c>
      <c r="K1031" s="21">
        <v>10</v>
      </c>
      <c r="L1031" s="21">
        <v>65</v>
      </c>
      <c r="M1031" s="21">
        <v>35</v>
      </c>
      <c r="N1031" s="21">
        <v>50</v>
      </c>
      <c r="O1031" s="19">
        <v>88</v>
      </c>
      <c r="P1031" s="22">
        <v>4</v>
      </c>
      <c r="Q1031" s="22">
        <v>2</v>
      </c>
      <c r="R1031" s="20"/>
      <c r="S1031" s="234">
        <f>COUNTIFS(INP_DATA!$R$5:$R$3027,S$4,INP_DATA!$D$5:$D$3027,$D1031,INP_DATA!$B$5:$B$3027,$B1031)</f>
        <v>0</v>
      </c>
      <c r="T1031" s="235">
        <f>COUNTIFS(INP_DATA!$R$5:$R$3027,T$4,INP_DATA!$D$5:$D$3027,$D1031,INP_DATA!$B$5:$B$3027,$B1031)</f>
        <v>0</v>
      </c>
    </row>
    <row r="1032" spans="1:20" x14ac:dyDescent="0.35">
      <c r="A1032" s="3" t="s">
        <v>109</v>
      </c>
      <c r="B1032" s="165">
        <v>45474</v>
      </c>
      <c r="C1032" s="57" t="str">
        <f>IF($B1032="","",YEAR($B1032)&amp;"-"&amp;IFERROR(VLOOKUP(MONTH(B1032),KEY!$AE$5:$AF$16,2,FALSE),""))</f>
        <v>2024-Q3</v>
      </c>
      <c r="D1032" s="3" t="s">
        <v>147</v>
      </c>
      <c r="E1032" s="219">
        <v>3</v>
      </c>
      <c r="F1032" s="166">
        <v>36</v>
      </c>
      <c r="G1032" s="166">
        <v>68</v>
      </c>
      <c r="H1032" s="21">
        <v>64</v>
      </c>
      <c r="I1032" s="21">
        <v>12</v>
      </c>
      <c r="J1032" s="21">
        <v>18</v>
      </c>
      <c r="K1032" s="21">
        <v>6</v>
      </c>
      <c r="L1032" s="21">
        <v>55</v>
      </c>
      <c r="M1032" s="21">
        <v>24</v>
      </c>
      <c r="N1032" s="21">
        <v>36</v>
      </c>
      <c r="O1032" s="19">
        <v>88</v>
      </c>
      <c r="P1032" s="22">
        <v>4</v>
      </c>
      <c r="Q1032" s="22">
        <v>2</v>
      </c>
      <c r="R1032" s="20"/>
      <c r="S1032" s="234">
        <f>COUNTIFS(INP_DATA!$R$5:$R$3027,S$4,INP_DATA!$D$5:$D$3027,$D1032,INP_DATA!$B$5:$B$3027,$B1032)</f>
        <v>0</v>
      </c>
      <c r="T1032" s="235">
        <f>COUNTIFS(INP_DATA!$R$5:$R$3027,T$4,INP_DATA!$D$5:$D$3027,$D1032,INP_DATA!$B$5:$B$3027,$B1032)</f>
        <v>0</v>
      </c>
    </row>
    <row r="1033" spans="1:20" x14ac:dyDescent="0.35">
      <c r="A1033" s="3" t="s">
        <v>106</v>
      </c>
      <c r="B1033" s="165">
        <v>45474</v>
      </c>
      <c r="C1033" s="57" t="str">
        <f>IF($B1033="","",YEAR($B1033)&amp;"-"&amp;IFERROR(VLOOKUP(MONTH(B1033),KEY!$AE$5:$AF$16,2,FALSE),""))</f>
        <v>2024-Q3</v>
      </c>
      <c r="D1033" s="3" t="s">
        <v>148</v>
      </c>
      <c r="E1033" s="219">
        <v>10</v>
      </c>
      <c r="F1033" s="166">
        <v>36</v>
      </c>
      <c r="G1033" s="166">
        <v>45</v>
      </c>
      <c r="H1033" s="21">
        <v>85</v>
      </c>
      <c r="I1033" s="21">
        <v>11</v>
      </c>
      <c r="J1033" s="21">
        <v>53</v>
      </c>
      <c r="K1033" s="21">
        <v>10</v>
      </c>
      <c r="L1033" s="21">
        <v>83</v>
      </c>
      <c r="M1033" s="21">
        <v>27</v>
      </c>
      <c r="N1033" s="21">
        <v>37</v>
      </c>
      <c r="O1033" s="19">
        <v>88</v>
      </c>
      <c r="P1033" s="22">
        <v>7</v>
      </c>
      <c r="Q1033" s="22">
        <v>2</v>
      </c>
      <c r="R1033" s="20"/>
      <c r="S1033" s="234">
        <f>COUNTIFS(INP_DATA!$R$5:$R$3027,S$4,INP_DATA!$D$5:$D$3027,$D1033,INP_DATA!$B$5:$B$3027,$B1033)</f>
        <v>0</v>
      </c>
      <c r="T1033" s="235">
        <f>COUNTIFS(INP_DATA!$R$5:$R$3027,T$4,INP_DATA!$D$5:$D$3027,$D1033,INP_DATA!$B$5:$B$3027,$B1033)</f>
        <v>0</v>
      </c>
    </row>
    <row r="1034" spans="1:20" x14ac:dyDescent="0.35">
      <c r="A1034" s="3" t="s">
        <v>107</v>
      </c>
      <c r="B1034" s="165">
        <v>45474</v>
      </c>
      <c r="C1034" s="57" t="str">
        <f>IF($B1034="","",YEAR($B1034)&amp;"-"&amp;IFERROR(VLOOKUP(MONTH(B1034),KEY!$AE$5:$AF$16,2,FALSE),""))</f>
        <v>2024-Q3</v>
      </c>
      <c r="D1034" s="3" t="s">
        <v>149</v>
      </c>
      <c r="E1034" s="219">
        <v>9</v>
      </c>
      <c r="F1034" s="166">
        <v>29</v>
      </c>
      <c r="G1034" s="166">
        <v>32</v>
      </c>
      <c r="H1034" s="21">
        <v>32</v>
      </c>
      <c r="I1034" s="21">
        <v>6</v>
      </c>
      <c r="J1034" s="21">
        <v>22</v>
      </c>
      <c r="K1034" s="21">
        <v>3</v>
      </c>
      <c r="L1034" s="21">
        <v>59</v>
      </c>
      <c r="M1034" s="21">
        <v>24</v>
      </c>
      <c r="N1034" s="21">
        <v>29</v>
      </c>
      <c r="O1034" s="19">
        <v>66</v>
      </c>
      <c r="P1034" s="22">
        <v>4</v>
      </c>
      <c r="Q1034" s="22">
        <v>1</v>
      </c>
      <c r="R1034" s="20"/>
      <c r="S1034" s="234">
        <f>COUNTIFS(INP_DATA!$R$5:$R$3027,S$4,INP_DATA!$D$5:$D$3027,$D1034,INP_DATA!$B$5:$B$3027,$B1034)</f>
        <v>0</v>
      </c>
      <c r="T1034" s="235">
        <f>COUNTIFS(INP_DATA!$R$5:$R$3027,T$4,INP_DATA!$D$5:$D$3027,$D1034,INP_DATA!$B$5:$B$3027,$B1034)</f>
        <v>0</v>
      </c>
    </row>
    <row r="1035" spans="1:20" x14ac:dyDescent="0.35">
      <c r="A1035" s="3" t="s">
        <v>108</v>
      </c>
      <c r="B1035" s="165">
        <v>45474</v>
      </c>
      <c r="C1035" s="57" t="str">
        <f>IF($B1035="","",YEAR($B1035)&amp;"-"&amp;IFERROR(VLOOKUP(MONTH(B1035),KEY!$AE$5:$AF$16,2,FALSE),""))</f>
        <v>2024-Q3</v>
      </c>
      <c r="D1035" s="3" t="s">
        <v>150</v>
      </c>
      <c r="E1035" s="219">
        <v>12</v>
      </c>
      <c r="F1035" s="166">
        <v>42</v>
      </c>
      <c r="G1035" s="166">
        <v>46</v>
      </c>
      <c r="H1035" s="21">
        <v>52</v>
      </c>
      <c r="I1035" s="21">
        <v>9</v>
      </c>
      <c r="J1035" s="21">
        <v>18</v>
      </c>
      <c r="K1035" s="21">
        <v>1</v>
      </c>
      <c r="L1035" s="21">
        <v>61</v>
      </c>
      <c r="M1035" s="21">
        <v>23</v>
      </c>
      <c r="N1035" s="21">
        <v>43</v>
      </c>
      <c r="O1035" s="19">
        <v>88</v>
      </c>
      <c r="P1035" s="22">
        <v>8</v>
      </c>
      <c r="Q1035" s="22">
        <v>6</v>
      </c>
      <c r="R1035" s="20"/>
      <c r="S1035" s="234">
        <f>COUNTIFS(INP_DATA!$R$5:$R$3027,S$4,INP_DATA!$D$5:$D$3027,$D1035,INP_DATA!$B$5:$B$3027,$B1035)</f>
        <v>0</v>
      </c>
      <c r="T1035" s="235">
        <f>COUNTIFS(INP_DATA!$R$5:$R$3027,T$4,INP_DATA!$D$5:$D$3027,$D1035,INP_DATA!$B$5:$B$3027,$B1035)</f>
        <v>0</v>
      </c>
    </row>
    <row r="1036" spans="1:20" x14ac:dyDescent="0.35">
      <c r="A1036" s="3" t="s">
        <v>16</v>
      </c>
      <c r="B1036" s="165">
        <v>45474</v>
      </c>
      <c r="C1036" s="57" t="str">
        <f>IF($B1036="","",YEAR($B1036)&amp;"-"&amp;IFERROR(VLOOKUP(MONTH(B1036),KEY!$AE$5:$AF$16,2,FALSE),""))</f>
        <v>2024-Q3</v>
      </c>
      <c r="D1036" s="3" t="s">
        <v>151</v>
      </c>
      <c r="E1036" s="219">
        <v>8</v>
      </c>
      <c r="F1036" s="166">
        <v>49</v>
      </c>
      <c r="G1036" s="166">
        <v>36</v>
      </c>
      <c r="H1036" s="21">
        <v>80</v>
      </c>
      <c r="I1036" s="21">
        <v>13</v>
      </c>
      <c r="J1036" s="21">
        <v>28</v>
      </c>
      <c r="K1036" s="21">
        <v>11</v>
      </c>
      <c r="L1036" s="21">
        <v>78</v>
      </c>
      <c r="M1036" s="21">
        <v>33</v>
      </c>
      <c r="N1036" s="21">
        <v>47</v>
      </c>
      <c r="O1036" s="19">
        <v>88</v>
      </c>
      <c r="P1036" s="22">
        <v>6</v>
      </c>
      <c r="Q1036" s="22">
        <v>4</v>
      </c>
      <c r="R1036" s="20"/>
      <c r="S1036" s="234">
        <f>COUNTIFS(INP_DATA!$R$5:$R$3027,S$4,INP_DATA!$D$5:$D$3027,$D1036,INP_DATA!$B$5:$B$3027,$B1036)</f>
        <v>0</v>
      </c>
      <c r="T1036" s="235">
        <f>COUNTIFS(INP_DATA!$R$5:$R$3027,T$4,INP_DATA!$D$5:$D$3027,$D1036,INP_DATA!$B$5:$B$3027,$B1036)</f>
        <v>0</v>
      </c>
    </row>
    <row r="1037" spans="1:20" x14ac:dyDescent="0.35">
      <c r="A1037" s="3" t="s">
        <v>106</v>
      </c>
      <c r="B1037" s="165">
        <v>45474</v>
      </c>
      <c r="C1037" s="57" t="str">
        <f>IF($B1037="","",YEAR($B1037)&amp;"-"&amp;IFERROR(VLOOKUP(MONTH(B1037),KEY!$AE$5:$AF$16,2,FALSE),""))</f>
        <v>2024-Q3</v>
      </c>
      <c r="D1037" s="3" t="s">
        <v>152</v>
      </c>
      <c r="E1037" s="219">
        <v>53</v>
      </c>
      <c r="F1037" s="166">
        <v>217</v>
      </c>
      <c r="G1037" s="166">
        <v>208</v>
      </c>
      <c r="H1037" s="21">
        <v>404</v>
      </c>
      <c r="I1037" s="21">
        <v>78</v>
      </c>
      <c r="J1037" s="21">
        <v>161</v>
      </c>
      <c r="K1037" s="21">
        <v>41</v>
      </c>
      <c r="L1037" s="21">
        <v>429</v>
      </c>
      <c r="M1037" s="21">
        <v>170</v>
      </c>
      <c r="N1037" s="21">
        <v>215</v>
      </c>
      <c r="O1037" s="19">
        <v>286</v>
      </c>
      <c r="P1037" s="22">
        <v>80</v>
      </c>
      <c r="Q1037" s="22">
        <v>50</v>
      </c>
      <c r="R1037" s="20"/>
      <c r="S1037" s="234">
        <f>COUNTIFS(INP_DATA!$R$5:$R$3027,S$4,INP_DATA!$D$5:$D$3027,$D1037,INP_DATA!$B$5:$B$3027,$B1037)</f>
        <v>0</v>
      </c>
      <c r="T1037" s="235">
        <f>COUNTIFS(INP_DATA!$R$5:$R$3027,T$4,INP_DATA!$D$5:$D$3027,$D1037,INP_DATA!$B$5:$B$3027,$B1037)</f>
        <v>0</v>
      </c>
    </row>
    <row r="1038" spans="1:20" x14ac:dyDescent="0.35">
      <c r="A1038" s="3" t="s">
        <v>16</v>
      </c>
      <c r="B1038" s="165">
        <v>45474</v>
      </c>
      <c r="C1038" s="57" t="str">
        <f>IF($B1038="","",YEAR($B1038)&amp;"-"&amp;IFERROR(VLOOKUP(MONTH(B1038),KEY!$AE$5:$AF$16,2,FALSE),""))</f>
        <v>2024-Q3</v>
      </c>
      <c r="D1038" s="3" t="s">
        <v>153</v>
      </c>
      <c r="E1038" s="219">
        <v>29</v>
      </c>
      <c r="F1038" s="166">
        <v>79</v>
      </c>
      <c r="G1038" s="166">
        <v>93</v>
      </c>
      <c r="H1038" s="21">
        <v>160</v>
      </c>
      <c r="I1038" s="21">
        <v>19</v>
      </c>
      <c r="J1038" s="21">
        <v>95</v>
      </c>
      <c r="K1038" s="21">
        <v>9</v>
      </c>
      <c r="L1038" s="21">
        <v>322</v>
      </c>
      <c r="M1038" s="21">
        <v>46</v>
      </c>
      <c r="N1038" s="21">
        <v>79</v>
      </c>
      <c r="O1038" s="19">
        <v>286</v>
      </c>
      <c r="P1038" s="22">
        <v>11</v>
      </c>
      <c r="Q1038" s="22">
        <v>9</v>
      </c>
      <c r="R1038" s="20"/>
      <c r="S1038" s="234">
        <f>COUNTIFS(INP_DATA!$R$5:$R$3027,S$4,INP_DATA!$D$5:$D$3027,$D1038,INP_DATA!$B$5:$B$3027,$B1038)</f>
        <v>0</v>
      </c>
      <c r="T1038" s="235">
        <f>COUNTIFS(INP_DATA!$R$5:$R$3027,T$4,INP_DATA!$D$5:$D$3027,$D1038,INP_DATA!$B$5:$B$3027,$B1038)</f>
        <v>0</v>
      </c>
    </row>
    <row r="1039" spans="1:20" x14ac:dyDescent="0.35">
      <c r="A1039" s="3" t="s">
        <v>106</v>
      </c>
      <c r="B1039" s="165">
        <v>45474</v>
      </c>
      <c r="C1039" s="57" t="str">
        <f>IF($B1039="","",YEAR($B1039)&amp;"-"&amp;IFERROR(VLOOKUP(MONTH(B1039),KEY!$AE$5:$AF$16,2,FALSE),""))</f>
        <v>2024-Q3</v>
      </c>
      <c r="D1039" s="3" t="s">
        <v>154</v>
      </c>
      <c r="E1039" s="219">
        <v>16</v>
      </c>
      <c r="F1039" s="166">
        <v>72</v>
      </c>
      <c r="G1039" s="166">
        <v>89</v>
      </c>
      <c r="H1039" s="21">
        <v>304</v>
      </c>
      <c r="I1039" s="21">
        <v>36</v>
      </c>
      <c r="J1039" s="21">
        <v>178</v>
      </c>
      <c r="K1039" s="21">
        <v>21</v>
      </c>
      <c r="L1039" s="21">
        <v>193</v>
      </c>
      <c r="M1039" s="21">
        <v>44</v>
      </c>
      <c r="N1039" s="21">
        <v>74</v>
      </c>
      <c r="O1039" s="19">
        <v>154</v>
      </c>
      <c r="P1039" s="22">
        <v>15</v>
      </c>
      <c r="Q1039" s="22">
        <v>12</v>
      </c>
      <c r="R1039" s="20"/>
      <c r="S1039" s="234">
        <f>COUNTIFS(INP_DATA!$R$5:$R$3027,S$4,INP_DATA!$D$5:$D$3027,$D1039,INP_DATA!$B$5:$B$3027,$B1039)</f>
        <v>0</v>
      </c>
      <c r="T1039" s="235">
        <f>COUNTIFS(INP_DATA!$R$5:$R$3027,T$4,INP_DATA!$D$5:$D$3027,$D1039,INP_DATA!$B$5:$B$3027,$B1039)</f>
        <v>0</v>
      </c>
    </row>
    <row r="1040" spans="1:20" x14ac:dyDescent="0.35">
      <c r="A1040" s="3" t="s">
        <v>109</v>
      </c>
      <c r="B1040" s="165">
        <v>45474</v>
      </c>
      <c r="C1040" s="57" t="str">
        <f>IF($B1040="","",YEAR($B1040)&amp;"-"&amp;IFERROR(VLOOKUP(MONTH(B1040),KEY!$AE$5:$AF$16,2,FALSE),""))</f>
        <v>2024-Q3</v>
      </c>
      <c r="D1040" s="3" t="s">
        <v>155</v>
      </c>
      <c r="E1040" s="219">
        <v>65</v>
      </c>
      <c r="F1040" s="166">
        <v>343</v>
      </c>
      <c r="G1040" s="166">
        <v>332</v>
      </c>
      <c r="H1040" s="21">
        <v>663</v>
      </c>
      <c r="I1040" s="21">
        <v>96</v>
      </c>
      <c r="J1040" s="21">
        <v>316</v>
      </c>
      <c r="K1040" s="21">
        <v>51</v>
      </c>
      <c r="L1040" s="21">
        <v>446</v>
      </c>
      <c r="M1040" s="21">
        <v>168</v>
      </c>
      <c r="N1040" s="21">
        <v>345</v>
      </c>
      <c r="O1040" s="19">
        <v>484</v>
      </c>
      <c r="P1040" s="22">
        <v>27</v>
      </c>
      <c r="Q1040" s="22">
        <v>15</v>
      </c>
      <c r="R1040" s="20"/>
      <c r="S1040" s="234">
        <f>COUNTIFS(INP_DATA!$R$5:$R$3027,S$4,INP_DATA!$D$5:$D$3027,$D1040,INP_DATA!$B$5:$B$3027,$B1040)</f>
        <v>0</v>
      </c>
      <c r="T1040" s="235">
        <f>COUNTIFS(INP_DATA!$R$5:$R$3027,T$4,INP_DATA!$D$5:$D$3027,$D1040,INP_DATA!$B$5:$B$3027,$B1040)</f>
        <v>0</v>
      </c>
    </row>
    <row r="1041" spans="1:20" x14ac:dyDescent="0.35">
      <c r="A1041" s="3" t="s">
        <v>109</v>
      </c>
      <c r="B1041" s="165">
        <v>45474</v>
      </c>
      <c r="C1041" s="57" t="str">
        <f>IF($B1041="","",YEAR($B1041)&amp;"-"&amp;IFERROR(VLOOKUP(MONTH(B1041),KEY!$AE$5:$AF$16,2,FALSE),""))</f>
        <v>2024-Q3</v>
      </c>
      <c r="D1041" s="3" t="s">
        <v>156</v>
      </c>
      <c r="E1041" s="219">
        <v>47</v>
      </c>
      <c r="F1041" s="166">
        <v>245</v>
      </c>
      <c r="G1041" s="166">
        <v>225</v>
      </c>
      <c r="H1041" s="21">
        <v>498</v>
      </c>
      <c r="I1041" s="21">
        <v>79</v>
      </c>
      <c r="J1041" s="21">
        <v>209</v>
      </c>
      <c r="K1041" s="21">
        <v>38</v>
      </c>
      <c r="L1041" s="21">
        <v>365</v>
      </c>
      <c r="M1041" s="21">
        <v>101</v>
      </c>
      <c r="N1041" s="21">
        <v>246</v>
      </c>
      <c r="O1041" s="19">
        <v>396</v>
      </c>
      <c r="P1041" s="22">
        <v>9</v>
      </c>
      <c r="Q1041" s="22">
        <v>4</v>
      </c>
      <c r="R1041" s="20"/>
      <c r="S1041" s="234">
        <f>COUNTIFS(INP_DATA!$R$5:$R$3027,S$4,INP_DATA!$D$5:$D$3027,$D1041,INP_DATA!$B$5:$B$3027,$B1041)</f>
        <v>0</v>
      </c>
      <c r="T1041" s="235">
        <f>COUNTIFS(INP_DATA!$R$5:$R$3027,T$4,INP_DATA!$D$5:$D$3027,$D1041,INP_DATA!$B$5:$B$3027,$B1041)</f>
        <v>0</v>
      </c>
    </row>
    <row r="1042" spans="1:20" x14ac:dyDescent="0.35">
      <c r="A1042" s="3" t="s">
        <v>109</v>
      </c>
      <c r="B1042" s="165">
        <v>45474</v>
      </c>
      <c r="C1042" s="57" t="str">
        <f>IF($B1042="","",YEAR($B1042)&amp;"-"&amp;IFERROR(VLOOKUP(MONTH(B1042),KEY!$AE$5:$AF$16,2,FALSE),""))</f>
        <v>2024-Q3</v>
      </c>
      <c r="D1042" s="3" t="s">
        <v>157</v>
      </c>
      <c r="E1042" s="219">
        <v>9</v>
      </c>
      <c r="F1042" s="166">
        <v>420</v>
      </c>
      <c r="G1042" s="166">
        <v>272</v>
      </c>
      <c r="H1042" s="21">
        <v>1048</v>
      </c>
      <c r="I1042" s="21">
        <v>94</v>
      </c>
      <c r="J1042" s="21">
        <v>532</v>
      </c>
      <c r="K1042" s="21">
        <v>83</v>
      </c>
      <c r="L1042" s="21">
        <v>939</v>
      </c>
      <c r="M1042" s="21">
        <v>207</v>
      </c>
      <c r="N1042" s="21">
        <v>442</v>
      </c>
      <c r="O1042" s="19">
        <v>770</v>
      </c>
      <c r="P1042" s="22">
        <v>18</v>
      </c>
      <c r="Q1042" s="22">
        <v>10</v>
      </c>
      <c r="R1042" s="20"/>
      <c r="S1042" s="234">
        <f>COUNTIFS(INP_DATA!$R$5:$R$3027,S$4,INP_DATA!$D$5:$D$3027,$D1042,INP_DATA!$B$5:$B$3027,$B1042)</f>
        <v>0</v>
      </c>
      <c r="T1042" s="235">
        <f>COUNTIFS(INP_DATA!$R$5:$R$3027,T$4,INP_DATA!$D$5:$D$3027,$D1042,INP_DATA!$B$5:$B$3027,$B1042)</f>
        <v>0</v>
      </c>
    </row>
    <row r="1043" spans="1:20" x14ac:dyDescent="0.35">
      <c r="A1043" s="3" t="s">
        <v>16</v>
      </c>
      <c r="B1043" s="165">
        <v>45474</v>
      </c>
      <c r="C1043" s="57" t="str">
        <f>IF($B1043="","",YEAR($B1043)&amp;"-"&amp;IFERROR(VLOOKUP(MONTH(B1043),KEY!$AE$5:$AF$16,2,FALSE),""))</f>
        <v>2024-Q3</v>
      </c>
      <c r="D1043" s="3" t="s">
        <v>158</v>
      </c>
      <c r="E1043" s="219">
        <v>3</v>
      </c>
      <c r="F1043" s="166">
        <v>24</v>
      </c>
      <c r="G1043" s="166">
        <v>26</v>
      </c>
      <c r="H1043" s="21">
        <v>85</v>
      </c>
      <c r="I1043" s="21">
        <v>4</v>
      </c>
      <c r="J1043" s="21">
        <v>36</v>
      </c>
      <c r="K1043" s="21">
        <v>13</v>
      </c>
      <c r="L1043" s="21">
        <v>59</v>
      </c>
      <c r="M1043" s="21">
        <v>20</v>
      </c>
      <c r="N1043" s="21">
        <v>24</v>
      </c>
      <c r="O1043" s="19">
        <v>132</v>
      </c>
      <c r="P1043" s="22">
        <v>4</v>
      </c>
      <c r="Q1043" s="22">
        <v>0</v>
      </c>
      <c r="R1043" s="20"/>
      <c r="S1043" s="234">
        <f>COUNTIFS(INP_DATA!$R$5:$R$3027,S$4,INP_DATA!$D$5:$D$3027,$D1043,INP_DATA!$B$5:$B$3027,$B1043)</f>
        <v>0</v>
      </c>
      <c r="T1043" s="235">
        <f>COUNTIFS(INP_DATA!$R$5:$R$3027,T$4,INP_DATA!$D$5:$D$3027,$D1043,INP_DATA!$B$5:$B$3027,$B1043)</f>
        <v>0</v>
      </c>
    </row>
    <row r="1044" spans="1:20" x14ac:dyDescent="0.35">
      <c r="A1044" s="3" t="s">
        <v>107</v>
      </c>
      <c r="B1044" s="165">
        <v>45474</v>
      </c>
      <c r="C1044" s="57" t="str">
        <f>IF($B1044="","",YEAR($B1044)&amp;"-"&amp;IFERROR(VLOOKUP(MONTH(B1044),KEY!$AE$5:$AF$16,2,FALSE),""))</f>
        <v>2024-Q3</v>
      </c>
      <c r="D1044" s="3" t="s">
        <v>159</v>
      </c>
      <c r="E1044" s="219">
        <v>25</v>
      </c>
      <c r="F1044" s="166">
        <v>125</v>
      </c>
      <c r="G1044" s="166">
        <v>102</v>
      </c>
      <c r="H1044" s="21">
        <v>178</v>
      </c>
      <c r="I1044" s="21">
        <v>38</v>
      </c>
      <c r="J1044" s="21">
        <v>73</v>
      </c>
      <c r="K1044" s="21">
        <v>25</v>
      </c>
      <c r="L1044" s="21">
        <v>210</v>
      </c>
      <c r="M1044" s="21">
        <v>99</v>
      </c>
      <c r="N1044" s="21">
        <v>125</v>
      </c>
      <c r="O1044" s="19">
        <v>220</v>
      </c>
      <c r="P1044" s="22">
        <v>18</v>
      </c>
      <c r="Q1044" s="22">
        <v>14</v>
      </c>
      <c r="R1044" s="20"/>
      <c r="S1044" s="234">
        <f>COUNTIFS(INP_DATA!$R$5:$R$3027,S$4,INP_DATA!$D$5:$D$3027,$D1044,INP_DATA!$B$5:$B$3027,$B1044)</f>
        <v>0</v>
      </c>
      <c r="T1044" s="235">
        <f>COUNTIFS(INP_DATA!$R$5:$R$3027,T$4,INP_DATA!$D$5:$D$3027,$D1044,INP_DATA!$B$5:$B$3027,$B1044)</f>
        <v>0</v>
      </c>
    </row>
    <row r="1045" spans="1:20" x14ac:dyDescent="0.35">
      <c r="A1045" s="3" t="s">
        <v>16</v>
      </c>
      <c r="B1045" s="165">
        <v>45474</v>
      </c>
      <c r="C1045" s="57" t="str">
        <f>IF($B1045="","",YEAR($B1045)&amp;"-"&amp;IFERROR(VLOOKUP(MONTH(B1045),KEY!$AE$5:$AF$16,2,FALSE),""))</f>
        <v>2024-Q3</v>
      </c>
      <c r="D1045" s="3" t="s">
        <v>160</v>
      </c>
      <c r="E1045" s="219">
        <v>68</v>
      </c>
      <c r="F1045" s="166">
        <v>354</v>
      </c>
      <c r="G1045" s="166">
        <v>400</v>
      </c>
      <c r="H1045" s="21">
        <v>703</v>
      </c>
      <c r="I1045" s="21">
        <v>126</v>
      </c>
      <c r="J1045" s="21">
        <v>241</v>
      </c>
      <c r="K1045" s="21">
        <v>41</v>
      </c>
      <c r="L1045" s="21">
        <v>512</v>
      </c>
      <c r="M1045" s="21">
        <v>227</v>
      </c>
      <c r="N1045" s="21">
        <v>358</v>
      </c>
      <c r="O1045" s="19">
        <v>528</v>
      </c>
      <c r="P1045" s="22">
        <v>45</v>
      </c>
      <c r="Q1045" s="22">
        <v>34</v>
      </c>
      <c r="R1045" s="20"/>
      <c r="S1045" s="234">
        <f>COUNTIFS(INP_DATA!$R$5:$R$3027,S$4,INP_DATA!$D$5:$D$3027,$D1045,INP_DATA!$B$5:$B$3027,$B1045)</f>
        <v>0</v>
      </c>
      <c r="T1045" s="235">
        <f>COUNTIFS(INP_DATA!$R$5:$R$3027,T$4,INP_DATA!$D$5:$D$3027,$D1045,INP_DATA!$B$5:$B$3027,$B1045)</f>
        <v>0</v>
      </c>
    </row>
    <row r="1046" spans="1:20" x14ac:dyDescent="0.35">
      <c r="A1046" s="3" t="s">
        <v>106</v>
      </c>
      <c r="B1046" s="165">
        <v>45474</v>
      </c>
      <c r="C1046" s="57" t="str">
        <f>IF($B1046="","",YEAR($B1046)&amp;"-"&amp;IFERROR(VLOOKUP(MONTH(B1046),KEY!$AE$5:$AF$16,2,FALSE),""))</f>
        <v>2024-Q3</v>
      </c>
      <c r="D1046" s="3" t="s">
        <v>161</v>
      </c>
      <c r="E1046" s="219">
        <v>40</v>
      </c>
      <c r="F1046" s="166">
        <v>256</v>
      </c>
      <c r="G1046" s="166">
        <v>335</v>
      </c>
      <c r="H1046" s="21">
        <v>591</v>
      </c>
      <c r="I1046" s="21">
        <v>73</v>
      </c>
      <c r="J1046" s="21">
        <v>177</v>
      </c>
      <c r="K1046" s="21">
        <v>42</v>
      </c>
      <c r="L1046" s="21">
        <v>330</v>
      </c>
      <c r="M1046" s="21">
        <v>100</v>
      </c>
      <c r="N1046" s="21">
        <v>262</v>
      </c>
      <c r="O1046" s="19">
        <v>484</v>
      </c>
      <c r="P1046" s="22">
        <v>8</v>
      </c>
      <c r="Q1046" s="22">
        <v>8</v>
      </c>
      <c r="R1046" s="20"/>
      <c r="S1046" s="234">
        <f>COUNTIFS(INP_DATA!$R$5:$R$3027,S$4,INP_DATA!$D$5:$D$3027,$D1046,INP_DATA!$B$5:$B$3027,$B1046)</f>
        <v>0</v>
      </c>
      <c r="T1046" s="235">
        <f>COUNTIFS(INP_DATA!$R$5:$R$3027,T$4,INP_DATA!$D$5:$D$3027,$D1046,INP_DATA!$B$5:$B$3027,$B1046)</f>
        <v>0</v>
      </c>
    </row>
    <row r="1047" spans="1:20" x14ac:dyDescent="0.35">
      <c r="A1047" s="3" t="s">
        <v>109</v>
      </c>
      <c r="B1047" s="165">
        <v>45474</v>
      </c>
      <c r="C1047" s="57" t="str">
        <f>IF($B1047="","",YEAR($B1047)&amp;"-"&amp;IFERROR(VLOOKUP(MONTH(B1047),KEY!$AE$5:$AF$16,2,FALSE),""))</f>
        <v>2024-Q3</v>
      </c>
      <c r="D1047" s="3" t="s">
        <v>162</v>
      </c>
      <c r="E1047" s="219">
        <v>131</v>
      </c>
      <c r="F1047" s="166">
        <v>437</v>
      </c>
      <c r="G1047" s="166">
        <v>515</v>
      </c>
      <c r="H1047" s="21">
        <v>358</v>
      </c>
      <c r="I1047" s="21">
        <v>88</v>
      </c>
      <c r="J1047" s="21">
        <v>260</v>
      </c>
      <c r="K1047" s="21">
        <v>75</v>
      </c>
      <c r="L1047" s="21">
        <v>918</v>
      </c>
      <c r="M1047" s="21">
        <v>260</v>
      </c>
      <c r="N1047" s="21">
        <v>440</v>
      </c>
      <c r="O1047" s="19">
        <v>770</v>
      </c>
      <c r="P1047" s="22">
        <v>71</v>
      </c>
      <c r="Q1047" s="22">
        <v>51</v>
      </c>
      <c r="R1047" s="20"/>
      <c r="S1047" s="234">
        <f>COUNTIFS(INP_DATA!$R$5:$R$3027,S$4,INP_DATA!$D$5:$D$3027,$D1047,INP_DATA!$B$5:$B$3027,$B1047)</f>
        <v>0</v>
      </c>
      <c r="T1047" s="235">
        <f>COUNTIFS(INP_DATA!$R$5:$R$3027,T$4,INP_DATA!$D$5:$D$3027,$D1047,INP_DATA!$B$5:$B$3027,$B1047)</f>
        <v>0</v>
      </c>
    </row>
    <row r="1048" spans="1:20" x14ac:dyDescent="0.35">
      <c r="A1048" s="3" t="s">
        <v>16</v>
      </c>
      <c r="B1048" s="165">
        <v>45474</v>
      </c>
      <c r="C1048" s="57" t="str">
        <f>IF($B1048="","",YEAR($B1048)&amp;"-"&amp;IFERROR(VLOOKUP(MONTH(B1048),KEY!$AE$5:$AF$16,2,FALSE),""))</f>
        <v>2024-Q3</v>
      </c>
      <c r="D1048" s="3" t="s">
        <v>163</v>
      </c>
      <c r="E1048" s="219">
        <v>63</v>
      </c>
      <c r="F1048" s="166">
        <v>237</v>
      </c>
      <c r="G1048" s="166">
        <v>245</v>
      </c>
      <c r="H1048" s="21">
        <v>392</v>
      </c>
      <c r="I1048" s="21">
        <v>51</v>
      </c>
      <c r="J1048" s="21">
        <v>244</v>
      </c>
      <c r="K1048" s="21">
        <v>37</v>
      </c>
      <c r="L1048" s="21">
        <v>347</v>
      </c>
      <c r="M1048" s="21">
        <v>132</v>
      </c>
      <c r="N1048" s="21">
        <v>242</v>
      </c>
      <c r="O1048" s="19">
        <v>418</v>
      </c>
      <c r="P1048" s="22">
        <v>12</v>
      </c>
      <c r="Q1048" s="22">
        <v>4</v>
      </c>
      <c r="R1048" s="20"/>
      <c r="S1048" s="234">
        <f>COUNTIFS(INP_DATA!$R$5:$R$3027,S$4,INP_DATA!$D$5:$D$3027,$D1048,INP_DATA!$B$5:$B$3027,$B1048)</f>
        <v>0</v>
      </c>
      <c r="T1048" s="235">
        <f>COUNTIFS(INP_DATA!$R$5:$R$3027,T$4,INP_DATA!$D$5:$D$3027,$D1048,INP_DATA!$B$5:$B$3027,$B1048)</f>
        <v>0</v>
      </c>
    </row>
    <row r="1049" spans="1:20" x14ac:dyDescent="0.35">
      <c r="A1049" s="3" t="s">
        <v>16</v>
      </c>
      <c r="B1049" s="165">
        <v>45474</v>
      </c>
      <c r="C1049" s="57" t="str">
        <f>IF($B1049="","",YEAR($B1049)&amp;"-"&amp;IFERROR(VLOOKUP(MONTH(B1049),KEY!$AE$5:$AF$16,2,FALSE),""))</f>
        <v>2024-Q3</v>
      </c>
      <c r="D1049" s="3" t="s">
        <v>164</v>
      </c>
      <c r="E1049" s="219">
        <v>20</v>
      </c>
      <c r="F1049" s="166">
        <v>76</v>
      </c>
      <c r="G1049" s="166">
        <v>73</v>
      </c>
      <c r="H1049" s="21">
        <v>142</v>
      </c>
      <c r="I1049" s="21">
        <v>24</v>
      </c>
      <c r="J1049" s="21">
        <v>19</v>
      </c>
      <c r="K1049" s="21">
        <v>5</v>
      </c>
      <c r="L1049" s="21">
        <v>104</v>
      </c>
      <c r="M1049" s="21">
        <v>54</v>
      </c>
      <c r="N1049" s="21">
        <v>78</v>
      </c>
      <c r="O1049" s="19">
        <v>176</v>
      </c>
      <c r="P1049" s="22">
        <v>21</v>
      </c>
      <c r="Q1049" s="22">
        <v>12</v>
      </c>
      <c r="R1049" s="20"/>
      <c r="S1049" s="234">
        <f>COUNTIFS(INP_DATA!$R$5:$R$3027,S$4,INP_DATA!$D$5:$D$3027,$D1049,INP_DATA!$B$5:$B$3027,$B1049)</f>
        <v>0</v>
      </c>
      <c r="T1049" s="235">
        <f>COUNTIFS(INP_DATA!$R$5:$R$3027,T$4,INP_DATA!$D$5:$D$3027,$D1049,INP_DATA!$B$5:$B$3027,$B1049)</f>
        <v>0</v>
      </c>
    </row>
    <row r="1050" spans="1:20" x14ac:dyDescent="0.35">
      <c r="A1050" s="3" t="s">
        <v>107</v>
      </c>
      <c r="B1050" s="165">
        <v>45474</v>
      </c>
      <c r="C1050" s="57" t="str">
        <f>IF($B1050="","",YEAR($B1050)&amp;"-"&amp;IFERROR(VLOOKUP(MONTH(B1050),KEY!$AE$5:$AF$16,2,FALSE),""))</f>
        <v>2024-Q3</v>
      </c>
      <c r="D1050" s="3" t="s">
        <v>165</v>
      </c>
      <c r="E1050" s="219">
        <v>12</v>
      </c>
      <c r="F1050" s="166">
        <v>64</v>
      </c>
      <c r="G1050" s="166">
        <v>91</v>
      </c>
      <c r="H1050" s="21">
        <v>222</v>
      </c>
      <c r="I1050" s="21">
        <v>18</v>
      </c>
      <c r="J1050" s="21">
        <v>50</v>
      </c>
      <c r="K1050" s="21">
        <v>12</v>
      </c>
      <c r="L1050" s="21">
        <v>83</v>
      </c>
      <c r="M1050" s="21">
        <v>40</v>
      </c>
      <c r="N1050" s="21">
        <v>65</v>
      </c>
      <c r="O1050" s="19">
        <v>176</v>
      </c>
      <c r="P1050" s="22">
        <v>53</v>
      </c>
      <c r="Q1050" s="22">
        <v>30</v>
      </c>
      <c r="R1050" s="20"/>
      <c r="S1050" s="234">
        <f>COUNTIFS(INP_DATA!$R$5:$R$3027,S$4,INP_DATA!$D$5:$D$3027,$D1050,INP_DATA!$B$5:$B$3027,$B1050)</f>
        <v>0</v>
      </c>
      <c r="T1050" s="235">
        <f>COUNTIFS(INP_DATA!$R$5:$R$3027,T$4,INP_DATA!$D$5:$D$3027,$D1050,INP_DATA!$B$5:$B$3027,$B1050)</f>
        <v>0</v>
      </c>
    </row>
    <row r="1051" spans="1:20" x14ac:dyDescent="0.35">
      <c r="A1051" s="3" t="s">
        <v>16</v>
      </c>
      <c r="B1051" s="165">
        <v>45505</v>
      </c>
      <c r="C1051" s="57" t="str">
        <f>IF($B1051="","",YEAR($B1051)&amp;"-"&amp;IFERROR(VLOOKUP(MONTH(B1051),KEY!$AE$5:$AF$16,2,FALSE),""))</f>
        <v>2024-Q3</v>
      </c>
      <c r="D1051" s="3" t="s">
        <v>111</v>
      </c>
      <c r="E1051" s="219">
        <v>12</v>
      </c>
      <c r="F1051" s="166">
        <v>78</v>
      </c>
      <c r="G1051" s="166">
        <v>85</v>
      </c>
      <c r="H1051" s="21">
        <v>144</v>
      </c>
      <c r="I1051" s="21">
        <v>27</v>
      </c>
      <c r="J1051" s="21">
        <v>61</v>
      </c>
      <c r="K1051" s="21">
        <v>13</v>
      </c>
      <c r="L1051" s="21">
        <v>149</v>
      </c>
      <c r="M1051" s="21">
        <v>60</v>
      </c>
      <c r="N1051" s="21">
        <v>80</v>
      </c>
      <c r="O1051" s="19">
        <v>154</v>
      </c>
      <c r="P1051" s="22">
        <v>16</v>
      </c>
      <c r="Q1051" s="22">
        <v>11</v>
      </c>
      <c r="R1051" s="20"/>
      <c r="S1051" s="234">
        <f>COUNTIFS(INP_DATA!$R$5:$R$3027,S$4,INP_DATA!$D$5:$D$3027,$D1051,INP_DATA!$B$5:$B$3027,$B1051)</f>
        <v>0</v>
      </c>
      <c r="T1051" s="235">
        <f>COUNTIFS(INP_DATA!$R$5:$R$3027,T$4,INP_DATA!$D$5:$D$3027,$D1051,INP_DATA!$B$5:$B$3027,$B1051)</f>
        <v>0</v>
      </c>
    </row>
    <row r="1052" spans="1:20" x14ac:dyDescent="0.35">
      <c r="A1052" s="3" t="s">
        <v>108</v>
      </c>
      <c r="B1052" s="165">
        <v>45505</v>
      </c>
      <c r="C1052" s="57" t="str">
        <f>IF($B1052="","",YEAR($B1052)&amp;"-"&amp;IFERROR(VLOOKUP(MONTH(B1052),KEY!$AE$5:$AF$16,2,FALSE),""))</f>
        <v>2024-Q3</v>
      </c>
      <c r="D1052" s="3" t="s">
        <v>112</v>
      </c>
      <c r="E1052" s="219">
        <v>10</v>
      </c>
      <c r="F1052" s="166">
        <v>27</v>
      </c>
      <c r="G1052" s="166">
        <v>36</v>
      </c>
      <c r="H1052" s="21">
        <v>71</v>
      </c>
      <c r="I1052" s="21">
        <v>9</v>
      </c>
      <c r="J1052" s="21">
        <v>22</v>
      </c>
      <c r="K1052" s="21">
        <v>4</v>
      </c>
      <c r="L1052" s="21">
        <v>57</v>
      </c>
      <c r="M1052" s="21">
        <v>18</v>
      </c>
      <c r="N1052" s="21">
        <v>26</v>
      </c>
      <c r="O1052" s="19">
        <v>88</v>
      </c>
      <c r="P1052" s="22">
        <v>13</v>
      </c>
      <c r="Q1052" s="22">
        <v>4</v>
      </c>
      <c r="R1052" s="20"/>
      <c r="S1052" s="234">
        <f>COUNTIFS(INP_DATA!$R$5:$R$3027,S$4,INP_DATA!$D$5:$D$3027,$D1052,INP_DATA!$B$5:$B$3027,$B1052)</f>
        <v>0</v>
      </c>
      <c r="T1052" s="235">
        <f>COUNTIFS(INP_DATA!$R$5:$R$3027,T$4,INP_DATA!$D$5:$D$3027,$D1052,INP_DATA!$B$5:$B$3027,$B1052)</f>
        <v>0</v>
      </c>
    </row>
    <row r="1053" spans="1:20" x14ac:dyDescent="0.35">
      <c r="A1053" s="3" t="s">
        <v>16</v>
      </c>
      <c r="B1053" s="165">
        <v>45505</v>
      </c>
      <c r="C1053" s="57" t="str">
        <f>IF($B1053="","",YEAR($B1053)&amp;"-"&amp;IFERROR(VLOOKUP(MONTH(B1053),KEY!$AE$5:$AF$16,2,FALSE),""))</f>
        <v>2024-Q3</v>
      </c>
      <c r="D1053" s="3" t="s">
        <v>113</v>
      </c>
      <c r="E1053" s="219">
        <v>8</v>
      </c>
      <c r="F1053" s="166">
        <v>66</v>
      </c>
      <c r="G1053" s="166">
        <v>82</v>
      </c>
      <c r="H1053" s="21">
        <v>140</v>
      </c>
      <c r="I1053" s="21">
        <v>28</v>
      </c>
      <c r="J1053" s="21">
        <v>55</v>
      </c>
      <c r="K1053" s="21">
        <v>17</v>
      </c>
      <c r="L1053" s="21">
        <v>134</v>
      </c>
      <c r="M1053" s="21">
        <v>50</v>
      </c>
      <c r="N1053" s="21">
        <v>67</v>
      </c>
      <c r="O1053" s="19">
        <v>154</v>
      </c>
      <c r="P1053" s="22">
        <v>5</v>
      </c>
      <c r="Q1053" s="22">
        <v>3</v>
      </c>
      <c r="R1053" s="20"/>
      <c r="S1053" s="234">
        <f>COUNTIFS(INP_DATA!$R$5:$R$3027,S$4,INP_DATA!$D$5:$D$3027,$D1053,INP_DATA!$B$5:$B$3027,$B1053)</f>
        <v>0</v>
      </c>
      <c r="T1053" s="235">
        <f>COUNTIFS(INP_DATA!$R$5:$R$3027,T$4,INP_DATA!$D$5:$D$3027,$D1053,INP_DATA!$B$5:$B$3027,$B1053)</f>
        <v>0</v>
      </c>
    </row>
    <row r="1054" spans="1:20" x14ac:dyDescent="0.35">
      <c r="A1054" s="3" t="s">
        <v>108</v>
      </c>
      <c r="B1054" s="165">
        <v>45505</v>
      </c>
      <c r="C1054" s="57" t="str">
        <f>IF($B1054="","",YEAR($B1054)&amp;"-"&amp;IFERROR(VLOOKUP(MONTH(B1054),KEY!$AE$5:$AF$16,2,FALSE),""))</f>
        <v>2024-Q3</v>
      </c>
      <c r="D1054" s="3" t="s">
        <v>114</v>
      </c>
      <c r="E1054" s="219">
        <v>13</v>
      </c>
      <c r="F1054" s="166">
        <v>55</v>
      </c>
      <c r="G1054" s="166">
        <v>52</v>
      </c>
      <c r="H1054" s="21">
        <v>85</v>
      </c>
      <c r="I1054" s="21">
        <v>13</v>
      </c>
      <c r="J1054" s="21">
        <v>44</v>
      </c>
      <c r="K1054" s="21">
        <v>9</v>
      </c>
      <c r="L1054" s="21">
        <v>76</v>
      </c>
      <c r="M1054" s="21">
        <v>27</v>
      </c>
      <c r="N1054" s="21">
        <v>55</v>
      </c>
      <c r="O1054" s="19">
        <v>110</v>
      </c>
      <c r="P1054" s="22">
        <v>11</v>
      </c>
      <c r="Q1054" s="22">
        <v>8</v>
      </c>
      <c r="R1054" s="20"/>
      <c r="S1054" s="234">
        <f>COUNTIFS(INP_DATA!$R$5:$R$3027,S$4,INP_DATA!$D$5:$D$3027,$D1054,INP_DATA!$B$5:$B$3027,$B1054)</f>
        <v>0</v>
      </c>
      <c r="T1054" s="235">
        <f>COUNTIFS(INP_DATA!$R$5:$R$3027,T$4,INP_DATA!$D$5:$D$3027,$D1054,INP_DATA!$B$5:$B$3027,$B1054)</f>
        <v>0</v>
      </c>
    </row>
    <row r="1055" spans="1:20" x14ac:dyDescent="0.35">
      <c r="A1055" s="3" t="s">
        <v>107</v>
      </c>
      <c r="B1055" s="165">
        <v>45505</v>
      </c>
      <c r="C1055" s="57" t="str">
        <f>IF($B1055="","",YEAR($B1055)&amp;"-"&amp;IFERROR(VLOOKUP(MONTH(B1055),KEY!$AE$5:$AF$16,2,FALSE),""))</f>
        <v>2024-Q3</v>
      </c>
      <c r="D1055" s="3" t="s">
        <v>115</v>
      </c>
      <c r="E1055" s="219">
        <v>6</v>
      </c>
      <c r="F1055" s="166">
        <v>56</v>
      </c>
      <c r="G1055" s="166">
        <v>53</v>
      </c>
      <c r="H1055" s="21">
        <v>84</v>
      </c>
      <c r="I1055" s="21">
        <v>20</v>
      </c>
      <c r="J1055" s="21">
        <v>31</v>
      </c>
      <c r="K1055" s="21">
        <v>10</v>
      </c>
      <c r="L1055" s="21">
        <v>99</v>
      </c>
      <c r="M1055" s="21">
        <v>48</v>
      </c>
      <c r="N1055" s="21">
        <v>60</v>
      </c>
      <c r="O1055" s="19">
        <v>110</v>
      </c>
      <c r="P1055" s="22">
        <v>1</v>
      </c>
      <c r="Q1055" s="22">
        <v>1</v>
      </c>
      <c r="R1055" s="20"/>
      <c r="S1055" s="234">
        <f>COUNTIFS(INP_DATA!$R$5:$R$3027,S$4,INP_DATA!$D$5:$D$3027,$D1055,INP_DATA!$B$5:$B$3027,$B1055)</f>
        <v>0</v>
      </c>
      <c r="T1055" s="235">
        <f>COUNTIFS(INP_DATA!$R$5:$R$3027,T$4,INP_DATA!$D$5:$D$3027,$D1055,INP_DATA!$B$5:$B$3027,$B1055)</f>
        <v>0</v>
      </c>
    </row>
    <row r="1056" spans="1:20" x14ac:dyDescent="0.35">
      <c r="A1056" s="3" t="s">
        <v>16</v>
      </c>
      <c r="B1056" s="165">
        <v>45505</v>
      </c>
      <c r="C1056" s="57" t="str">
        <f>IF($B1056="","",YEAR($B1056)&amp;"-"&amp;IFERROR(VLOOKUP(MONTH(B1056),KEY!$AE$5:$AF$16,2,FALSE),""))</f>
        <v>2024-Q3</v>
      </c>
      <c r="D1056" s="3" t="s">
        <v>116</v>
      </c>
      <c r="E1056" s="219">
        <v>19</v>
      </c>
      <c r="F1056" s="166">
        <v>138</v>
      </c>
      <c r="G1056" s="166">
        <v>156</v>
      </c>
      <c r="H1056" s="21">
        <v>271</v>
      </c>
      <c r="I1056" s="21">
        <v>38</v>
      </c>
      <c r="J1056" s="21">
        <v>122</v>
      </c>
      <c r="K1056" s="21">
        <v>22</v>
      </c>
      <c r="L1056" s="21">
        <v>188</v>
      </c>
      <c r="M1056" s="21">
        <v>75</v>
      </c>
      <c r="N1056" s="21">
        <v>150</v>
      </c>
      <c r="O1056" s="19">
        <v>198</v>
      </c>
      <c r="P1056" s="22">
        <v>17</v>
      </c>
      <c r="Q1056" s="22">
        <v>7</v>
      </c>
      <c r="R1056" s="20"/>
      <c r="S1056" s="234">
        <f>COUNTIFS(INP_DATA!$R$5:$R$3027,S$4,INP_DATA!$D$5:$D$3027,$D1056,INP_DATA!$B$5:$B$3027,$B1056)</f>
        <v>0</v>
      </c>
      <c r="T1056" s="235">
        <f>COUNTIFS(INP_DATA!$R$5:$R$3027,T$4,INP_DATA!$D$5:$D$3027,$D1056,INP_DATA!$B$5:$B$3027,$B1056)</f>
        <v>0</v>
      </c>
    </row>
    <row r="1057" spans="1:20" x14ac:dyDescent="0.35">
      <c r="A1057" s="3" t="s">
        <v>106</v>
      </c>
      <c r="B1057" s="165">
        <v>45505</v>
      </c>
      <c r="C1057" s="57" t="str">
        <f>IF($B1057="","",YEAR($B1057)&amp;"-"&amp;IFERROR(VLOOKUP(MONTH(B1057),KEY!$AE$5:$AF$16,2,FALSE),""))</f>
        <v>2024-Q3</v>
      </c>
      <c r="D1057" s="3" t="s">
        <v>118</v>
      </c>
      <c r="E1057" s="219">
        <v>30</v>
      </c>
      <c r="F1057" s="166">
        <v>175</v>
      </c>
      <c r="G1057" s="166">
        <v>228</v>
      </c>
      <c r="H1057" s="21">
        <v>527</v>
      </c>
      <c r="I1057" s="21">
        <v>59</v>
      </c>
      <c r="J1057" s="21">
        <v>174</v>
      </c>
      <c r="K1057" s="21">
        <v>36</v>
      </c>
      <c r="L1057" s="21">
        <v>343</v>
      </c>
      <c r="M1057" s="21">
        <v>108</v>
      </c>
      <c r="N1057" s="21">
        <v>184</v>
      </c>
      <c r="O1057" s="19">
        <v>286</v>
      </c>
      <c r="P1057" s="22">
        <v>31</v>
      </c>
      <c r="Q1057" s="22">
        <v>20</v>
      </c>
      <c r="R1057" s="20"/>
      <c r="S1057" s="234">
        <f>COUNTIFS(INP_DATA!$R$5:$R$3027,S$4,INP_DATA!$D$5:$D$3027,$D1057,INP_DATA!$B$5:$B$3027,$B1057)</f>
        <v>0</v>
      </c>
      <c r="T1057" s="235">
        <f>COUNTIFS(INP_DATA!$R$5:$R$3027,T$4,INP_DATA!$D$5:$D$3027,$D1057,INP_DATA!$B$5:$B$3027,$B1057)</f>
        <v>0</v>
      </c>
    </row>
    <row r="1058" spans="1:20" x14ac:dyDescent="0.35">
      <c r="A1058" s="3" t="s">
        <v>107</v>
      </c>
      <c r="B1058" s="165">
        <v>45505</v>
      </c>
      <c r="C1058" s="57" t="str">
        <f>IF($B1058="","",YEAR($B1058)&amp;"-"&amp;IFERROR(VLOOKUP(MONTH(B1058),KEY!$AE$5:$AF$16,2,FALSE),""))</f>
        <v>2024-Q3</v>
      </c>
      <c r="D1058" s="3" t="s">
        <v>117</v>
      </c>
      <c r="E1058" s="219">
        <v>16</v>
      </c>
      <c r="F1058" s="166">
        <v>81</v>
      </c>
      <c r="G1058" s="166">
        <v>133</v>
      </c>
      <c r="H1058" s="21">
        <v>154</v>
      </c>
      <c r="I1058" s="21">
        <v>23</v>
      </c>
      <c r="J1058" s="21">
        <v>81</v>
      </c>
      <c r="K1058" s="21">
        <v>16</v>
      </c>
      <c r="L1058" s="21">
        <v>191</v>
      </c>
      <c r="M1058" s="21">
        <v>61</v>
      </c>
      <c r="N1058" s="21">
        <v>80</v>
      </c>
      <c r="O1058" s="19">
        <v>176</v>
      </c>
      <c r="P1058" s="22">
        <v>31</v>
      </c>
      <c r="Q1058" s="22">
        <v>23</v>
      </c>
      <c r="R1058" s="20"/>
      <c r="S1058" s="234">
        <f>COUNTIFS(INP_DATA!$R$5:$R$3027,S$4,INP_DATA!$D$5:$D$3027,$D1058,INP_DATA!$B$5:$B$3027,$B1058)</f>
        <v>0</v>
      </c>
      <c r="T1058" s="235">
        <f>COUNTIFS(INP_DATA!$R$5:$R$3027,T$4,INP_DATA!$D$5:$D$3027,$D1058,INP_DATA!$B$5:$B$3027,$B1058)</f>
        <v>0</v>
      </c>
    </row>
    <row r="1059" spans="1:20" x14ac:dyDescent="0.35">
      <c r="A1059" s="3" t="s">
        <v>16</v>
      </c>
      <c r="B1059" s="165">
        <v>45505</v>
      </c>
      <c r="C1059" s="57" t="str">
        <f>IF($B1059="","",YEAR($B1059)&amp;"-"&amp;IFERROR(VLOOKUP(MONTH(B1059),KEY!$AE$5:$AF$16,2,FALSE),""))</f>
        <v>2024-Q3</v>
      </c>
      <c r="D1059" s="3" t="s">
        <v>119</v>
      </c>
      <c r="E1059" s="219">
        <v>2</v>
      </c>
      <c r="F1059" s="166">
        <v>26</v>
      </c>
      <c r="G1059" s="166">
        <v>20</v>
      </c>
      <c r="H1059" s="21">
        <v>62</v>
      </c>
      <c r="I1059" s="21">
        <v>6</v>
      </c>
      <c r="J1059" s="21">
        <v>69</v>
      </c>
      <c r="K1059" s="21">
        <v>9</v>
      </c>
      <c r="L1059" s="21">
        <v>91</v>
      </c>
      <c r="M1059" s="21">
        <v>17</v>
      </c>
      <c r="N1059" s="21">
        <v>28</v>
      </c>
      <c r="O1059" s="19">
        <v>88</v>
      </c>
      <c r="P1059" s="22">
        <v>1</v>
      </c>
      <c r="Q1059" s="22">
        <v>0</v>
      </c>
      <c r="R1059" s="20"/>
      <c r="S1059" s="234">
        <f>COUNTIFS(INP_DATA!$R$5:$R$3027,S$4,INP_DATA!$D$5:$D$3027,$D1059,INP_DATA!$B$5:$B$3027,$B1059)</f>
        <v>0</v>
      </c>
      <c r="T1059" s="235">
        <f>COUNTIFS(INP_DATA!$R$5:$R$3027,T$4,INP_DATA!$D$5:$D$3027,$D1059,INP_DATA!$B$5:$B$3027,$B1059)</f>
        <v>0</v>
      </c>
    </row>
    <row r="1060" spans="1:20" x14ac:dyDescent="0.35">
      <c r="A1060" s="3" t="s">
        <v>16</v>
      </c>
      <c r="B1060" s="165">
        <v>45505</v>
      </c>
      <c r="C1060" s="57" t="str">
        <f>IF($B1060="","",YEAR($B1060)&amp;"-"&amp;IFERROR(VLOOKUP(MONTH(B1060),KEY!$AE$5:$AF$16,2,FALSE),""))</f>
        <v>2024-Q3</v>
      </c>
      <c r="D1060" s="3" t="s">
        <v>120</v>
      </c>
      <c r="E1060" s="219">
        <v>63</v>
      </c>
      <c r="F1060" s="166">
        <v>317</v>
      </c>
      <c r="G1060" s="166">
        <v>322</v>
      </c>
      <c r="H1060" s="21">
        <v>727</v>
      </c>
      <c r="I1060" s="21">
        <v>93</v>
      </c>
      <c r="J1060" s="21">
        <v>285</v>
      </c>
      <c r="K1060" s="21">
        <v>34</v>
      </c>
      <c r="L1060" s="21">
        <v>547</v>
      </c>
      <c r="M1060" s="21">
        <v>185</v>
      </c>
      <c r="N1060" s="21">
        <v>325</v>
      </c>
      <c r="O1060" s="19">
        <v>550</v>
      </c>
      <c r="P1060" s="22">
        <v>79</v>
      </c>
      <c r="Q1060" s="22">
        <v>48</v>
      </c>
      <c r="R1060" s="20"/>
      <c r="S1060" s="234">
        <f>COUNTIFS(INP_DATA!$R$5:$R$3027,S$4,INP_DATA!$D$5:$D$3027,$D1060,INP_DATA!$B$5:$B$3027,$B1060)</f>
        <v>0</v>
      </c>
      <c r="T1060" s="235">
        <f>COUNTIFS(INP_DATA!$R$5:$R$3027,T$4,INP_DATA!$D$5:$D$3027,$D1060,INP_DATA!$B$5:$B$3027,$B1060)</f>
        <v>0</v>
      </c>
    </row>
    <row r="1061" spans="1:20" x14ac:dyDescent="0.35">
      <c r="A1061" s="3" t="s">
        <v>109</v>
      </c>
      <c r="B1061" s="165">
        <v>45505</v>
      </c>
      <c r="C1061" s="57" t="str">
        <f>IF($B1061="","",YEAR($B1061)&amp;"-"&amp;IFERROR(VLOOKUP(MONTH(B1061),KEY!$AE$5:$AF$16,2,FALSE),""))</f>
        <v>2024-Q3</v>
      </c>
      <c r="D1061" s="3" t="s">
        <v>121</v>
      </c>
      <c r="E1061" s="219">
        <v>39</v>
      </c>
      <c r="F1061" s="166">
        <v>196</v>
      </c>
      <c r="G1061" s="166">
        <v>249</v>
      </c>
      <c r="H1061" s="21">
        <v>1125</v>
      </c>
      <c r="I1061" s="21">
        <v>71</v>
      </c>
      <c r="J1061" s="21">
        <v>249</v>
      </c>
      <c r="K1061" s="21">
        <v>28</v>
      </c>
      <c r="L1061" s="21">
        <v>548</v>
      </c>
      <c r="M1061" s="21">
        <v>134</v>
      </c>
      <c r="N1061" s="21">
        <v>199</v>
      </c>
      <c r="O1061" s="19">
        <v>484</v>
      </c>
      <c r="P1061" s="22">
        <v>34</v>
      </c>
      <c r="Q1061" s="22">
        <v>27</v>
      </c>
      <c r="R1061" s="20"/>
      <c r="S1061" s="234">
        <f>COUNTIFS(INP_DATA!$R$5:$R$3027,S$4,INP_DATA!$D$5:$D$3027,$D1061,INP_DATA!$B$5:$B$3027,$B1061)</f>
        <v>0</v>
      </c>
      <c r="T1061" s="235">
        <f>COUNTIFS(INP_DATA!$R$5:$R$3027,T$4,INP_DATA!$D$5:$D$3027,$D1061,INP_DATA!$B$5:$B$3027,$B1061)</f>
        <v>0</v>
      </c>
    </row>
    <row r="1062" spans="1:20" x14ac:dyDescent="0.35">
      <c r="A1062" s="3" t="s">
        <v>108</v>
      </c>
      <c r="B1062" s="165">
        <v>45505</v>
      </c>
      <c r="C1062" s="57" t="str">
        <f>IF($B1062="","",YEAR($B1062)&amp;"-"&amp;IFERROR(VLOOKUP(MONTH(B1062),KEY!$AE$5:$AF$16,2,FALSE),""))</f>
        <v>2024-Q3</v>
      </c>
      <c r="D1062" s="3" t="s">
        <v>122</v>
      </c>
      <c r="E1062" s="219">
        <v>6</v>
      </c>
      <c r="F1062" s="166">
        <v>61</v>
      </c>
      <c r="G1062" s="166">
        <v>98</v>
      </c>
      <c r="H1062" s="21">
        <v>241</v>
      </c>
      <c r="I1062" s="21">
        <v>19</v>
      </c>
      <c r="J1062" s="21">
        <v>60</v>
      </c>
      <c r="K1062" s="21">
        <v>9</v>
      </c>
      <c r="L1062" s="21">
        <v>135</v>
      </c>
      <c r="M1062" s="21">
        <v>45</v>
      </c>
      <c r="N1062" s="21">
        <v>61</v>
      </c>
      <c r="O1062" s="19">
        <v>176</v>
      </c>
      <c r="P1062" s="22">
        <v>13</v>
      </c>
      <c r="Q1062" s="22">
        <v>1</v>
      </c>
      <c r="R1062" s="20"/>
      <c r="S1062" s="234">
        <f>COUNTIFS(INP_DATA!$R$5:$R$3027,S$4,INP_DATA!$D$5:$D$3027,$D1062,INP_DATA!$B$5:$B$3027,$B1062)</f>
        <v>0</v>
      </c>
      <c r="T1062" s="235">
        <f>COUNTIFS(INP_DATA!$R$5:$R$3027,T$4,INP_DATA!$D$5:$D$3027,$D1062,INP_DATA!$B$5:$B$3027,$B1062)</f>
        <v>0</v>
      </c>
    </row>
    <row r="1063" spans="1:20" x14ac:dyDescent="0.35">
      <c r="A1063" s="3" t="s">
        <v>107</v>
      </c>
      <c r="B1063" s="165">
        <v>45505</v>
      </c>
      <c r="C1063" s="57" t="str">
        <f>IF($B1063="","",YEAR($B1063)&amp;"-"&amp;IFERROR(VLOOKUP(MONTH(B1063),KEY!$AE$5:$AF$16,2,FALSE),""))</f>
        <v>2024-Q3</v>
      </c>
      <c r="D1063" s="3" t="s">
        <v>123</v>
      </c>
      <c r="E1063" s="219">
        <v>50</v>
      </c>
      <c r="F1063" s="166">
        <v>207</v>
      </c>
      <c r="G1063" s="166">
        <v>197</v>
      </c>
      <c r="H1063" s="21">
        <v>259</v>
      </c>
      <c r="I1063" s="21">
        <v>51</v>
      </c>
      <c r="J1063" s="21">
        <v>129</v>
      </c>
      <c r="K1063" s="21">
        <v>38</v>
      </c>
      <c r="L1063" s="21">
        <v>374</v>
      </c>
      <c r="M1063" s="21">
        <v>154</v>
      </c>
      <c r="N1063" s="21">
        <v>209</v>
      </c>
      <c r="O1063" s="19">
        <v>418</v>
      </c>
      <c r="P1063" s="22">
        <v>32</v>
      </c>
      <c r="Q1063" s="22">
        <v>16</v>
      </c>
      <c r="R1063" s="20"/>
      <c r="S1063" s="234">
        <f>COUNTIFS(INP_DATA!$R$5:$R$3027,S$4,INP_DATA!$D$5:$D$3027,$D1063,INP_DATA!$B$5:$B$3027,$B1063)</f>
        <v>0</v>
      </c>
      <c r="T1063" s="235">
        <f>COUNTIFS(INP_DATA!$R$5:$R$3027,T$4,INP_DATA!$D$5:$D$3027,$D1063,INP_DATA!$B$5:$B$3027,$B1063)</f>
        <v>0</v>
      </c>
    </row>
    <row r="1064" spans="1:20" x14ac:dyDescent="0.35">
      <c r="A1064" s="3" t="s">
        <v>108</v>
      </c>
      <c r="B1064" s="165">
        <v>45505</v>
      </c>
      <c r="C1064" s="57" t="str">
        <f>IF($B1064="","",YEAR($B1064)&amp;"-"&amp;IFERROR(VLOOKUP(MONTH(B1064),KEY!$AE$5:$AF$16,2,FALSE),""))</f>
        <v>2024-Q3</v>
      </c>
      <c r="D1064" s="3" t="s">
        <v>124</v>
      </c>
      <c r="E1064" s="219">
        <v>62</v>
      </c>
      <c r="F1064" s="166">
        <v>202</v>
      </c>
      <c r="G1064" s="166">
        <v>249</v>
      </c>
      <c r="H1064" s="21">
        <v>362</v>
      </c>
      <c r="I1064" s="21">
        <v>55</v>
      </c>
      <c r="J1064" s="21">
        <v>201</v>
      </c>
      <c r="K1064" s="21">
        <v>34</v>
      </c>
      <c r="L1064" s="21">
        <v>398</v>
      </c>
      <c r="M1064" s="21">
        <v>133</v>
      </c>
      <c r="N1064" s="21">
        <v>200</v>
      </c>
      <c r="O1064" s="19">
        <v>484</v>
      </c>
      <c r="P1064" s="22">
        <v>88</v>
      </c>
      <c r="Q1064" s="22">
        <v>64</v>
      </c>
      <c r="R1064" s="20"/>
      <c r="S1064" s="234">
        <f>COUNTIFS(INP_DATA!$R$5:$R$3027,S$4,INP_DATA!$D$5:$D$3027,$D1064,INP_DATA!$B$5:$B$3027,$B1064)</f>
        <v>0</v>
      </c>
      <c r="T1064" s="235">
        <f>COUNTIFS(INP_DATA!$R$5:$R$3027,T$4,INP_DATA!$D$5:$D$3027,$D1064,INP_DATA!$B$5:$B$3027,$B1064)</f>
        <v>0</v>
      </c>
    </row>
    <row r="1065" spans="1:20" x14ac:dyDescent="0.35">
      <c r="A1065" s="3" t="s">
        <v>106</v>
      </c>
      <c r="B1065" s="165">
        <v>45505</v>
      </c>
      <c r="C1065" s="57" t="str">
        <f>IF($B1065="","",YEAR($B1065)&amp;"-"&amp;IFERROR(VLOOKUP(MONTH(B1065),KEY!$AE$5:$AF$16,2,FALSE),""))</f>
        <v>2024-Q3</v>
      </c>
      <c r="D1065" s="3" t="s">
        <v>195</v>
      </c>
      <c r="E1065" s="219">
        <v>6</v>
      </c>
      <c r="F1065" s="166">
        <v>49</v>
      </c>
      <c r="G1065" s="166">
        <v>44</v>
      </c>
      <c r="H1065" s="21">
        <v>79</v>
      </c>
      <c r="I1065" s="21">
        <v>19</v>
      </c>
      <c r="J1065" s="21">
        <v>25</v>
      </c>
      <c r="K1065" s="21">
        <v>8</v>
      </c>
      <c r="L1065" s="21">
        <v>125</v>
      </c>
      <c r="M1065" s="21">
        <v>41</v>
      </c>
      <c r="N1065" s="21">
        <v>49</v>
      </c>
      <c r="O1065" s="19">
        <v>132</v>
      </c>
      <c r="P1065" s="22">
        <v>9</v>
      </c>
      <c r="Q1065" s="22">
        <v>7</v>
      </c>
      <c r="R1065" s="20"/>
      <c r="S1065" s="234">
        <f>COUNTIFS(INP_DATA!$R$5:$R$3027,S$4,INP_DATA!$D$5:$D$3027,$D1065,INP_DATA!$B$5:$B$3027,$B1065)</f>
        <v>0</v>
      </c>
      <c r="T1065" s="235">
        <f>COUNTIFS(INP_DATA!$R$5:$R$3027,T$4,INP_DATA!$D$5:$D$3027,$D1065,INP_DATA!$B$5:$B$3027,$B1065)</f>
        <v>0</v>
      </c>
    </row>
    <row r="1066" spans="1:20" x14ac:dyDescent="0.35">
      <c r="A1066" s="3" t="s">
        <v>106</v>
      </c>
      <c r="B1066" s="165">
        <v>45505</v>
      </c>
      <c r="C1066" s="57" t="str">
        <f>IF($B1066="","",YEAR($B1066)&amp;"-"&amp;IFERROR(VLOOKUP(MONTH(B1066),KEY!$AE$5:$AF$16,2,FALSE),""))</f>
        <v>2024-Q3</v>
      </c>
      <c r="D1066" s="3" t="s">
        <v>125</v>
      </c>
      <c r="E1066" s="219">
        <v>41</v>
      </c>
      <c r="F1066" s="166">
        <v>265</v>
      </c>
      <c r="G1066" s="166">
        <v>251</v>
      </c>
      <c r="H1066" s="21">
        <v>497</v>
      </c>
      <c r="I1066" s="21">
        <v>69</v>
      </c>
      <c r="J1066" s="21">
        <v>205</v>
      </c>
      <c r="K1066" s="21">
        <v>47</v>
      </c>
      <c r="L1066" s="21">
        <v>507</v>
      </c>
      <c r="M1066" s="21">
        <v>83</v>
      </c>
      <c r="N1066" s="21">
        <v>280</v>
      </c>
      <c r="O1066" s="19">
        <v>440</v>
      </c>
      <c r="P1066" s="22">
        <v>26</v>
      </c>
      <c r="Q1066" s="22">
        <v>17</v>
      </c>
      <c r="R1066" s="20"/>
      <c r="S1066" s="234">
        <f>COUNTIFS(INP_DATA!$R$5:$R$3027,S$4,INP_DATA!$D$5:$D$3027,$D1066,INP_DATA!$B$5:$B$3027,$B1066)</f>
        <v>0</v>
      </c>
      <c r="T1066" s="235">
        <f>COUNTIFS(INP_DATA!$R$5:$R$3027,T$4,INP_DATA!$D$5:$D$3027,$D1066,INP_DATA!$B$5:$B$3027,$B1066)</f>
        <v>0</v>
      </c>
    </row>
    <row r="1067" spans="1:20" x14ac:dyDescent="0.35">
      <c r="A1067" s="3" t="s">
        <v>107</v>
      </c>
      <c r="B1067" s="165">
        <v>45505</v>
      </c>
      <c r="C1067" s="57" t="str">
        <f>IF($B1067="","",YEAR($B1067)&amp;"-"&amp;IFERROR(VLOOKUP(MONTH(B1067),KEY!$AE$5:$AF$16,2,FALSE),""))</f>
        <v>2024-Q3</v>
      </c>
      <c r="D1067" s="3" t="s">
        <v>126</v>
      </c>
      <c r="E1067" s="219">
        <v>68</v>
      </c>
      <c r="F1067" s="166">
        <v>358</v>
      </c>
      <c r="G1067" s="166">
        <v>466</v>
      </c>
      <c r="H1067" s="21">
        <v>494</v>
      </c>
      <c r="I1067" s="21">
        <v>77</v>
      </c>
      <c r="J1067" s="21">
        <v>321</v>
      </c>
      <c r="K1067" s="21">
        <v>76</v>
      </c>
      <c r="L1067" s="21">
        <v>654</v>
      </c>
      <c r="M1067" s="21">
        <v>219</v>
      </c>
      <c r="N1067" s="21">
        <v>363</v>
      </c>
      <c r="O1067" s="19">
        <v>638</v>
      </c>
      <c r="P1067" s="22">
        <v>130</v>
      </c>
      <c r="Q1067" s="22">
        <v>79</v>
      </c>
      <c r="R1067" s="20"/>
      <c r="S1067" s="234">
        <f>COUNTIFS(INP_DATA!$R$5:$R$3027,S$4,INP_DATA!$D$5:$D$3027,$D1067,INP_DATA!$B$5:$B$3027,$B1067)</f>
        <v>0</v>
      </c>
      <c r="T1067" s="235">
        <f>COUNTIFS(INP_DATA!$R$5:$R$3027,T$4,INP_DATA!$D$5:$D$3027,$D1067,INP_DATA!$B$5:$B$3027,$B1067)</f>
        <v>0</v>
      </c>
    </row>
    <row r="1068" spans="1:20" x14ac:dyDescent="0.35">
      <c r="A1068" s="3" t="s">
        <v>107</v>
      </c>
      <c r="B1068" s="165">
        <v>45505</v>
      </c>
      <c r="C1068" s="57" t="str">
        <f>IF($B1068="","",YEAR($B1068)&amp;"-"&amp;IFERROR(VLOOKUP(MONTH(B1068),KEY!$AE$5:$AF$16,2,FALSE),""))</f>
        <v>2024-Q3</v>
      </c>
      <c r="D1068" s="3" t="s">
        <v>127</v>
      </c>
      <c r="E1068" s="219">
        <v>16</v>
      </c>
      <c r="F1068" s="166">
        <v>38</v>
      </c>
      <c r="G1068" s="166">
        <v>41</v>
      </c>
      <c r="H1068" s="21">
        <v>70</v>
      </c>
      <c r="I1068" s="21">
        <v>7</v>
      </c>
      <c r="J1068" s="21">
        <v>37</v>
      </c>
      <c r="K1068" s="21">
        <v>4</v>
      </c>
      <c r="L1068" s="21">
        <v>71</v>
      </c>
      <c r="M1068" s="21">
        <v>28</v>
      </c>
      <c r="N1068" s="21">
        <v>40</v>
      </c>
      <c r="O1068" s="19">
        <v>110</v>
      </c>
      <c r="P1068" s="22">
        <v>13</v>
      </c>
      <c r="Q1068" s="22">
        <v>5</v>
      </c>
      <c r="R1068" s="20"/>
      <c r="S1068" s="234">
        <f>COUNTIFS(INP_DATA!$R$5:$R$3027,S$4,INP_DATA!$D$5:$D$3027,$D1068,INP_DATA!$B$5:$B$3027,$B1068)</f>
        <v>0</v>
      </c>
      <c r="T1068" s="235">
        <f>COUNTIFS(INP_DATA!$R$5:$R$3027,T$4,INP_DATA!$D$5:$D$3027,$D1068,INP_DATA!$B$5:$B$3027,$B1068)</f>
        <v>0</v>
      </c>
    </row>
    <row r="1069" spans="1:20" x14ac:dyDescent="0.35">
      <c r="A1069" s="3" t="s">
        <v>109</v>
      </c>
      <c r="B1069" s="165">
        <v>45505</v>
      </c>
      <c r="C1069" s="57" t="str">
        <f>IF($B1069="","",YEAR($B1069)&amp;"-"&amp;IFERROR(VLOOKUP(MONTH(B1069),KEY!$AE$5:$AF$16,2,FALSE),""))</f>
        <v>2024-Q3</v>
      </c>
      <c r="D1069" s="3" t="s">
        <v>198</v>
      </c>
      <c r="E1069" s="219">
        <v>3</v>
      </c>
      <c r="F1069" s="166">
        <v>69</v>
      </c>
      <c r="G1069" s="166">
        <v>70</v>
      </c>
      <c r="H1069" s="21">
        <v>203</v>
      </c>
      <c r="I1069" s="21">
        <v>22</v>
      </c>
      <c r="J1069" s="21">
        <v>61</v>
      </c>
      <c r="K1069" s="21">
        <v>14</v>
      </c>
      <c r="L1069" s="21">
        <v>87</v>
      </c>
      <c r="M1069" s="21">
        <v>31</v>
      </c>
      <c r="N1069" s="21">
        <v>72</v>
      </c>
      <c r="O1069" s="19">
        <v>154</v>
      </c>
      <c r="P1069" s="22">
        <v>2</v>
      </c>
      <c r="Q1069" s="22">
        <v>0</v>
      </c>
      <c r="R1069" s="20"/>
      <c r="S1069" s="234">
        <f>COUNTIFS(INP_DATA!$R$5:$R$3027,S$4,INP_DATA!$D$5:$D$3027,$D1069,INP_DATA!$B$5:$B$3027,$B1069)</f>
        <v>0</v>
      </c>
      <c r="T1069" s="235">
        <f>COUNTIFS(INP_DATA!$R$5:$R$3027,T$4,INP_DATA!$D$5:$D$3027,$D1069,INP_DATA!$B$5:$B$3027,$B1069)</f>
        <v>0</v>
      </c>
    </row>
    <row r="1070" spans="1:20" x14ac:dyDescent="0.35">
      <c r="A1070" s="3" t="s">
        <v>109</v>
      </c>
      <c r="B1070" s="165">
        <v>45505</v>
      </c>
      <c r="C1070" s="57" t="str">
        <f>IF($B1070="","",YEAR($B1070)&amp;"-"&amp;IFERROR(VLOOKUP(MONTH(B1070),KEY!$AE$5:$AF$16,2,FALSE),""))</f>
        <v>2024-Q3</v>
      </c>
      <c r="D1070" s="3" t="s">
        <v>128</v>
      </c>
      <c r="E1070" s="219">
        <v>5</v>
      </c>
      <c r="F1070" s="166">
        <v>254</v>
      </c>
      <c r="G1070" s="166">
        <v>256</v>
      </c>
      <c r="H1070" s="21">
        <v>572</v>
      </c>
      <c r="I1070" s="21">
        <v>82</v>
      </c>
      <c r="J1070" s="21">
        <v>247</v>
      </c>
      <c r="K1070" s="21">
        <v>59</v>
      </c>
      <c r="L1070" s="21">
        <v>482</v>
      </c>
      <c r="M1070" s="21">
        <v>133</v>
      </c>
      <c r="N1070" s="21">
        <v>253</v>
      </c>
      <c r="O1070" s="19">
        <v>330</v>
      </c>
      <c r="P1070" s="22">
        <v>0</v>
      </c>
      <c r="Q1070" s="22">
        <v>0</v>
      </c>
      <c r="R1070" s="20"/>
      <c r="S1070" s="234">
        <f>COUNTIFS(INP_DATA!$R$5:$R$3027,S$4,INP_DATA!$D$5:$D$3027,$D1070,INP_DATA!$B$5:$B$3027,$B1070)</f>
        <v>0</v>
      </c>
      <c r="T1070" s="235">
        <f>COUNTIFS(INP_DATA!$R$5:$R$3027,T$4,INP_DATA!$D$5:$D$3027,$D1070,INP_DATA!$B$5:$B$3027,$B1070)</f>
        <v>0</v>
      </c>
    </row>
    <row r="1071" spans="1:20" x14ac:dyDescent="0.35">
      <c r="A1071" s="3" t="s">
        <v>106</v>
      </c>
      <c r="B1071" s="165">
        <v>45505</v>
      </c>
      <c r="C1071" s="57" t="str">
        <f>IF($B1071="","",YEAR($B1071)&amp;"-"&amp;IFERROR(VLOOKUP(MONTH(B1071),KEY!$AE$5:$AF$16,2,FALSE),""))</f>
        <v>2024-Q3</v>
      </c>
      <c r="D1071" s="3" t="s">
        <v>129</v>
      </c>
      <c r="E1071" s="219">
        <v>17</v>
      </c>
      <c r="F1071" s="166">
        <v>180</v>
      </c>
      <c r="G1071" s="166">
        <v>169</v>
      </c>
      <c r="H1071" s="21">
        <v>343</v>
      </c>
      <c r="I1071" s="21">
        <v>20</v>
      </c>
      <c r="J1071" s="21">
        <v>276</v>
      </c>
      <c r="K1071" s="21">
        <v>34</v>
      </c>
      <c r="L1071" s="21">
        <v>301</v>
      </c>
      <c r="M1071" s="21">
        <v>84</v>
      </c>
      <c r="N1071" s="21">
        <v>182</v>
      </c>
      <c r="O1071" s="19">
        <v>286</v>
      </c>
      <c r="P1071" s="22">
        <v>21</v>
      </c>
      <c r="Q1071" s="22">
        <v>14</v>
      </c>
      <c r="R1071" s="20"/>
      <c r="S1071" s="234">
        <f>COUNTIFS(INP_DATA!$R$5:$R$3027,S$4,INP_DATA!$D$5:$D$3027,$D1071,INP_DATA!$B$5:$B$3027,$B1071)</f>
        <v>0</v>
      </c>
      <c r="T1071" s="235">
        <f>COUNTIFS(INP_DATA!$R$5:$R$3027,T$4,INP_DATA!$D$5:$D$3027,$D1071,INP_DATA!$B$5:$B$3027,$B1071)</f>
        <v>0</v>
      </c>
    </row>
    <row r="1072" spans="1:20" x14ac:dyDescent="0.35">
      <c r="A1072" s="3" t="s">
        <v>108</v>
      </c>
      <c r="B1072" s="165">
        <v>45505</v>
      </c>
      <c r="C1072" s="57" t="str">
        <f>IF($B1072="","",YEAR($B1072)&amp;"-"&amp;IFERROR(VLOOKUP(MONTH(B1072),KEY!$AE$5:$AF$16,2,FALSE),""))</f>
        <v>2024-Q3</v>
      </c>
      <c r="D1072" s="3" t="s">
        <v>130</v>
      </c>
      <c r="E1072" s="219">
        <v>37</v>
      </c>
      <c r="F1072" s="166">
        <v>175</v>
      </c>
      <c r="G1072" s="166">
        <v>178</v>
      </c>
      <c r="H1072" s="21">
        <v>302</v>
      </c>
      <c r="I1072" s="21">
        <v>44</v>
      </c>
      <c r="J1072" s="21">
        <v>180</v>
      </c>
      <c r="K1072" s="21">
        <v>40</v>
      </c>
      <c r="L1072" s="21">
        <v>218</v>
      </c>
      <c r="M1072" s="21">
        <v>99</v>
      </c>
      <c r="N1072" s="21">
        <v>181</v>
      </c>
      <c r="O1072" s="19">
        <v>176</v>
      </c>
      <c r="P1072" s="22">
        <v>33</v>
      </c>
      <c r="Q1072" s="22">
        <v>24</v>
      </c>
      <c r="R1072" s="20"/>
      <c r="S1072" s="234">
        <f>COUNTIFS(INP_DATA!$R$5:$R$3027,S$4,INP_DATA!$D$5:$D$3027,$D1072,INP_DATA!$B$5:$B$3027,$B1072)</f>
        <v>0</v>
      </c>
      <c r="T1072" s="235">
        <f>COUNTIFS(INP_DATA!$R$5:$R$3027,T$4,INP_DATA!$D$5:$D$3027,$D1072,INP_DATA!$B$5:$B$3027,$B1072)</f>
        <v>0</v>
      </c>
    </row>
    <row r="1073" spans="1:20" x14ac:dyDescent="0.35">
      <c r="A1073" s="3" t="s">
        <v>109</v>
      </c>
      <c r="B1073" s="165">
        <v>45505</v>
      </c>
      <c r="C1073" s="57" t="str">
        <f>IF($B1073="","",YEAR($B1073)&amp;"-"&amp;IFERROR(VLOOKUP(MONTH(B1073),KEY!$AE$5:$AF$16,2,FALSE),""))</f>
        <v>2024-Q3</v>
      </c>
      <c r="D1073" s="3" t="s">
        <v>131</v>
      </c>
      <c r="E1073" s="219">
        <v>40</v>
      </c>
      <c r="F1073" s="166">
        <v>186</v>
      </c>
      <c r="G1073" s="166">
        <v>167</v>
      </c>
      <c r="H1073" s="21">
        <v>166</v>
      </c>
      <c r="I1073" s="21">
        <v>25</v>
      </c>
      <c r="J1073" s="21">
        <v>150</v>
      </c>
      <c r="K1073" s="21">
        <v>44</v>
      </c>
      <c r="L1073" s="21">
        <v>293</v>
      </c>
      <c r="M1073" s="21">
        <v>67</v>
      </c>
      <c r="N1073" s="21">
        <v>204</v>
      </c>
      <c r="O1073" s="19">
        <v>308</v>
      </c>
      <c r="P1073" s="22">
        <v>2</v>
      </c>
      <c r="Q1073" s="22">
        <v>2</v>
      </c>
      <c r="R1073" s="20"/>
      <c r="S1073" s="234">
        <f>COUNTIFS(INP_DATA!$R$5:$R$3027,S$4,INP_DATA!$D$5:$D$3027,$D1073,INP_DATA!$B$5:$B$3027,$B1073)</f>
        <v>0</v>
      </c>
      <c r="T1073" s="235">
        <f>COUNTIFS(INP_DATA!$R$5:$R$3027,T$4,INP_DATA!$D$5:$D$3027,$D1073,INP_DATA!$B$5:$B$3027,$B1073)</f>
        <v>0</v>
      </c>
    </row>
    <row r="1074" spans="1:20" x14ac:dyDescent="0.35">
      <c r="A1074" s="3" t="s">
        <v>108</v>
      </c>
      <c r="B1074" s="165">
        <v>45505</v>
      </c>
      <c r="C1074" s="57" t="str">
        <f>IF($B1074="","",YEAR($B1074)&amp;"-"&amp;IFERROR(VLOOKUP(MONTH(B1074),KEY!$AE$5:$AF$16,2,FALSE),""))</f>
        <v>2024-Q3</v>
      </c>
      <c r="D1074" s="3" t="s">
        <v>134</v>
      </c>
      <c r="E1074" s="219">
        <v>8</v>
      </c>
      <c r="F1074" s="166">
        <v>36</v>
      </c>
      <c r="G1074" s="166">
        <v>41</v>
      </c>
      <c r="H1074" s="21">
        <v>52</v>
      </c>
      <c r="I1074" s="21">
        <v>8</v>
      </c>
      <c r="J1074" s="21">
        <v>41</v>
      </c>
      <c r="K1074" s="21">
        <v>10</v>
      </c>
      <c r="L1074" s="21">
        <v>46</v>
      </c>
      <c r="M1074" s="21">
        <v>22</v>
      </c>
      <c r="N1074" s="21">
        <v>36</v>
      </c>
      <c r="O1074" s="19">
        <v>66</v>
      </c>
      <c r="P1074" s="22">
        <v>13</v>
      </c>
      <c r="Q1074" s="22">
        <v>9</v>
      </c>
      <c r="R1074" s="20"/>
      <c r="S1074" s="234">
        <f>COUNTIFS(INP_DATA!$R$5:$R$3027,S$4,INP_DATA!$D$5:$D$3027,$D1074,INP_DATA!$B$5:$B$3027,$B1074)</f>
        <v>0</v>
      </c>
      <c r="T1074" s="235">
        <f>COUNTIFS(INP_DATA!$R$5:$R$3027,T$4,INP_DATA!$D$5:$D$3027,$D1074,INP_DATA!$B$5:$B$3027,$B1074)</f>
        <v>0</v>
      </c>
    </row>
    <row r="1075" spans="1:20" x14ac:dyDescent="0.35">
      <c r="A1075" s="3" t="s">
        <v>108</v>
      </c>
      <c r="B1075" s="165">
        <v>45505</v>
      </c>
      <c r="C1075" s="57" t="str">
        <f>IF($B1075="","",YEAR($B1075)&amp;"-"&amp;IFERROR(VLOOKUP(MONTH(B1075),KEY!$AE$5:$AF$16,2,FALSE),""))</f>
        <v>2024-Q3</v>
      </c>
      <c r="D1075" s="3" t="s">
        <v>135</v>
      </c>
      <c r="E1075" s="219">
        <v>54</v>
      </c>
      <c r="F1075" s="166">
        <v>252</v>
      </c>
      <c r="G1075" s="166">
        <v>229</v>
      </c>
      <c r="H1075" s="21">
        <v>464</v>
      </c>
      <c r="I1075" s="21">
        <v>54</v>
      </c>
      <c r="J1075" s="21">
        <v>227</v>
      </c>
      <c r="K1075" s="21">
        <v>43</v>
      </c>
      <c r="L1075" s="21">
        <v>746</v>
      </c>
      <c r="M1075" s="21">
        <v>130</v>
      </c>
      <c r="N1075" s="21">
        <v>254</v>
      </c>
      <c r="O1075" s="19">
        <v>462</v>
      </c>
      <c r="P1075" s="22">
        <v>40</v>
      </c>
      <c r="Q1075" s="22">
        <v>26</v>
      </c>
      <c r="R1075" s="20"/>
      <c r="S1075" s="234">
        <f>COUNTIFS(INP_DATA!$R$5:$R$3027,S$4,INP_DATA!$D$5:$D$3027,$D1075,INP_DATA!$B$5:$B$3027,$B1075)</f>
        <v>0</v>
      </c>
      <c r="T1075" s="235">
        <f>COUNTIFS(INP_DATA!$R$5:$R$3027,T$4,INP_DATA!$D$5:$D$3027,$D1075,INP_DATA!$B$5:$B$3027,$B1075)</f>
        <v>0</v>
      </c>
    </row>
    <row r="1076" spans="1:20" x14ac:dyDescent="0.35">
      <c r="A1076" s="3" t="s">
        <v>16</v>
      </c>
      <c r="B1076" s="165">
        <v>45505</v>
      </c>
      <c r="C1076" s="57" t="str">
        <f>IF($B1076="","",YEAR($B1076)&amp;"-"&amp;IFERROR(VLOOKUP(MONTH(B1076),KEY!$AE$5:$AF$16,2,FALSE),""))</f>
        <v>2024-Q3</v>
      </c>
      <c r="D1076" s="3" t="s">
        <v>196</v>
      </c>
      <c r="E1076" s="219">
        <v>6</v>
      </c>
      <c r="F1076" s="166">
        <v>35</v>
      </c>
      <c r="G1076" s="166">
        <v>41</v>
      </c>
      <c r="H1076" s="21">
        <v>79</v>
      </c>
      <c r="I1076" s="21">
        <v>11</v>
      </c>
      <c r="J1076" s="21">
        <v>41</v>
      </c>
      <c r="K1076" s="21">
        <v>8</v>
      </c>
      <c r="L1076" s="21">
        <v>106</v>
      </c>
      <c r="M1076" s="21">
        <v>22</v>
      </c>
      <c r="N1076" s="21">
        <v>35</v>
      </c>
      <c r="O1076" s="19">
        <v>110</v>
      </c>
      <c r="P1076" s="22">
        <v>11</v>
      </c>
      <c r="Q1076" s="22">
        <v>9</v>
      </c>
      <c r="R1076" s="20"/>
      <c r="S1076" s="234">
        <f>COUNTIFS(INP_DATA!$R$5:$R$3027,S$4,INP_DATA!$D$5:$D$3027,$D1076,INP_DATA!$B$5:$B$3027,$B1076)</f>
        <v>0</v>
      </c>
      <c r="T1076" s="235">
        <f>COUNTIFS(INP_DATA!$R$5:$R$3027,T$4,INP_DATA!$D$5:$D$3027,$D1076,INP_DATA!$B$5:$B$3027,$B1076)</f>
        <v>0</v>
      </c>
    </row>
    <row r="1077" spans="1:20" x14ac:dyDescent="0.35">
      <c r="A1077" s="3" t="s">
        <v>16</v>
      </c>
      <c r="B1077" s="165">
        <v>45505</v>
      </c>
      <c r="C1077" s="57" t="str">
        <f>IF($B1077="","",YEAR($B1077)&amp;"-"&amp;IFERROR(VLOOKUP(MONTH(B1077),KEY!$AE$5:$AF$16,2,FALSE),""))</f>
        <v>2024-Q3</v>
      </c>
      <c r="D1077" s="3" t="s">
        <v>197</v>
      </c>
      <c r="E1077" s="219">
        <v>22</v>
      </c>
      <c r="F1077" s="166">
        <v>96</v>
      </c>
      <c r="G1077" s="166">
        <v>77</v>
      </c>
      <c r="H1077" s="21">
        <v>89</v>
      </c>
      <c r="I1077" s="21">
        <v>12</v>
      </c>
      <c r="J1077" s="21">
        <v>74</v>
      </c>
      <c r="K1077" s="21">
        <v>17</v>
      </c>
      <c r="L1077" s="21">
        <v>185</v>
      </c>
      <c r="M1077" s="21">
        <v>73</v>
      </c>
      <c r="N1077" s="21">
        <v>104</v>
      </c>
      <c r="O1077" s="19">
        <v>220</v>
      </c>
      <c r="P1077" s="22">
        <v>8</v>
      </c>
      <c r="Q1077" s="22">
        <v>5</v>
      </c>
      <c r="R1077" s="20"/>
      <c r="S1077" s="234">
        <f>COUNTIFS(INP_DATA!$R$5:$R$3027,S$4,INP_DATA!$D$5:$D$3027,$D1077,INP_DATA!$B$5:$B$3027,$B1077)</f>
        <v>0</v>
      </c>
      <c r="T1077" s="235">
        <f>COUNTIFS(INP_DATA!$R$5:$R$3027,T$4,INP_DATA!$D$5:$D$3027,$D1077,INP_DATA!$B$5:$B$3027,$B1077)</f>
        <v>0</v>
      </c>
    </row>
    <row r="1078" spans="1:20" x14ac:dyDescent="0.35">
      <c r="A1078" s="3" t="s">
        <v>109</v>
      </c>
      <c r="B1078" s="165">
        <v>45505</v>
      </c>
      <c r="C1078" s="57" t="str">
        <f>IF($B1078="","",YEAR($B1078)&amp;"-"&amp;IFERROR(VLOOKUP(MONTH(B1078),KEY!$AE$5:$AF$16,2,FALSE),""))</f>
        <v>2024-Q3</v>
      </c>
      <c r="D1078" s="3" t="s">
        <v>136</v>
      </c>
      <c r="E1078" s="219">
        <v>72</v>
      </c>
      <c r="F1078" s="166">
        <v>297</v>
      </c>
      <c r="G1078" s="166">
        <v>245</v>
      </c>
      <c r="H1078" s="21">
        <v>415</v>
      </c>
      <c r="I1078" s="21">
        <v>62</v>
      </c>
      <c r="J1078" s="21">
        <v>225</v>
      </c>
      <c r="K1078" s="21">
        <v>47</v>
      </c>
      <c r="L1078" s="21">
        <v>487</v>
      </c>
      <c r="M1078" s="21">
        <v>199</v>
      </c>
      <c r="N1078" s="21">
        <v>296</v>
      </c>
      <c r="O1078" s="19">
        <v>330</v>
      </c>
      <c r="P1078" s="22">
        <v>27</v>
      </c>
      <c r="Q1078" s="22">
        <v>23</v>
      </c>
      <c r="R1078" s="20"/>
      <c r="S1078" s="234">
        <f>COUNTIFS(INP_DATA!$R$5:$R$3027,S$4,INP_DATA!$D$5:$D$3027,$D1078,INP_DATA!$B$5:$B$3027,$B1078)</f>
        <v>0</v>
      </c>
      <c r="T1078" s="235">
        <f>COUNTIFS(INP_DATA!$R$5:$R$3027,T$4,INP_DATA!$D$5:$D$3027,$D1078,INP_DATA!$B$5:$B$3027,$B1078)</f>
        <v>0</v>
      </c>
    </row>
    <row r="1079" spans="1:20" x14ac:dyDescent="0.35">
      <c r="A1079" s="3" t="s">
        <v>16</v>
      </c>
      <c r="B1079" s="165">
        <v>45505</v>
      </c>
      <c r="C1079" s="57" t="str">
        <f>IF($B1079="","",YEAR($B1079)&amp;"-"&amp;IFERROR(VLOOKUP(MONTH(B1079),KEY!$AE$5:$AF$16,2,FALSE),""))</f>
        <v>2024-Q3</v>
      </c>
      <c r="D1079" s="3" t="s">
        <v>137</v>
      </c>
      <c r="E1079" s="219">
        <v>17</v>
      </c>
      <c r="F1079" s="166">
        <v>73</v>
      </c>
      <c r="G1079" s="166">
        <v>94</v>
      </c>
      <c r="H1079" s="21">
        <v>160</v>
      </c>
      <c r="I1079" s="21">
        <v>20</v>
      </c>
      <c r="J1079" s="21">
        <v>164</v>
      </c>
      <c r="K1079" s="21">
        <v>26</v>
      </c>
      <c r="L1079" s="21">
        <v>141</v>
      </c>
      <c r="M1079" s="21">
        <v>58</v>
      </c>
      <c r="N1079" s="21">
        <v>73</v>
      </c>
      <c r="O1079" s="19">
        <v>154</v>
      </c>
      <c r="P1079" s="22">
        <v>15</v>
      </c>
      <c r="Q1079" s="22">
        <v>6</v>
      </c>
      <c r="R1079" s="20"/>
      <c r="S1079" s="234">
        <f>COUNTIFS(INP_DATA!$R$5:$R$3027,S$4,INP_DATA!$D$5:$D$3027,$D1079,INP_DATA!$B$5:$B$3027,$B1079)</f>
        <v>0</v>
      </c>
      <c r="T1079" s="235">
        <f>COUNTIFS(INP_DATA!$R$5:$R$3027,T$4,INP_DATA!$D$5:$D$3027,$D1079,INP_DATA!$B$5:$B$3027,$B1079)</f>
        <v>0</v>
      </c>
    </row>
    <row r="1080" spans="1:20" x14ac:dyDescent="0.35">
      <c r="A1080" s="3" t="s">
        <v>109</v>
      </c>
      <c r="B1080" s="165">
        <v>45505</v>
      </c>
      <c r="C1080" s="57" t="str">
        <f>IF($B1080="","",YEAR($B1080)&amp;"-"&amp;IFERROR(VLOOKUP(MONTH(B1080),KEY!$AE$5:$AF$16,2,FALSE),""))</f>
        <v>2024-Q3</v>
      </c>
      <c r="D1080" s="3" t="s">
        <v>138</v>
      </c>
      <c r="E1080" s="219">
        <v>33</v>
      </c>
      <c r="F1080" s="166">
        <v>145</v>
      </c>
      <c r="G1080" s="166">
        <v>119</v>
      </c>
      <c r="H1080" s="21">
        <v>138</v>
      </c>
      <c r="I1080" s="21">
        <v>26</v>
      </c>
      <c r="J1080" s="21">
        <v>133</v>
      </c>
      <c r="K1080" s="21">
        <v>48</v>
      </c>
      <c r="L1080" s="21">
        <v>293</v>
      </c>
      <c r="M1080" s="21">
        <v>105</v>
      </c>
      <c r="N1080" s="21">
        <v>145</v>
      </c>
      <c r="O1080" s="19">
        <v>176</v>
      </c>
      <c r="P1080" s="22">
        <v>14</v>
      </c>
      <c r="Q1080" s="22">
        <v>9</v>
      </c>
      <c r="R1080" s="20"/>
      <c r="S1080" s="234">
        <f>COUNTIFS(INP_DATA!$R$5:$R$3027,S$4,INP_DATA!$D$5:$D$3027,$D1080,INP_DATA!$B$5:$B$3027,$B1080)</f>
        <v>0</v>
      </c>
      <c r="T1080" s="235">
        <f>COUNTIFS(INP_DATA!$R$5:$R$3027,T$4,INP_DATA!$D$5:$D$3027,$D1080,INP_DATA!$B$5:$B$3027,$B1080)</f>
        <v>0</v>
      </c>
    </row>
    <row r="1081" spans="1:20" x14ac:dyDescent="0.35">
      <c r="A1081" s="3" t="s">
        <v>108</v>
      </c>
      <c r="B1081" s="165">
        <v>45505</v>
      </c>
      <c r="C1081" s="57" t="str">
        <f>IF($B1081="","",YEAR($B1081)&amp;"-"&amp;IFERROR(VLOOKUP(MONTH(B1081),KEY!$AE$5:$AF$16,2,FALSE),""))</f>
        <v>2024-Q3</v>
      </c>
      <c r="D1081" s="3" t="s">
        <v>139</v>
      </c>
      <c r="E1081" s="219">
        <v>40</v>
      </c>
      <c r="F1081" s="166">
        <v>175</v>
      </c>
      <c r="G1081" s="166">
        <v>152</v>
      </c>
      <c r="H1081" s="21">
        <v>263</v>
      </c>
      <c r="I1081" s="21">
        <v>34</v>
      </c>
      <c r="J1081" s="21">
        <v>86</v>
      </c>
      <c r="K1081" s="21">
        <v>18</v>
      </c>
      <c r="L1081" s="21">
        <v>413</v>
      </c>
      <c r="M1081" s="21">
        <v>114</v>
      </c>
      <c r="N1081" s="21">
        <v>180</v>
      </c>
      <c r="O1081" s="19">
        <v>308</v>
      </c>
      <c r="P1081" s="22">
        <v>82</v>
      </c>
      <c r="Q1081" s="22">
        <v>56</v>
      </c>
      <c r="R1081" s="20"/>
      <c r="S1081" s="234">
        <f>COUNTIFS(INP_DATA!$R$5:$R$3027,S$4,INP_DATA!$D$5:$D$3027,$D1081,INP_DATA!$B$5:$B$3027,$B1081)</f>
        <v>0</v>
      </c>
      <c r="T1081" s="235">
        <f>COUNTIFS(INP_DATA!$R$5:$R$3027,T$4,INP_DATA!$D$5:$D$3027,$D1081,INP_DATA!$B$5:$B$3027,$B1081)</f>
        <v>0</v>
      </c>
    </row>
    <row r="1082" spans="1:20" x14ac:dyDescent="0.35">
      <c r="A1082" s="3" t="s">
        <v>107</v>
      </c>
      <c r="B1082" s="165">
        <v>45505</v>
      </c>
      <c r="C1082" s="57" t="str">
        <f>IF($B1082="","",YEAR($B1082)&amp;"-"&amp;IFERROR(VLOOKUP(MONTH(B1082),KEY!$AE$5:$AF$16,2,FALSE),""))</f>
        <v>2024-Q3</v>
      </c>
      <c r="D1082" s="3" t="s">
        <v>140</v>
      </c>
      <c r="E1082" s="219">
        <v>4</v>
      </c>
      <c r="F1082" s="166">
        <v>31</v>
      </c>
      <c r="G1082" s="166">
        <v>29</v>
      </c>
      <c r="H1082" s="21">
        <v>69</v>
      </c>
      <c r="I1082" s="21">
        <v>8</v>
      </c>
      <c r="J1082" s="21">
        <v>38</v>
      </c>
      <c r="K1082" s="21">
        <v>8</v>
      </c>
      <c r="L1082" s="21">
        <v>64</v>
      </c>
      <c r="M1082" s="21">
        <v>29</v>
      </c>
      <c r="N1082" s="21">
        <v>31</v>
      </c>
      <c r="O1082" s="19">
        <v>66</v>
      </c>
      <c r="P1082" s="22">
        <v>6</v>
      </c>
      <c r="Q1082" s="22">
        <v>4</v>
      </c>
      <c r="R1082" s="20"/>
      <c r="S1082" s="234">
        <f>COUNTIFS(INP_DATA!$R$5:$R$3027,S$4,INP_DATA!$D$5:$D$3027,$D1082,INP_DATA!$B$5:$B$3027,$B1082)</f>
        <v>0</v>
      </c>
      <c r="T1082" s="235">
        <f>COUNTIFS(INP_DATA!$R$5:$R$3027,T$4,INP_DATA!$D$5:$D$3027,$D1082,INP_DATA!$B$5:$B$3027,$B1082)</f>
        <v>0</v>
      </c>
    </row>
    <row r="1083" spans="1:20" x14ac:dyDescent="0.35">
      <c r="A1083" s="3" t="s">
        <v>108</v>
      </c>
      <c r="B1083" s="165">
        <v>45505</v>
      </c>
      <c r="C1083" s="57" t="str">
        <f>IF($B1083="","",YEAR($B1083)&amp;"-"&amp;IFERROR(VLOOKUP(MONTH(B1083),KEY!$AE$5:$AF$16,2,FALSE),""))</f>
        <v>2024-Q3</v>
      </c>
      <c r="D1083" s="3" t="s">
        <v>142</v>
      </c>
      <c r="E1083" s="219">
        <v>19</v>
      </c>
      <c r="F1083" s="166">
        <v>123</v>
      </c>
      <c r="G1083" s="166">
        <v>61</v>
      </c>
      <c r="H1083" s="21">
        <v>210</v>
      </c>
      <c r="I1083" s="21">
        <v>39</v>
      </c>
      <c r="J1083" s="21">
        <v>60</v>
      </c>
      <c r="K1083" s="21">
        <v>12</v>
      </c>
      <c r="L1083" s="21">
        <v>126</v>
      </c>
      <c r="M1083" s="21">
        <v>62</v>
      </c>
      <c r="N1083" s="21">
        <v>125</v>
      </c>
      <c r="O1083" s="19">
        <v>110</v>
      </c>
      <c r="P1083" s="22">
        <v>34</v>
      </c>
      <c r="Q1083" s="22">
        <v>21</v>
      </c>
      <c r="R1083" s="20"/>
      <c r="S1083" s="234">
        <f>COUNTIFS(INP_DATA!$R$5:$R$3027,S$4,INP_DATA!$D$5:$D$3027,$D1083,INP_DATA!$B$5:$B$3027,$B1083)</f>
        <v>0</v>
      </c>
      <c r="T1083" s="235">
        <f>COUNTIFS(INP_DATA!$R$5:$R$3027,T$4,INP_DATA!$D$5:$D$3027,$D1083,INP_DATA!$B$5:$B$3027,$B1083)</f>
        <v>0</v>
      </c>
    </row>
    <row r="1084" spans="1:20" x14ac:dyDescent="0.35">
      <c r="A1084" s="3" t="s">
        <v>16</v>
      </c>
      <c r="B1084" s="165">
        <v>45505</v>
      </c>
      <c r="C1084" s="57" t="str">
        <f>IF($B1084="","",YEAR($B1084)&amp;"-"&amp;IFERROR(VLOOKUP(MONTH(B1084),KEY!$AE$5:$AF$16,2,FALSE),""))</f>
        <v>2024-Q3</v>
      </c>
      <c r="D1084" s="3" t="s">
        <v>143</v>
      </c>
      <c r="E1084" s="219">
        <v>14</v>
      </c>
      <c r="F1084" s="166">
        <v>78</v>
      </c>
      <c r="G1084" s="166">
        <v>84</v>
      </c>
      <c r="H1084" s="21">
        <v>141</v>
      </c>
      <c r="I1084" s="21">
        <v>21</v>
      </c>
      <c r="J1084" s="21">
        <v>76</v>
      </c>
      <c r="K1084" s="21">
        <v>12</v>
      </c>
      <c r="L1084" s="21">
        <v>124</v>
      </c>
      <c r="M1084" s="21">
        <v>51</v>
      </c>
      <c r="N1084" s="21">
        <v>79</v>
      </c>
      <c r="O1084" s="19">
        <v>154</v>
      </c>
      <c r="P1084" s="22">
        <v>3</v>
      </c>
      <c r="Q1084" s="22">
        <v>2</v>
      </c>
      <c r="R1084" s="20"/>
      <c r="S1084" s="234">
        <f>COUNTIFS(INP_DATA!$R$5:$R$3027,S$4,INP_DATA!$D$5:$D$3027,$D1084,INP_DATA!$B$5:$B$3027,$B1084)</f>
        <v>0</v>
      </c>
      <c r="T1084" s="235">
        <f>COUNTIFS(INP_DATA!$R$5:$R$3027,T$4,INP_DATA!$D$5:$D$3027,$D1084,INP_DATA!$B$5:$B$3027,$B1084)</f>
        <v>0</v>
      </c>
    </row>
    <row r="1085" spans="1:20" x14ac:dyDescent="0.35">
      <c r="A1085" s="3" t="s">
        <v>16</v>
      </c>
      <c r="B1085" s="165">
        <v>45505</v>
      </c>
      <c r="C1085" s="57" t="str">
        <f>IF($B1085="","",YEAR($B1085)&amp;"-"&amp;IFERROR(VLOOKUP(MONTH(B1085),KEY!$AE$5:$AF$16,2,FALSE),""))</f>
        <v>2024-Q3</v>
      </c>
      <c r="D1085" s="3" t="s">
        <v>144</v>
      </c>
      <c r="E1085" s="219">
        <v>35</v>
      </c>
      <c r="F1085" s="166">
        <v>207</v>
      </c>
      <c r="G1085" s="166">
        <v>139</v>
      </c>
      <c r="H1085" s="21">
        <v>257</v>
      </c>
      <c r="I1085" s="21">
        <v>38</v>
      </c>
      <c r="J1085" s="21">
        <v>202</v>
      </c>
      <c r="K1085" s="21">
        <v>50</v>
      </c>
      <c r="L1085" s="21">
        <v>343</v>
      </c>
      <c r="M1085" s="21">
        <v>104</v>
      </c>
      <c r="N1085" s="21">
        <v>214</v>
      </c>
      <c r="O1085" s="19">
        <v>396</v>
      </c>
      <c r="P1085" s="22">
        <v>14</v>
      </c>
      <c r="Q1085" s="22">
        <v>13</v>
      </c>
      <c r="R1085" s="20"/>
      <c r="S1085" s="234">
        <f>COUNTIFS(INP_DATA!$R$5:$R$3027,S$4,INP_DATA!$D$5:$D$3027,$D1085,INP_DATA!$B$5:$B$3027,$B1085)</f>
        <v>0</v>
      </c>
      <c r="T1085" s="235">
        <f>COUNTIFS(INP_DATA!$R$5:$R$3027,T$4,INP_DATA!$D$5:$D$3027,$D1085,INP_DATA!$B$5:$B$3027,$B1085)</f>
        <v>0</v>
      </c>
    </row>
    <row r="1086" spans="1:20" x14ac:dyDescent="0.35">
      <c r="A1086" s="3" t="s">
        <v>108</v>
      </c>
      <c r="B1086" s="165">
        <v>45505</v>
      </c>
      <c r="C1086" s="57" t="str">
        <f>IF($B1086="","",YEAR($B1086)&amp;"-"&amp;IFERROR(VLOOKUP(MONTH(B1086),KEY!$AE$5:$AF$16,2,FALSE),""))</f>
        <v>2024-Q3</v>
      </c>
      <c r="D1086" s="3" t="s">
        <v>145</v>
      </c>
      <c r="E1086" s="219">
        <v>60</v>
      </c>
      <c r="F1086" s="166">
        <v>171</v>
      </c>
      <c r="G1086" s="166">
        <v>154</v>
      </c>
      <c r="H1086" s="21">
        <v>285</v>
      </c>
      <c r="I1086" s="21">
        <v>38</v>
      </c>
      <c r="J1086" s="21">
        <v>163</v>
      </c>
      <c r="K1086" s="21">
        <v>29</v>
      </c>
      <c r="L1086" s="21">
        <v>351</v>
      </c>
      <c r="M1086" s="21">
        <v>94</v>
      </c>
      <c r="N1086" s="21">
        <v>171</v>
      </c>
      <c r="O1086" s="19">
        <v>308</v>
      </c>
      <c r="P1086" s="22">
        <v>35</v>
      </c>
      <c r="Q1086" s="22">
        <v>21</v>
      </c>
      <c r="R1086" s="20"/>
      <c r="S1086" s="234">
        <f>COUNTIFS(INP_DATA!$R$5:$R$3027,S$4,INP_DATA!$D$5:$D$3027,$D1086,INP_DATA!$B$5:$B$3027,$B1086)</f>
        <v>0</v>
      </c>
      <c r="T1086" s="235">
        <f>COUNTIFS(INP_DATA!$R$5:$R$3027,T$4,INP_DATA!$D$5:$D$3027,$D1086,INP_DATA!$B$5:$B$3027,$B1086)</f>
        <v>0</v>
      </c>
    </row>
    <row r="1087" spans="1:20" x14ac:dyDescent="0.35">
      <c r="A1087" s="3" t="s">
        <v>16</v>
      </c>
      <c r="B1087" s="165">
        <v>45505</v>
      </c>
      <c r="C1087" s="57" t="str">
        <f>IF($B1087="","",YEAR($B1087)&amp;"-"&amp;IFERROR(VLOOKUP(MONTH(B1087),KEY!$AE$5:$AF$16,2,FALSE),""))</f>
        <v>2024-Q3</v>
      </c>
      <c r="D1087" s="3" t="s">
        <v>146</v>
      </c>
      <c r="E1087" s="219">
        <v>3</v>
      </c>
      <c r="F1087" s="166">
        <v>18</v>
      </c>
      <c r="G1087" s="166">
        <v>32</v>
      </c>
      <c r="H1087" s="21">
        <v>67</v>
      </c>
      <c r="I1087" s="21">
        <v>4</v>
      </c>
      <c r="J1087" s="21">
        <v>36</v>
      </c>
      <c r="K1087" s="21">
        <v>3</v>
      </c>
      <c r="L1087" s="21">
        <v>34</v>
      </c>
      <c r="M1087" s="21">
        <v>12</v>
      </c>
      <c r="N1087" s="21">
        <v>18</v>
      </c>
      <c r="O1087" s="19">
        <v>88</v>
      </c>
      <c r="P1087" s="22">
        <v>4</v>
      </c>
      <c r="Q1087" s="22">
        <v>2</v>
      </c>
      <c r="R1087" s="20"/>
      <c r="S1087" s="234">
        <f>COUNTIFS(INP_DATA!$R$5:$R$3027,S$4,INP_DATA!$D$5:$D$3027,$D1087,INP_DATA!$B$5:$B$3027,$B1087)</f>
        <v>0</v>
      </c>
      <c r="T1087" s="235">
        <f>COUNTIFS(INP_DATA!$R$5:$R$3027,T$4,INP_DATA!$D$5:$D$3027,$D1087,INP_DATA!$B$5:$B$3027,$B1087)</f>
        <v>0</v>
      </c>
    </row>
    <row r="1088" spans="1:20" x14ac:dyDescent="0.35">
      <c r="A1088" s="3" t="s">
        <v>109</v>
      </c>
      <c r="B1088" s="165">
        <v>45505</v>
      </c>
      <c r="C1088" s="57" t="str">
        <f>IF($B1088="","",YEAR($B1088)&amp;"-"&amp;IFERROR(VLOOKUP(MONTH(B1088),KEY!$AE$5:$AF$16,2,FALSE),""))</f>
        <v>2024-Q3</v>
      </c>
      <c r="D1088" s="3" t="s">
        <v>147</v>
      </c>
      <c r="E1088" s="219">
        <v>2</v>
      </c>
      <c r="F1088" s="166">
        <v>28</v>
      </c>
      <c r="G1088" s="166">
        <v>56</v>
      </c>
      <c r="H1088" s="21">
        <v>65</v>
      </c>
      <c r="I1088" s="21">
        <v>9</v>
      </c>
      <c r="J1088" s="21">
        <v>22</v>
      </c>
      <c r="K1088" s="21">
        <v>6</v>
      </c>
      <c r="L1088" s="21">
        <v>67</v>
      </c>
      <c r="M1088" s="21">
        <v>20</v>
      </c>
      <c r="N1088" s="21">
        <v>28</v>
      </c>
      <c r="O1088" s="19">
        <v>88</v>
      </c>
      <c r="P1088" s="22">
        <v>8</v>
      </c>
      <c r="Q1088" s="22">
        <v>3</v>
      </c>
      <c r="R1088" s="20"/>
      <c r="S1088" s="234">
        <f>COUNTIFS(INP_DATA!$R$5:$R$3027,S$4,INP_DATA!$D$5:$D$3027,$D1088,INP_DATA!$B$5:$B$3027,$B1088)</f>
        <v>0</v>
      </c>
      <c r="T1088" s="235">
        <f>COUNTIFS(INP_DATA!$R$5:$R$3027,T$4,INP_DATA!$D$5:$D$3027,$D1088,INP_DATA!$B$5:$B$3027,$B1088)</f>
        <v>0</v>
      </c>
    </row>
    <row r="1089" spans="1:20" x14ac:dyDescent="0.35">
      <c r="A1089" s="3" t="s">
        <v>106</v>
      </c>
      <c r="B1089" s="165">
        <v>45505</v>
      </c>
      <c r="C1089" s="57" t="str">
        <f>IF($B1089="","",YEAR($B1089)&amp;"-"&amp;IFERROR(VLOOKUP(MONTH(B1089),KEY!$AE$5:$AF$16,2,FALSE),""))</f>
        <v>2024-Q3</v>
      </c>
      <c r="D1089" s="3" t="s">
        <v>148</v>
      </c>
      <c r="E1089" s="219">
        <v>7</v>
      </c>
      <c r="F1089" s="166">
        <v>24</v>
      </c>
      <c r="G1089" s="166">
        <v>40</v>
      </c>
      <c r="H1089" s="21">
        <v>49</v>
      </c>
      <c r="I1089" s="21">
        <v>4</v>
      </c>
      <c r="J1089" s="21">
        <v>69</v>
      </c>
      <c r="K1089" s="21">
        <v>7</v>
      </c>
      <c r="L1089" s="21">
        <v>76</v>
      </c>
      <c r="M1089" s="21">
        <v>18</v>
      </c>
      <c r="N1089" s="21">
        <v>26</v>
      </c>
      <c r="O1089" s="19">
        <v>66</v>
      </c>
      <c r="P1089" s="22">
        <v>14</v>
      </c>
      <c r="Q1089" s="22">
        <v>3</v>
      </c>
      <c r="R1089" s="20"/>
      <c r="S1089" s="234">
        <f>COUNTIFS(INP_DATA!$R$5:$R$3027,S$4,INP_DATA!$D$5:$D$3027,$D1089,INP_DATA!$B$5:$B$3027,$B1089)</f>
        <v>0</v>
      </c>
      <c r="T1089" s="235">
        <f>COUNTIFS(INP_DATA!$R$5:$R$3027,T$4,INP_DATA!$D$5:$D$3027,$D1089,INP_DATA!$B$5:$B$3027,$B1089)</f>
        <v>0</v>
      </c>
    </row>
    <row r="1090" spans="1:20" x14ac:dyDescent="0.35">
      <c r="A1090" s="3" t="s">
        <v>107</v>
      </c>
      <c r="B1090" s="165">
        <v>45505</v>
      </c>
      <c r="C1090" s="57" t="str">
        <f>IF($B1090="","",YEAR($B1090)&amp;"-"&amp;IFERROR(VLOOKUP(MONTH(B1090),KEY!$AE$5:$AF$16,2,FALSE),""))</f>
        <v>2024-Q3</v>
      </c>
      <c r="D1090" s="3" t="s">
        <v>149</v>
      </c>
      <c r="E1090" s="219">
        <v>2</v>
      </c>
      <c r="F1090" s="166">
        <v>15</v>
      </c>
      <c r="G1090" s="166">
        <v>18</v>
      </c>
      <c r="H1090" s="21">
        <v>31</v>
      </c>
      <c r="I1090" s="21">
        <v>4</v>
      </c>
      <c r="J1090" s="21">
        <v>21</v>
      </c>
      <c r="K1090" s="21">
        <v>8</v>
      </c>
      <c r="L1090" s="21">
        <v>59</v>
      </c>
      <c r="M1090" s="21">
        <v>14</v>
      </c>
      <c r="N1090" s="21">
        <v>15</v>
      </c>
      <c r="O1090" s="19">
        <v>66</v>
      </c>
      <c r="P1090" s="22">
        <v>0</v>
      </c>
      <c r="Q1090" s="22">
        <v>0</v>
      </c>
      <c r="R1090" s="20"/>
      <c r="S1090" s="234">
        <f>COUNTIFS(INP_DATA!$R$5:$R$3027,S$4,INP_DATA!$D$5:$D$3027,$D1090,INP_DATA!$B$5:$B$3027,$B1090)</f>
        <v>0</v>
      </c>
      <c r="T1090" s="235">
        <f>COUNTIFS(INP_DATA!$R$5:$R$3027,T$4,INP_DATA!$D$5:$D$3027,$D1090,INP_DATA!$B$5:$B$3027,$B1090)</f>
        <v>0</v>
      </c>
    </row>
    <row r="1091" spans="1:20" x14ac:dyDescent="0.35">
      <c r="A1091" s="3" t="s">
        <v>108</v>
      </c>
      <c r="B1091" s="165">
        <v>45505</v>
      </c>
      <c r="C1091" s="57" t="str">
        <f>IF($B1091="","",YEAR($B1091)&amp;"-"&amp;IFERROR(VLOOKUP(MONTH(B1091),KEY!$AE$5:$AF$16,2,FALSE),""))</f>
        <v>2024-Q3</v>
      </c>
      <c r="D1091" s="3" t="s">
        <v>150</v>
      </c>
      <c r="E1091" s="219">
        <v>9</v>
      </c>
      <c r="F1091" s="166">
        <v>40</v>
      </c>
      <c r="G1091" s="166">
        <v>32</v>
      </c>
      <c r="H1091" s="21">
        <v>43</v>
      </c>
      <c r="I1091" s="21">
        <v>6</v>
      </c>
      <c r="J1091" s="21">
        <v>21</v>
      </c>
      <c r="K1091" s="21">
        <v>3</v>
      </c>
      <c r="L1091" s="21">
        <v>62</v>
      </c>
      <c r="M1091" s="21">
        <v>28</v>
      </c>
      <c r="N1091" s="21">
        <v>40</v>
      </c>
      <c r="O1091" s="19">
        <v>88</v>
      </c>
      <c r="P1091" s="22">
        <v>5</v>
      </c>
      <c r="Q1091" s="22">
        <v>4</v>
      </c>
      <c r="R1091" s="20"/>
      <c r="S1091" s="234">
        <f>COUNTIFS(INP_DATA!$R$5:$R$3027,S$4,INP_DATA!$D$5:$D$3027,$D1091,INP_DATA!$B$5:$B$3027,$B1091)</f>
        <v>0</v>
      </c>
      <c r="T1091" s="235">
        <f>COUNTIFS(INP_DATA!$R$5:$R$3027,T$4,INP_DATA!$D$5:$D$3027,$D1091,INP_DATA!$B$5:$B$3027,$B1091)</f>
        <v>0</v>
      </c>
    </row>
    <row r="1092" spans="1:20" x14ac:dyDescent="0.35">
      <c r="A1092" s="3" t="s">
        <v>16</v>
      </c>
      <c r="B1092" s="165">
        <v>45505</v>
      </c>
      <c r="C1092" s="57" t="str">
        <f>IF($B1092="","",YEAR($B1092)&amp;"-"&amp;IFERROR(VLOOKUP(MONTH(B1092),KEY!$AE$5:$AF$16,2,FALSE),""))</f>
        <v>2024-Q3</v>
      </c>
      <c r="D1092" s="3" t="s">
        <v>151</v>
      </c>
      <c r="E1092" s="219">
        <v>4</v>
      </c>
      <c r="F1092" s="166">
        <v>24</v>
      </c>
      <c r="G1092" s="166">
        <v>34</v>
      </c>
      <c r="H1092" s="21">
        <v>61</v>
      </c>
      <c r="I1092" s="21">
        <v>8</v>
      </c>
      <c r="J1092" s="21">
        <v>21</v>
      </c>
      <c r="K1092" s="21">
        <v>6</v>
      </c>
      <c r="L1092" s="21">
        <v>51</v>
      </c>
      <c r="M1092" s="21">
        <v>15</v>
      </c>
      <c r="N1092" s="21">
        <v>23</v>
      </c>
      <c r="O1092" s="19">
        <v>88</v>
      </c>
      <c r="P1092" s="22">
        <v>1</v>
      </c>
      <c r="Q1092" s="22">
        <v>1</v>
      </c>
      <c r="R1092" s="20"/>
      <c r="S1092" s="234">
        <f>COUNTIFS(INP_DATA!$R$5:$R$3027,S$4,INP_DATA!$D$5:$D$3027,$D1092,INP_DATA!$B$5:$B$3027,$B1092)</f>
        <v>0</v>
      </c>
      <c r="T1092" s="235">
        <f>COUNTIFS(INP_DATA!$R$5:$R$3027,T$4,INP_DATA!$D$5:$D$3027,$D1092,INP_DATA!$B$5:$B$3027,$B1092)</f>
        <v>0</v>
      </c>
    </row>
    <row r="1093" spans="1:20" x14ac:dyDescent="0.35">
      <c r="A1093" s="3" t="s">
        <v>106</v>
      </c>
      <c r="B1093" s="165">
        <v>45505</v>
      </c>
      <c r="C1093" s="57" t="str">
        <f>IF($B1093="","",YEAR($B1093)&amp;"-"&amp;IFERROR(VLOOKUP(MONTH(B1093),KEY!$AE$5:$AF$16,2,FALSE),""))</f>
        <v>2024-Q3</v>
      </c>
      <c r="D1093" s="3" t="s">
        <v>152</v>
      </c>
      <c r="E1093" s="219">
        <v>48</v>
      </c>
      <c r="F1093" s="166">
        <v>170</v>
      </c>
      <c r="G1093" s="166">
        <v>217</v>
      </c>
      <c r="H1093" s="21">
        <v>437</v>
      </c>
      <c r="I1093" s="21">
        <v>71</v>
      </c>
      <c r="J1093" s="21">
        <v>124</v>
      </c>
      <c r="K1093" s="21">
        <v>33</v>
      </c>
      <c r="L1093" s="21">
        <v>396</v>
      </c>
      <c r="M1093" s="21">
        <v>130</v>
      </c>
      <c r="N1093" s="21">
        <v>170</v>
      </c>
      <c r="O1093" s="19">
        <v>286</v>
      </c>
      <c r="P1093" s="22">
        <v>69</v>
      </c>
      <c r="Q1093" s="22">
        <v>41</v>
      </c>
      <c r="R1093" s="20"/>
      <c r="S1093" s="234">
        <f>COUNTIFS(INP_DATA!$R$5:$R$3027,S$4,INP_DATA!$D$5:$D$3027,$D1093,INP_DATA!$B$5:$B$3027,$B1093)</f>
        <v>0</v>
      </c>
      <c r="T1093" s="235">
        <f>COUNTIFS(INP_DATA!$R$5:$R$3027,T$4,INP_DATA!$D$5:$D$3027,$D1093,INP_DATA!$B$5:$B$3027,$B1093)</f>
        <v>0</v>
      </c>
    </row>
    <row r="1094" spans="1:20" x14ac:dyDescent="0.35">
      <c r="A1094" s="3" t="s">
        <v>16</v>
      </c>
      <c r="B1094" s="165">
        <v>45505</v>
      </c>
      <c r="C1094" s="57" t="str">
        <f>IF($B1094="","",YEAR($B1094)&amp;"-"&amp;IFERROR(VLOOKUP(MONTH(B1094),KEY!$AE$5:$AF$16,2,FALSE),""))</f>
        <v>2024-Q3</v>
      </c>
      <c r="D1094" s="3" t="s">
        <v>153</v>
      </c>
      <c r="E1094" s="219">
        <v>42</v>
      </c>
      <c r="F1094" s="166">
        <v>91</v>
      </c>
      <c r="G1094" s="166">
        <v>95</v>
      </c>
      <c r="H1094" s="21">
        <v>148</v>
      </c>
      <c r="I1094" s="21">
        <v>16</v>
      </c>
      <c r="J1094" s="21">
        <v>94</v>
      </c>
      <c r="K1094" s="21">
        <v>4</v>
      </c>
      <c r="L1094" s="21">
        <v>337</v>
      </c>
      <c r="M1094" s="21">
        <v>50</v>
      </c>
      <c r="N1094" s="21">
        <v>89</v>
      </c>
      <c r="O1094" s="19">
        <v>286</v>
      </c>
      <c r="P1094" s="22">
        <v>9</v>
      </c>
      <c r="Q1094" s="22">
        <v>8</v>
      </c>
      <c r="R1094" s="20"/>
      <c r="S1094" s="234">
        <f>COUNTIFS(INP_DATA!$R$5:$R$3027,S$4,INP_DATA!$D$5:$D$3027,$D1094,INP_DATA!$B$5:$B$3027,$B1094)</f>
        <v>0</v>
      </c>
      <c r="T1094" s="235">
        <f>COUNTIFS(INP_DATA!$R$5:$R$3027,T$4,INP_DATA!$D$5:$D$3027,$D1094,INP_DATA!$B$5:$B$3027,$B1094)</f>
        <v>0</v>
      </c>
    </row>
    <row r="1095" spans="1:20" x14ac:dyDescent="0.35">
      <c r="A1095" s="3" t="s">
        <v>106</v>
      </c>
      <c r="B1095" s="165">
        <v>45505</v>
      </c>
      <c r="C1095" s="57" t="str">
        <f>IF($B1095="","",YEAR($B1095)&amp;"-"&amp;IFERROR(VLOOKUP(MONTH(B1095),KEY!$AE$5:$AF$16,2,FALSE),""))</f>
        <v>2024-Q3</v>
      </c>
      <c r="D1095" s="3" t="s">
        <v>154</v>
      </c>
      <c r="E1095" s="219">
        <v>24</v>
      </c>
      <c r="F1095" s="166">
        <v>103</v>
      </c>
      <c r="G1095" s="166">
        <v>78</v>
      </c>
      <c r="H1095" s="21">
        <v>323</v>
      </c>
      <c r="I1095" s="21">
        <v>43</v>
      </c>
      <c r="J1095" s="21">
        <v>160</v>
      </c>
      <c r="K1095" s="21">
        <v>22</v>
      </c>
      <c r="L1095" s="21">
        <v>257</v>
      </c>
      <c r="M1095" s="21">
        <v>65</v>
      </c>
      <c r="N1095" s="21">
        <v>102</v>
      </c>
      <c r="O1095" s="19">
        <v>154</v>
      </c>
      <c r="P1095" s="22">
        <v>18</v>
      </c>
      <c r="Q1095" s="22">
        <v>11</v>
      </c>
      <c r="R1095" s="20"/>
      <c r="S1095" s="234">
        <f>COUNTIFS(INP_DATA!$R$5:$R$3027,S$4,INP_DATA!$D$5:$D$3027,$D1095,INP_DATA!$B$5:$B$3027,$B1095)</f>
        <v>0</v>
      </c>
      <c r="T1095" s="235">
        <f>COUNTIFS(INP_DATA!$R$5:$R$3027,T$4,INP_DATA!$D$5:$D$3027,$D1095,INP_DATA!$B$5:$B$3027,$B1095)</f>
        <v>0</v>
      </c>
    </row>
    <row r="1096" spans="1:20" x14ac:dyDescent="0.35">
      <c r="A1096" s="3" t="s">
        <v>109</v>
      </c>
      <c r="B1096" s="165">
        <v>45505</v>
      </c>
      <c r="C1096" s="57" t="str">
        <f>IF($B1096="","",YEAR($B1096)&amp;"-"&amp;IFERROR(VLOOKUP(MONTH(B1096),KEY!$AE$5:$AF$16,2,FALSE),""))</f>
        <v>2024-Q3</v>
      </c>
      <c r="D1096" s="3" t="s">
        <v>155</v>
      </c>
      <c r="E1096" s="219">
        <v>64</v>
      </c>
      <c r="F1096" s="166">
        <v>364</v>
      </c>
      <c r="G1096" s="166">
        <v>336</v>
      </c>
      <c r="H1096" s="21">
        <v>854</v>
      </c>
      <c r="I1096" s="21">
        <v>110</v>
      </c>
      <c r="J1096" s="21">
        <v>297</v>
      </c>
      <c r="K1096" s="21">
        <v>51</v>
      </c>
      <c r="L1096" s="21">
        <v>450</v>
      </c>
      <c r="M1096" s="21">
        <v>163</v>
      </c>
      <c r="N1096" s="21">
        <v>371</v>
      </c>
      <c r="O1096" s="19">
        <v>484</v>
      </c>
      <c r="P1096" s="22">
        <v>31</v>
      </c>
      <c r="Q1096" s="22">
        <v>19</v>
      </c>
      <c r="R1096" s="20"/>
      <c r="S1096" s="234">
        <f>COUNTIFS(INP_DATA!$R$5:$R$3027,S$4,INP_DATA!$D$5:$D$3027,$D1096,INP_DATA!$B$5:$B$3027,$B1096)</f>
        <v>0</v>
      </c>
      <c r="T1096" s="235">
        <f>COUNTIFS(INP_DATA!$R$5:$R$3027,T$4,INP_DATA!$D$5:$D$3027,$D1096,INP_DATA!$B$5:$B$3027,$B1096)</f>
        <v>0</v>
      </c>
    </row>
    <row r="1097" spans="1:20" x14ac:dyDescent="0.35">
      <c r="A1097" s="3" t="s">
        <v>109</v>
      </c>
      <c r="B1097" s="165">
        <v>45505</v>
      </c>
      <c r="C1097" s="57" t="str">
        <f>IF($B1097="","",YEAR($B1097)&amp;"-"&amp;IFERROR(VLOOKUP(MONTH(B1097),KEY!$AE$5:$AF$16,2,FALSE),""))</f>
        <v>2024-Q3</v>
      </c>
      <c r="D1097" s="3" t="s">
        <v>156</v>
      </c>
      <c r="E1097" s="219">
        <v>49</v>
      </c>
      <c r="F1097" s="166">
        <v>277</v>
      </c>
      <c r="G1097" s="166">
        <v>242</v>
      </c>
      <c r="H1097" s="21">
        <v>468</v>
      </c>
      <c r="I1097" s="21">
        <v>79</v>
      </c>
      <c r="J1097" s="21">
        <v>209</v>
      </c>
      <c r="K1097" s="21">
        <v>58</v>
      </c>
      <c r="L1097" s="21">
        <v>380</v>
      </c>
      <c r="M1097" s="21">
        <v>119</v>
      </c>
      <c r="N1097" s="21">
        <v>278</v>
      </c>
      <c r="O1097" s="19">
        <v>396</v>
      </c>
      <c r="P1097" s="22">
        <v>6</v>
      </c>
      <c r="Q1097" s="22">
        <v>6</v>
      </c>
      <c r="R1097" s="20"/>
      <c r="S1097" s="234">
        <f>COUNTIFS(INP_DATA!$R$5:$R$3027,S$4,INP_DATA!$D$5:$D$3027,$D1097,INP_DATA!$B$5:$B$3027,$B1097)</f>
        <v>0</v>
      </c>
      <c r="T1097" s="235">
        <f>COUNTIFS(INP_DATA!$R$5:$R$3027,T$4,INP_DATA!$D$5:$D$3027,$D1097,INP_DATA!$B$5:$B$3027,$B1097)</f>
        <v>0</v>
      </c>
    </row>
    <row r="1098" spans="1:20" x14ac:dyDescent="0.35">
      <c r="A1098" s="3" t="s">
        <v>109</v>
      </c>
      <c r="B1098" s="165">
        <v>45505</v>
      </c>
      <c r="C1098" s="57" t="str">
        <f>IF($B1098="","",YEAR($B1098)&amp;"-"&amp;IFERROR(VLOOKUP(MONTH(B1098),KEY!$AE$5:$AF$16,2,FALSE),""))</f>
        <v>2024-Q3</v>
      </c>
      <c r="D1098" s="3" t="s">
        <v>157</v>
      </c>
      <c r="E1098" s="219">
        <v>5</v>
      </c>
      <c r="F1098" s="166">
        <v>427</v>
      </c>
      <c r="G1098" s="166">
        <v>349</v>
      </c>
      <c r="H1098" s="21">
        <v>997</v>
      </c>
      <c r="I1098" s="21">
        <v>90</v>
      </c>
      <c r="J1098" s="21">
        <v>480</v>
      </c>
      <c r="K1098" s="21">
        <v>66</v>
      </c>
      <c r="L1098" s="21">
        <v>928</v>
      </c>
      <c r="M1098" s="21">
        <v>191</v>
      </c>
      <c r="N1098" s="21">
        <v>444</v>
      </c>
      <c r="O1098" s="19">
        <v>704</v>
      </c>
      <c r="P1098" s="22">
        <v>15</v>
      </c>
      <c r="Q1098" s="22">
        <v>8</v>
      </c>
      <c r="R1098" s="20"/>
      <c r="S1098" s="234">
        <f>COUNTIFS(INP_DATA!$R$5:$R$3027,S$4,INP_DATA!$D$5:$D$3027,$D1098,INP_DATA!$B$5:$B$3027,$B1098)</f>
        <v>0</v>
      </c>
      <c r="T1098" s="235">
        <f>COUNTIFS(INP_DATA!$R$5:$R$3027,T$4,INP_DATA!$D$5:$D$3027,$D1098,INP_DATA!$B$5:$B$3027,$B1098)</f>
        <v>0</v>
      </c>
    </row>
    <row r="1099" spans="1:20" x14ac:dyDescent="0.35">
      <c r="A1099" s="3" t="s">
        <v>16</v>
      </c>
      <c r="B1099" s="165">
        <v>45505</v>
      </c>
      <c r="C1099" s="57" t="str">
        <f>IF($B1099="","",YEAR($B1099)&amp;"-"&amp;IFERROR(VLOOKUP(MONTH(B1099),KEY!$AE$5:$AF$16,2,FALSE),""))</f>
        <v>2024-Q3</v>
      </c>
      <c r="D1099" s="3" t="s">
        <v>158</v>
      </c>
      <c r="E1099" s="219">
        <v>3</v>
      </c>
      <c r="F1099" s="166">
        <v>26</v>
      </c>
      <c r="G1099" s="166">
        <v>36</v>
      </c>
      <c r="H1099" s="21">
        <v>79</v>
      </c>
      <c r="I1099" s="21">
        <v>5</v>
      </c>
      <c r="J1099" s="21">
        <v>41</v>
      </c>
      <c r="K1099" s="21">
        <v>15</v>
      </c>
      <c r="L1099" s="21">
        <v>78</v>
      </c>
      <c r="M1099" s="21">
        <v>24</v>
      </c>
      <c r="N1099" s="21">
        <v>27</v>
      </c>
      <c r="O1099" s="19">
        <v>110</v>
      </c>
      <c r="P1099" s="22">
        <v>1</v>
      </c>
      <c r="Q1099" s="22">
        <v>0</v>
      </c>
      <c r="R1099" s="20"/>
      <c r="S1099" s="234">
        <f>COUNTIFS(INP_DATA!$R$5:$R$3027,S$4,INP_DATA!$D$5:$D$3027,$D1099,INP_DATA!$B$5:$B$3027,$B1099)</f>
        <v>0</v>
      </c>
      <c r="T1099" s="235">
        <f>COUNTIFS(INP_DATA!$R$5:$R$3027,T$4,INP_DATA!$D$5:$D$3027,$D1099,INP_DATA!$B$5:$B$3027,$B1099)</f>
        <v>0</v>
      </c>
    </row>
    <row r="1100" spans="1:20" x14ac:dyDescent="0.35">
      <c r="A1100" s="3" t="s">
        <v>107</v>
      </c>
      <c r="B1100" s="165">
        <v>45505</v>
      </c>
      <c r="C1100" s="57" t="str">
        <f>IF($B1100="","",YEAR($B1100)&amp;"-"&amp;IFERROR(VLOOKUP(MONTH(B1100),KEY!$AE$5:$AF$16,2,FALSE),""))</f>
        <v>2024-Q3</v>
      </c>
      <c r="D1100" s="3" t="s">
        <v>159</v>
      </c>
      <c r="E1100" s="219">
        <v>22</v>
      </c>
      <c r="F1100" s="166">
        <v>137</v>
      </c>
      <c r="G1100" s="166">
        <v>118</v>
      </c>
      <c r="H1100" s="21">
        <v>217</v>
      </c>
      <c r="I1100" s="21">
        <v>51</v>
      </c>
      <c r="J1100" s="21">
        <v>78</v>
      </c>
      <c r="K1100" s="21">
        <v>23</v>
      </c>
      <c r="L1100" s="21">
        <v>247</v>
      </c>
      <c r="M1100" s="21">
        <v>102</v>
      </c>
      <c r="N1100" s="21">
        <v>138</v>
      </c>
      <c r="O1100" s="19">
        <v>220</v>
      </c>
      <c r="P1100" s="22">
        <v>12</v>
      </c>
      <c r="Q1100" s="22">
        <v>6</v>
      </c>
      <c r="R1100" s="20"/>
      <c r="S1100" s="234">
        <f>COUNTIFS(INP_DATA!$R$5:$R$3027,S$4,INP_DATA!$D$5:$D$3027,$D1100,INP_DATA!$B$5:$B$3027,$B1100)</f>
        <v>0</v>
      </c>
      <c r="T1100" s="235">
        <f>COUNTIFS(INP_DATA!$R$5:$R$3027,T$4,INP_DATA!$D$5:$D$3027,$D1100,INP_DATA!$B$5:$B$3027,$B1100)</f>
        <v>0</v>
      </c>
    </row>
    <row r="1101" spans="1:20" x14ac:dyDescent="0.35">
      <c r="A1101" s="3" t="s">
        <v>16</v>
      </c>
      <c r="B1101" s="165">
        <v>45505</v>
      </c>
      <c r="C1101" s="57" t="str">
        <f>IF($B1101="","",YEAR($B1101)&amp;"-"&amp;IFERROR(VLOOKUP(MONTH(B1101),KEY!$AE$5:$AF$16,2,FALSE),""))</f>
        <v>2024-Q3</v>
      </c>
      <c r="D1101" s="3" t="s">
        <v>160</v>
      </c>
      <c r="E1101" s="219">
        <v>63</v>
      </c>
      <c r="F1101" s="166">
        <v>379</v>
      </c>
      <c r="G1101" s="166">
        <v>368</v>
      </c>
      <c r="H1101" s="21">
        <v>683</v>
      </c>
      <c r="I1101" s="21">
        <v>102</v>
      </c>
      <c r="J1101" s="21">
        <v>273</v>
      </c>
      <c r="K1101" s="21">
        <v>60</v>
      </c>
      <c r="L1101" s="21">
        <v>488</v>
      </c>
      <c r="M1101" s="21">
        <v>217</v>
      </c>
      <c r="N1101" s="21">
        <v>392</v>
      </c>
      <c r="O1101" s="19">
        <v>528</v>
      </c>
      <c r="P1101" s="22">
        <v>28</v>
      </c>
      <c r="Q1101" s="22">
        <v>19</v>
      </c>
      <c r="R1101" s="20"/>
      <c r="S1101" s="234">
        <f>COUNTIFS(INP_DATA!$R$5:$R$3027,S$4,INP_DATA!$D$5:$D$3027,$D1101,INP_DATA!$B$5:$B$3027,$B1101)</f>
        <v>0</v>
      </c>
      <c r="T1101" s="235">
        <f>COUNTIFS(INP_DATA!$R$5:$R$3027,T$4,INP_DATA!$D$5:$D$3027,$D1101,INP_DATA!$B$5:$B$3027,$B1101)</f>
        <v>0</v>
      </c>
    </row>
    <row r="1102" spans="1:20" x14ac:dyDescent="0.35">
      <c r="A1102" s="3" t="s">
        <v>106</v>
      </c>
      <c r="B1102" s="165">
        <v>45505</v>
      </c>
      <c r="C1102" s="57" t="str">
        <f>IF($B1102="","",YEAR($B1102)&amp;"-"&amp;IFERROR(VLOOKUP(MONTH(B1102),KEY!$AE$5:$AF$16,2,FALSE),""))</f>
        <v>2024-Q3</v>
      </c>
      <c r="D1102" s="3" t="s">
        <v>161</v>
      </c>
      <c r="E1102" s="219">
        <v>47</v>
      </c>
      <c r="F1102" s="166">
        <v>281</v>
      </c>
      <c r="G1102" s="166">
        <v>268</v>
      </c>
      <c r="H1102" s="21">
        <v>622</v>
      </c>
      <c r="I1102" s="21">
        <v>95</v>
      </c>
      <c r="J1102" s="21">
        <v>200</v>
      </c>
      <c r="K1102" s="21">
        <v>46</v>
      </c>
      <c r="L1102" s="21">
        <v>393</v>
      </c>
      <c r="M1102" s="21">
        <v>126</v>
      </c>
      <c r="N1102" s="21">
        <v>288</v>
      </c>
      <c r="O1102" s="19">
        <v>484</v>
      </c>
      <c r="P1102" s="22">
        <v>14</v>
      </c>
      <c r="Q1102" s="22">
        <v>12</v>
      </c>
      <c r="R1102" s="20"/>
      <c r="S1102" s="234">
        <f>COUNTIFS(INP_DATA!$R$5:$R$3027,S$4,INP_DATA!$D$5:$D$3027,$D1102,INP_DATA!$B$5:$B$3027,$B1102)</f>
        <v>0</v>
      </c>
      <c r="T1102" s="235">
        <f>COUNTIFS(INP_DATA!$R$5:$R$3027,T$4,INP_DATA!$D$5:$D$3027,$D1102,INP_DATA!$B$5:$B$3027,$B1102)</f>
        <v>0</v>
      </c>
    </row>
    <row r="1103" spans="1:20" x14ac:dyDescent="0.35">
      <c r="A1103" s="3" t="s">
        <v>109</v>
      </c>
      <c r="B1103" s="165">
        <v>45505</v>
      </c>
      <c r="C1103" s="57" t="str">
        <f>IF($B1103="","",YEAR($B1103)&amp;"-"&amp;IFERROR(VLOOKUP(MONTH(B1103),KEY!$AE$5:$AF$16,2,FALSE),""))</f>
        <v>2024-Q3</v>
      </c>
      <c r="D1103" s="3" t="s">
        <v>162</v>
      </c>
      <c r="E1103" s="219">
        <v>182</v>
      </c>
      <c r="F1103" s="166">
        <v>412</v>
      </c>
      <c r="G1103" s="166">
        <v>530</v>
      </c>
      <c r="H1103" s="21">
        <v>401</v>
      </c>
      <c r="I1103" s="21">
        <v>74</v>
      </c>
      <c r="J1103" s="21">
        <v>174</v>
      </c>
      <c r="K1103" s="21">
        <v>64</v>
      </c>
      <c r="L1103" s="21">
        <v>1016</v>
      </c>
      <c r="M1103" s="21">
        <v>246</v>
      </c>
      <c r="N1103" s="21">
        <v>419</v>
      </c>
      <c r="O1103" s="19">
        <v>704</v>
      </c>
      <c r="P1103" s="22">
        <v>75</v>
      </c>
      <c r="Q1103" s="22">
        <v>59</v>
      </c>
      <c r="R1103" s="20"/>
      <c r="S1103" s="234">
        <f>COUNTIFS(INP_DATA!$R$5:$R$3027,S$4,INP_DATA!$D$5:$D$3027,$D1103,INP_DATA!$B$5:$B$3027,$B1103)</f>
        <v>0</v>
      </c>
      <c r="T1103" s="235">
        <f>COUNTIFS(INP_DATA!$R$5:$R$3027,T$4,INP_DATA!$D$5:$D$3027,$D1103,INP_DATA!$B$5:$B$3027,$B1103)</f>
        <v>0</v>
      </c>
    </row>
    <row r="1104" spans="1:20" x14ac:dyDescent="0.35">
      <c r="A1104" s="3" t="s">
        <v>16</v>
      </c>
      <c r="B1104" s="165">
        <v>45505</v>
      </c>
      <c r="C1104" s="57" t="str">
        <f>IF($B1104="","",YEAR($B1104)&amp;"-"&amp;IFERROR(VLOOKUP(MONTH(B1104),KEY!$AE$5:$AF$16,2,FALSE),""))</f>
        <v>2024-Q3</v>
      </c>
      <c r="D1104" s="3" t="s">
        <v>163</v>
      </c>
      <c r="E1104" s="219">
        <v>62</v>
      </c>
      <c r="F1104" s="166">
        <v>245</v>
      </c>
      <c r="G1104" s="166">
        <v>254</v>
      </c>
      <c r="H1104" s="21">
        <v>303</v>
      </c>
      <c r="I1104" s="21">
        <v>49</v>
      </c>
      <c r="J1104" s="21">
        <v>158</v>
      </c>
      <c r="K1104" s="21">
        <v>42</v>
      </c>
      <c r="L1104" s="21">
        <v>398</v>
      </c>
      <c r="M1104" s="21">
        <v>165</v>
      </c>
      <c r="N1104" s="21">
        <v>247</v>
      </c>
      <c r="O1104" s="19">
        <v>418</v>
      </c>
      <c r="P1104" s="22">
        <v>19</v>
      </c>
      <c r="Q1104" s="22">
        <v>7</v>
      </c>
      <c r="R1104" s="20"/>
      <c r="S1104" s="234">
        <f>COUNTIFS(INP_DATA!$R$5:$R$3027,S$4,INP_DATA!$D$5:$D$3027,$D1104,INP_DATA!$B$5:$B$3027,$B1104)</f>
        <v>0</v>
      </c>
      <c r="T1104" s="235">
        <f>COUNTIFS(INP_DATA!$R$5:$R$3027,T$4,INP_DATA!$D$5:$D$3027,$D1104,INP_DATA!$B$5:$B$3027,$B1104)</f>
        <v>0</v>
      </c>
    </row>
    <row r="1105" spans="1:20" x14ac:dyDescent="0.35">
      <c r="A1105" s="3" t="s">
        <v>16</v>
      </c>
      <c r="B1105" s="165">
        <v>45505</v>
      </c>
      <c r="C1105" s="57" t="str">
        <f>IF($B1105="","",YEAR($B1105)&amp;"-"&amp;IFERROR(VLOOKUP(MONTH(B1105),KEY!$AE$5:$AF$16,2,FALSE),""))</f>
        <v>2024-Q3</v>
      </c>
      <c r="D1105" s="3" t="s">
        <v>164</v>
      </c>
      <c r="E1105" s="219">
        <v>15</v>
      </c>
      <c r="F1105" s="166">
        <v>86</v>
      </c>
      <c r="G1105" s="166">
        <v>80</v>
      </c>
      <c r="H1105" s="21">
        <v>175</v>
      </c>
      <c r="I1105" s="21">
        <v>38</v>
      </c>
      <c r="J1105" s="21">
        <v>30</v>
      </c>
      <c r="K1105" s="21">
        <v>6</v>
      </c>
      <c r="L1105" s="21">
        <v>143</v>
      </c>
      <c r="M1105" s="21">
        <v>71</v>
      </c>
      <c r="N1105" s="21">
        <v>87</v>
      </c>
      <c r="O1105" s="19">
        <v>154</v>
      </c>
      <c r="P1105" s="22">
        <v>16</v>
      </c>
      <c r="Q1105" s="22">
        <v>7</v>
      </c>
      <c r="R1105" s="20"/>
      <c r="S1105" s="234">
        <f>COUNTIFS(INP_DATA!$R$5:$R$3027,S$4,INP_DATA!$D$5:$D$3027,$D1105,INP_DATA!$B$5:$B$3027,$B1105)</f>
        <v>0</v>
      </c>
      <c r="T1105" s="235">
        <f>COUNTIFS(INP_DATA!$R$5:$R$3027,T$4,INP_DATA!$D$5:$D$3027,$D1105,INP_DATA!$B$5:$B$3027,$B1105)</f>
        <v>0</v>
      </c>
    </row>
    <row r="1106" spans="1:20" x14ac:dyDescent="0.35">
      <c r="A1106" s="3" t="s">
        <v>107</v>
      </c>
      <c r="B1106" s="165">
        <v>45505</v>
      </c>
      <c r="C1106" s="57" t="str">
        <f>IF($B1106="","",YEAR($B1106)&amp;"-"&amp;IFERROR(VLOOKUP(MONTH(B1106),KEY!$AE$5:$AF$16,2,FALSE),""))</f>
        <v>2024-Q3</v>
      </c>
      <c r="D1106" s="3" t="s">
        <v>165</v>
      </c>
      <c r="E1106" s="219">
        <v>15</v>
      </c>
      <c r="F1106" s="166">
        <v>81</v>
      </c>
      <c r="G1106" s="166">
        <v>82</v>
      </c>
      <c r="H1106" s="21">
        <v>219</v>
      </c>
      <c r="I1106" s="21">
        <v>31</v>
      </c>
      <c r="J1106" s="21">
        <v>52</v>
      </c>
      <c r="K1106" s="21">
        <v>11</v>
      </c>
      <c r="L1106" s="21">
        <v>102</v>
      </c>
      <c r="M1106" s="21">
        <v>55</v>
      </c>
      <c r="N1106" s="21">
        <v>80</v>
      </c>
      <c r="O1106" s="19">
        <v>176</v>
      </c>
      <c r="P1106" s="22">
        <v>34</v>
      </c>
      <c r="Q1106" s="22">
        <v>21</v>
      </c>
      <c r="R1106" s="20"/>
      <c r="S1106" s="234">
        <f>COUNTIFS(INP_DATA!$R$5:$R$3027,S$4,INP_DATA!$D$5:$D$3027,$D1106,INP_DATA!$B$5:$B$3027,$B1106)</f>
        <v>0</v>
      </c>
      <c r="T1106" s="235">
        <f>COUNTIFS(INP_DATA!$R$5:$R$3027,T$4,INP_DATA!$D$5:$D$3027,$D1106,INP_DATA!$B$5:$B$3027,$B1106)</f>
        <v>0</v>
      </c>
    </row>
    <row r="1107" spans="1:20" x14ac:dyDescent="0.35">
      <c r="A1107" s="3" t="s">
        <v>16</v>
      </c>
      <c r="B1107" s="165">
        <v>45536</v>
      </c>
      <c r="C1107" s="57" t="str">
        <f>IF($B1107="","",YEAR($B1107)&amp;"-"&amp;IFERROR(VLOOKUP(MONTH(B1107),KEY!$AE$5:$AF$16,2,FALSE),""))</f>
        <v>2024-Q3</v>
      </c>
      <c r="D1107" s="3" t="s">
        <v>111</v>
      </c>
      <c r="E1107" s="219">
        <v>15</v>
      </c>
      <c r="F1107" s="166">
        <v>70</v>
      </c>
      <c r="G1107" s="166">
        <v>84</v>
      </c>
      <c r="H1107" s="21">
        <v>101</v>
      </c>
      <c r="I1107" s="21">
        <v>22</v>
      </c>
      <c r="J1107" s="21">
        <v>45</v>
      </c>
      <c r="K1107" s="21">
        <v>10</v>
      </c>
      <c r="L1107" s="21">
        <v>103</v>
      </c>
      <c r="M1107" s="21">
        <v>51</v>
      </c>
      <c r="N1107" s="21">
        <v>69</v>
      </c>
      <c r="O1107" s="19">
        <v>132</v>
      </c>
      <c r="P1107" s="22">
        <v>7</v>
      </c>
      <c r="Q1107" s="22">
        <v>4</v>
      </c>
      <c r="R1107" s="20"/>
      <c r="S1107" s="234">
        <f>COUNTIFS(INP_DATA!$R$5:$R$3027,S$4,INP_DATA!$D$5:$D$3027,$D1107,INP_DATA!$B$5:$B$3027,$B1107)</f>
        <v>0</v>
      </c>
      <c r="T1107" s="235">
        <f>COUNTIFS(INP_DATA!$R$5:$R$3027,T$4,INP_DATA!$D$5:$D$3027,$D1107,INP_DATA!$B$5:$B$3027,$B1107)</f>
        <v>0</v>
      </c>
    </row>
    <row r="1108" spans="1:20" x14ac:dyDescent="0.35">
      <c r="A1108" s="3" t="s">
        <v>108</v>
      </c>
      <c r="B1108" s="165">
        <v>45536</v>
      </c>
      <c r="C1108" s="57" t="str">
        <f>IF($B1108="","",YEAR($B1108)&amp;"-"&amp;IFERROR(VLOOKUP(MONTH(B1108),KEY!$AE$5:$AF$16,2,FALSE),""))</f>
        <v>2024-Q3</v>
      </c>
      <c r="D1108" s="3" t="s">
        <v>112</v>
      </c>
      <c r="E1108" s="219">
        <v>2</v>
      </c>
      <c r="F1108" s="166">
        <v>33</v>
      </c>
      <c r="G1108" s="166">
        <v>35</v>
      </c>
      <c r="H1108" s="21">
        <v>66</v>
      </c>
      <c r="I1108" s="21">
        <v>8</v>
      </c>
      <c r="J1108" s="21">
        <v>46</v>
      </c>
      <c r="K1108" s="21">
        <v>4</v>
      </c>
      <c r="L1108" s="21">
        <v>68</v>
      </c>
      <c r="M1108" s="21">
        <v>25</v>
      </c>
      <c r="N1108" s="21">
        <v>34</v>
      </c>
      <c r="O1108" s="19">
        <v>88</v>
      </c>
      <c r="P1108" s="22">
        <v>5</v>
      </c>
      <c r="Q1108" s="22">
        <v>1</v>
      </c>
      <c r="R1108" s="20"/>
      <c r="S1108" s="234">
        <f>COUNTIFS(INP_DATA!$R$5:$R$3027,S$4,INP_DATA!$D$5:$D$3027,$D1108,INP_DATA!$B$5:$B$3027,$B1108)</f>
        <v>0</v>
      </c>
      <c r="T1108" s="235">
        <f>COUNTIFS(INP_DATA!$R$5:$R$3027,T$4,INP_DATA!$D$5:$D$3027,$D1108,INP_DATA!$B$5:$B$3027,$B1108)</f>
        <v>0</v>
      </c>
    </row>
    <row r="1109" spans="1:20" x14ac:dyDescent="0.35">
      <c r="A1109" s="3" t="s">
        <v>16</v>
      </c>
      <c r="B1109" s="165">
        <v>45536</v>
      </c>
      <c r="C1109" s="57" t="str">
        <f>IF($B1109="","",YEAR($B1109)&amp;"-"&amp;IFERROR(VLOOKUP(MONTH(B1109),KEY!$AE$5:$AF$16,2,FALSE),""))</f>
        <v>2024-Q3</v>
      </c>
      <c r="D1109" s="3" t="s">
        <v>113</v>
      </c>
      <c r="E1109" s="219">
        <v>16</v>
      </c>
      <c r="F1109" s="166">
        <v>66</v>
      </c>
      <c r="G1109" s="166">
        <v>91</v>
      </c>
      <c r="H1109" s="21">
        <v>143</v>
      </c>
      <c r="I1109" s="21">
        <v>30</v>
      </c>
      <c r="J1109" s="21">
        <v>39</v>
      </c>
      <c r="K1109" s="21">
        <v>9</v>
      </c>
      <c r="L1109" s="21">
        <v>150</v>
      </c>
      <c r="M1109" s="21">
        <v>52</v>
      </c>
      <c r="N1109" s="21">
        <v>68</v>
      </c>
      <c r="O1109" s="19">
        <v>154</v>
      </c>
      <c r="P1109" s="22">
        <v>5</v>
      </c>
      <c r="Q1109" s="22">
        <v>1</v>
      </c>
      <c r="R1109" s="20"/>
      <c r="S1109" s="234">
        <f>COUNTIFS(INP_DATA!$R$5:$R$3027,S$4,INP_DATA!$D$5:$D$3027,$D1109,INP_DATA!$B$5:$B$3027,$B1109)</f>
        <v>0</v>
      </c>
      <c r="T1109" s="235">
        <f>COUNTIFS(INP_DATA!$R$5:$R$3027,T$4,INP_DATA!$D$5:$D$3027,$D1109,INP_DATA!$B$5:$B$3027,$B1109)</f>
        <v>0</v>
      </c>
    </row>
    <row r="1110" spans="1:20" x14ac:dyDescent="0.35">
      <c r="A1110" s="3" t="s">
        <v>108</v>
      </c>
      <c r="B1110" s="165">
        <v>45536</v>
      </c>
      <c r="C1110" s="57" t="str">
        <f>IF($B1110="","",YEAR($B1110)&amp;"-"&amp;IFERROR(VLOOKUP(MONTH(B1110),KEY!$AE$5:$AF$16,2,FALSE),""))</f>
        <v>2024-Q3</v>
      </c>
      <c r="D1110" s="3" t="s">
        <v>114</v>
      </c>
      <c r="E1110" s="219">
        <v>10</v>
      </c>
      <c r="F1110" s="166">
        <v>51</v>
      </c>
      <c r="G1110" s="166">
        <v>72</v>
      </c>
      <c r="H1110" s="21">
        <v>57</v>
      </c>
      <c r="I1110" s="21">
        <v>14</v>
      </c>
      <c r="J1110" s="21">
        <v>28</v>
      </c>
      <c r="K1110" s="21">
        <v>10</v>
      </c>
      <c r="L1110" s="21">
        <v>53</v>
      </c>
      <c r="M1110" s="21">
        <v>31</v>
      </c>
      <c r="N1110" s="21">
        <v>61</v>
      </c>
      <c r="O1110" s="19">
        <v>110</v>
      </c>
      <c r="P1110" s="22">
        <v>12</v>
      </c>
      <c r="Q1110" s="22">
        <v>9</v>
      </c>
      <c r="R1110" s="20"/>
      <c r="S1110" s="234">
        <f>COUNTIFS(INP_DATA!$R$5:$R$3027,S$4,INP_DATA!$D$5:$D$3027,$D1110,INP_DATA!$B$5:$B$3027,$B1110)</f>
        <v>0</v>
      </c>
      <c r="T1110" s="235">
        <f>COUNTIFS(INP_DATA!$R$5:$R$3027,T$4,INP_DATA!$D$5:$D$3027,$D1110,INP_DATA!$B$5:$B$3027,$B1110)</f>
        <v>0</v>
      </c>
    </row>
    <row r="1111" spans="1:20" x14ac:dyDescent="0.35">
      <c r="A1111" s="3" t="s">
        <v>107</v>
      </c>
      <c r="B1111" s="165">
        <v>45536</v>
      </c>
      <c r="C1111" s="57" t="str">
        <f>IF($B1111="","",YEAR($B1111)&amp;"-"&amp;IFERROR(VLOOKUP(MONTH(B1111),KEY!$AE$5:$AF$16,2,FALSE),""))</f>
        <v>2024-Q3</v>
      </c>
      <c r="D1111" s="3" t="s">
        <v>115</v>
      </c>
      <c r="E1111" s="219">
        <v>5</v>
      </c>
      <c r="F1111" s="166">
        <v>45</v>
      </c>
      <c r="G1111" s="166">
        <v>88</v>
      </c>
      <c r="H1111" s="21">
        <v>59</v>
      </c>
      <c r="I1111" s="21">
        <v>12</v>
      </c>
      <c r="J1111" s="21">
        <v>35</v>
      </c>
      <c r="K1111" s="21">
        <v>12</v>
      </c>
      <c r="L1111" s="21">
        <v>68</v>
      </c>
      <c r="M1111" s="21">
        <v>32</v>
      </c>
      <c r="N1111" s="21">
        <v>46</v>
      </c>
      <c r="O1111" s="19">
        <v>110</v>
      </c>
      <c r="P1111" s="22">
        <v>0</v>
      </c>
      <c r="Q1111" s="22">
        <v>0</v>
      </c>
      <c r="R1111" s="20"/>
      <c r="S1111" s="234">
        <f>COUNTIFS(INP_DATA!$R$5:$R$3027,S$4,INP_DATA!$D$5:$D$3027,$D1111,INP_DATA!$B$5:$B$3027,$B1111)</f>
        <v>0</v>
      </c>
      <c r="T1111" s="235">
        <f>COUNTIFS(INP_DATA!$R$5:$R$3027,T$4,INP_DATA!$D$5:$D$3027,$D1111,INP_DATA!$B$5:$B$3027,$B1111)</f>
        <v>0</v>
      </c>
    </row>
    <row r="1112" spans="1:20" x14ac:dyDescent="0.35">
      <c r="A1112" s="3" t="s">
        <v>16</v>
      </c>
      <c r="B1112" s="165">
        <v>45536</v>
      </c>
      <c r="C1112" s="57" t="str">
        <f>IF($B1112="","",YEAR($B1112)&amp;"-"&amp;IFERROR(VLOOKUP(MONTH(B1112),KEY!$AE$5:$AF$16,2,FALSE),""))</f>
        <v>2024-Q3</v>
      </c>
      <c r="D1112" s="3" t="s">
        <v>116</v>
      </c>
      <c r="E1112" s="219">
        <v>23</v>
      </c>
      <c r="F1112" s="166">
        <v>100</v>
      </c>
      <c r="G1112" s="166">
        <v>138</v>
      </c>
      <c r="H1112" s="21">
        <v>202</v>
      </c>
      <c r="I1112" s="21">
        <v>28</v>
      </c>
      <c r="J1112" s="21">
        <v>106</v>
      </c>
      <c r="K1112" s="21">
        <v>12</v>
      </c>
      <c r="L1112" s="21">
        <v>149</v>
      </c>
      <c r="M1112" s="21">
        <v>57</v>
      </c>
      <c r="N1112" s="21">
        <v>111</v>
      </c>
      <c r="O1112" s="19">
        <v>198</v>
      </c>
      <c r="P1112" s="22">
        <v>10</v>
      </c>
      <c r="Q1112" s="22">
        <v>6</v>
      </c>
      <c r="R1112" s="20"/>
      <c r="S1112" s="234">
        <f>COUNTIFS(INP_DATA!$R$5:$R$3027,S$4,INP_DATA!$D$5:$D$3027,$D1112,INP_DATA!$B$5:$B$3027,$B1112)</f>
        <v>0</v>
      </c>
      <c r="T1112" s="235">
        <f>COUNTIFS(INP_DATA!$R$5:$R$3027,T$4,INP_DATA!$D$5:$D$3027,$D1112,INP_DATA!$B$5:$B$3027,$B1112)</f>
        <v>0</v>
      </c>
    </row>
    <row r="1113" spans="1:20" x14ac:dyDescent="0.35">
      <c r="A1113" s="3" t="s">
        <v>106</v>
      </c>
      <c r="B1113" s="165">
        <v>45536</v>
      </c>
      <c r="C1113" s="57" t="str">
        <f>IF($B1113="","",YEAR($B1113)&amp;"-"&amp;IFERROR(VLOOKUP(MONTH(B1113),KEY!$AE$5:$AF$16,2,FALSE),""))</f>
        <v>2024-Q3</v>
      </c>
      <c r="D1113" s="3" t="s">
        <v>118</v>
      </c>
      <c r="E1113" s="219">
        <v>35</v>
      </c>
      <c r="F1113" s="166">
        <v>181</v>
      </c>
      <c r="G1113" s="166">
        <v>253</v>
      </c>
      <c r="H1113" s="21">
        <v>404</v>
      </c>
      <c r="I1113" s="21">
        <v>46</v>
      </c>
      <c r="J1113" s="21">
        <v>151</v>
      </c>
      <c r="K1113" s="21">
        <v>37</v>
      </c>
      <c r="L1113" s="21">
        <v>290</v>
      </c>
      <c r="M1113" s="21">
        <v>94</v>
      </c>
      <c r="N1113" s="21">
        <v>183</v>
      </c>
      <c r="O1113" s="19">
        <v>286</v>
      </c>
      <c r="P1113" s="22">
        <v>31</v>
      </c>
      <c r="Q1113" s="22">
        <v>20</v>
      </c>
      <c r="R1113" s="20"/>
      <c r="S1113" s="234">
        <f>COUNTIFS(INP_DATA!$R$5:$R$3027,S$4,INP_DATA!$D$5:$D$3027,$D1113,INP_DATA!$B$5:$B$3027,$B1113)</f>
        <v>0</v>
      </c>
      <c r="T1113" s="235">
        <f>COUNTIFS(INP_DATA!$R$5:$R$3027,T$4,INP_DATA!$D$5:$D$3027,$D1113,INP_DATA!$B$5:$B$3027,$B1113)</f>
        <v>0</v>
      </c>
    </row>
    <row r="1114" spans="1:20" x14ac:dyDescent="0.35">
      <c r="A1114" s="3" t="s">
        <v>107</v>
      </c>
      <c r="B1114" s="165">
        <v>45536</v>
      </c>
      <c r="C1114" s="57" t="str">
        <f>IF($B1114="","",YEAR($B1114)&amp;"-"&amp;IFERROR(VLOOKUP(MONTH(B1114),KEY!$AE$5:$AF$16,2,FALSE),""))</f>
        <v>2024-Q3</v>
      </c>
      <c r="D1114" s="3" t="s">
        <v>117</v>
      </c>
      <c r="E1114" s="219">
        <v>16</v>
      </c>
      <c r="F1114" s="166">
        <v>84</v>
      </c>
      <c r="G1114" s="166">
        <v>161</v>
      </c>
      <c r="H1114" s="21">
        <v>138</v>
      </c>
      <c r="I1114" s="21">
        <v>24</v>
      </c>
      <c r="J1114" s="21">
        <v>51</v>
      </c>
      <c r="K1114" s="21">
        <v>15</v>
      </c>
      <c r="L1114" s="21">
        <v>158</v>
      </c>
      <c r="M1114" s="21">
        <v>61</v>
      </c>
      <c r="N1114" s="21">
        <v>84</v>
      </c>
      <c r="O1114" s="19">
        <v>154</v>
      </c>
      <c r="P1114" s="22">
        <v>18</v>
      </c>
      <c r="Q1114" s="22">
        <v>11</v>
      </c>
      <c r="R1114" s="20"/>
      <c r="S1114" s="234">
        <f>COUNTIFS(INP_DATA!$R$5:$R$3027,S$4,INP_DATA!$D$5:$D$3027,$D1114,INP_DATA!$B$5:$B$3027,$B1114)</f>
        <v>0</v>
      </c>
      <c r="T1114" s="235">
        <f>COUNTIFS(INP_DATA!$R$5:$R$3027,T$4,INP_DATA!$D$5:$D$3027,$D1114,INP_DATA!$B$5:$B$3027,$B1114)</f>
        <v>0</v>
      </c>
    </row>
    <row r="1115" spans="1:20" x14ac:dyDescent="0.35">
      <c r="A1115" s="3" t="s">
        <v>16</v>
      </c>
      <c r="B1115" s="165">
        <v>45536</v>
      </c>
      <c r="C1115" s="57" t="str">
        <f>IF($B1115="","",YEAR($B1115)&amp;"-"&amp;IFERROR(VLOOKUP(MONTH(B1115),KEY!$AE$5:$AF$16,2,FALSE),""))</f>
        <v>2024-Q3</v>
      </c>
      <c r="D1115" s="3" t="s">
        <v>119</v>
      </c>
      <c r="E1115" s="219">
        <v>6</v>
      </c>
      <c r="F1115" s="166">
        <v>33</v>
      </c>
      <c r="G1115" s="166">
        <v>11</v>
      </c>
      <c r="H1115" s="21">
        <v>58</v>
      </c>
      <c r="I1115" s="21">
        <v>12</v>
      </c>
      <c r="J1115" s="21">
        <v>62</v>
      </c>
      <c r="K1115" s="21">
        <v>10</v>
      </c>
      <c r="L1115" s="21">
        <v>71</v>
      </c>
      <c r="M1115" s="21">
        <v>15</v>
      </c>
      <c r="N1115" s="21">
        <v>33</v>
      </c>
      <c r="O1115" s="19">
        <v>66</v>
      </c>
      <c r="P1115" s="22">
        <v>0</v>
      </c>
      <c r="Q1115" s="22">
        <v>0</v>
      </c>
      <c r="R1115" s="20"/>
      <c r="S1115" s="234">
        <f>COUNTIFS(INP_DATA!$R$5:$R$3027,S$4,INP_DATA!$D$5:$D$3027,$D1115,INP_DATA!$B$5:$B$3027,$B1115)</f>
        <v>0</v>
      </c>
      <c r="T1115" s="235">
        <f>COUNTIFS(INP_DATA!$R$5:$R$3027,T$4,INP_DATA!$D$5:$D$3027,$D1115,INP_DATA!$B$5:$B$3027,$B1115)</f>
        <v>0</v>
      </c>
    </row>
    <row r="1116" spans="1:20" x14ac:dyDescent="0.35">
      <c r="A1116" s="3" t="s">
        <v>16</v>
      </c>
      <c r="B1116" s="165">
        <v>45536</v>
      </c>
      <c r="C1116" s="57" t="str">
        <f>IF($B1116="","",YEAR($B1116)&amp;"-"&amp;IFERROR(VLOOKUP(MONTH(B1116),KEY!$AE$5:$AF$16,2,FALSE),""))</f>
        <v>2024-Q3</v>
      </c>
      <c r="D1116" s="3" t="s">
        <v>120</v>
      </c>
      <c r="E1116" s="219">
        <v>50</v>
      </c>
      <c r="F1116" s="166">
        <v>295</v>
      </c>
      <c r="G1116" s="166">
        <v>331</v>
      </c>
      <c r="H1116" s="21">
        <v>637</v>
      </c>
      <c r="I1116" s="21">
        <v>83</v>
      </c>
      <c r="J1116" s="21">
        <v>254</v>
      </c>
      <c r="K1116" s="21">
        <v>41</v>
      </c>
      <c r="L1116" s="21">
        <v>548</v>
      </c>
      <c r="M1116" s="21">
        <v>194</v>
      </c>
      <c r="N1116" s="21">
        <v>299</v>
      </c>
      <c r="O1116" s="19">
        <v>528</v>
      </c>
      <c r="P1116" s="22">
        <v>71</v>
      </c>
      <c r="Q1116" s="22">
        <v>37</v>
      </c>
      <c r="R1116" s="20"/>
      <c r="S1116" s="234">
        <f>COUNTIFS(INP_DATA!$R$5:$R$3027,S$4,INP_DATA!$D$5:$D$3027,$D1116,INP_DATA!$B$5:$B$3027,$B1116)</f>
        <v>0</v>
      </c>
      <c r="T1116" s="235">
        <f>COUNTIFS(INP_DATA!$R$5:$R$3027,T$4,INP_DATA!$D$5:$D$3027,$D1116,INP_DATA!$B$5:$B$3027,$B1116)</f>
        <v>0</v>
      </c>
    </row>
    <row r="1117" spans="1:20" x14ac:dyDescent="0.35">
      <c r="A1117" s="3" t="s">
        <v>109</v>
      </c>
      <c r="B1117" s="165">
        <v>45536</v>
      </c>
      <c r="C1117" s="57" t="str">
        <f>IF($B1117="","",YEAR($B1117)&amp;"-"&amp;IFERROR(VLOOKUP(MONTH(B1117),KEY!$AE$5:$AF$16,2,FALSE),""))</f>
        <v>2024-Q3</v>
      </c>
      <c r="D1117" s="3" t="s">
        <v>121</v>
      </c>
      <c r="E1117" s="219">
        <v>61</v>
      </c>
      <c r="F1117" s="166">
        <v>221</v>
      </c>
      <c r="G1117" s="166">
        <v>215</v>
      </c>
      <c r="H1117" s="21">
        <v>549</v>
      </c>
      <c r="I1117" s="21">
        <v>63</v>
      </c>
      <c r="J1117" s="21">
        <v>223</v>
      </c>
      <c r="K1117" s="21">
        <v>35</v>
      </c>
      <c r="L1117" s="21">
        <v>471</v>
      </c>
      <c r="M1117" s="21">
        <v>139</v>
      </c>
      <c r="N1117" s="21">
        <v>223</v>
      </c>
      <c r="O1117" s="19">
        <v>506</v>
      </c>
      <c r="P1117" s="22">
        <v>27</v>
      </c>
      <c r="Q1117" s="22">
        <v>17</v>
      </c>
      <c r="R1117" s="20"/>
      <c r="S1117" s="234">
        <f>COUNTIFS(INP_DATA!$R$5:$R$3027,S$4,INP_DATA!$D$5:$D$3027,$D1117,INP_DATA!$B$5:$B$3027,$B1117)</f>
        <v>0</v>
      </c>
      <c r="T1117" s="235">
        <f>COUNTIFS(INP_DATA!$R$5:$R$3027,T$4,INP_DATA!$D$5:$D$3027,$D1117,INP_DATA!$B$5:$B$3027,$B1117)</f>
        <v>0</v>
      </c>
    </row>
    <row r="1118" spans="1:20" x14ac:dyDescent="0.35">
      <c r="A1118" s="3" t="s">
        <v>108</v>
      </c>
      <c r="B1118" s="165">
        <v>45536</v>
      </c>
      <c r="C1118" s="57" t="str">
        <f>IF($B1118="","",YEAR($B1118)&amp;"-"&amp;IFERROR(VLOOKUP(MONTH(B1118),KEY!$AE$5:$AF$16,2,FALSE),""))</f>
        <v>2024-Q3</v>
      </c>
      <c r="D1118" s="3" t="s">
        <v>122</v>
      </c>
      <c r="E1118" s="219">
        <v>3</v>
      </c>
      <c r="F1118" s="166">
        <v>63</v>
      </c>
      <c r="G1118" s="166">
        <v>103</v>
      </c>
      <c r="H1118" s="21">
        <v>202</v>
      </c>
      <c r="I1118" s="21">
        <v>27</v>
      </c>
      <c r="J1118" s="21">
        <v>87</v>
      </c>
      <c r="K1118" s="21">
        <v>9</v>
      </c>
      <c r="L1118" s="21">
        <v>137</v>
      </c>
      <c r="M1118" s="21">
        <v>49</v>
      </c>
      <c r="N1118" s="21">
        <v>64</v>
      </c>
      <c r="O1118" s="19">
        <v>176</v>
      </c>
      <c r="P1118" s="22">
        <v>22</v>
      </c>
      <c r="Q1118" s="22">
        <v>3</v>
      </c>
      <c r="R1118" s="20"/>
      <c r="S1118" s="234">
        <f>COUNTIFS(INP_DATA!$R$5:$R$3027,S$4,INP_DATA!$D$5:$D$3027,$D1118,INP_DATA!$B$5:$B$3027,$B1118)</f>
        <v>0</v>
      </c>
      <c r="T1118" s="235">
        <f>COUNTIFS(INP_DATA!$R$5:$R$3027,T$4,INP_DATA!$D$5:$D$3027,$D1118,INP_DATA!$B$5:$B$3027,$B1118)</f>
        <v>0</v>
      </c>
    </row>
    <row r="1119" spans="1:20" x14ac:dyDescent="0.35">
      <c r="A1119" s="3" t="s">
        <v>107</v>
      </c>
      <c r="B1119" s="165">
        <v>45536</v>
      </c>
      <c r="C1119" s="57" t="str">
        <f>IF($B1119="","",YEAR($B1119)&amp;"-"&amp;IFERROR(VLOOKUP(MONTH(B1119),KEY!$AE$5:$AF$16,2,FALSE),""))</f>
        <v>2024-Q3</v>
      </c>
      <c r="D1119" s="3" t="s">
        <v>123</v>
      </c>
      <c r="E1119" s="219">
        <v>50</v>
      </c>
      <c r="F1119" s="166">
        <v>209</v>
      </c>
      <c r="G1119" s="166">
        <v>236</v>
      </c>
      <c r="H1119" s="21">
        <v>237</v>
      </c>
      <c r="I1119" s="21">
        <v>55</v>
      </c>
      <c r="J1119" s="21">
        <v>113</v>
      </c>
      <c r="K1119" s="21">
        <v>27</v>
      </c>
      <c r="L1119" s="21">
        <v>343</v>
      </c>
      <c r="M1119" s="21">
        <v>175</v>
      </c>
      <c r="N1119" s="21">
        <v>213</v>
      </c>
      <c r="O1119" s="19">
        <v>418</v>
      </c>
      <c r="P1119" s="22">
        <v>30</v>
      </c>
      <c r="Q1119" s="22">
        <v>20</v>
      </c>
      <c r="R1119" s="20"/>
      <c r="S1119" s="234">
        <f>COUNTIFS(INP_DATA!$R$5:$R$3027,S$4,INP_DATA!$D$5:$D$3027,$D1119,INP_DATA!$B$5:$B$3027,$B1119)</f>
        <v>0</v>
      </c>
      <c r="T1119" s="235">
        <f>COUNTIFS(INP_DATA!$R$5:$R$3027,T$4,INP_DATA!$D$5:$D$3027,$D1119,INP_DATA!$B$5:$B$3027,$B1119)</f>
        <v>0</v>
      </c>
    </row>
    <row r="1120" spans="1:20" x14ac:dyDescent="0.35">
      <c r="A1120" s="3" t="s">
        <v>108</v>
      </c>
      <c r="B1120" s="165">
        <v>45536</v>
      </c>
      <c r="C1120" s="57" t="str">
        <f>IF($B1120="","",YEAR($B1120)&amp;"-"&amp;IFERROR(VLOOKUP(MONTH(B1120),KEY!$AE$5:$AF$16,2,FALSE),""))</f>
        <v>2024-Q3</v>
      </c>
      <c r="D1120" s="3" t="s">
        <v>124</v>
      </c>
      <c r="E1120" s="219">
        <v>75</v>
      </c>
      <c r="F1120" s="166">
        <v>214</v>
      </c>
      <c r="G1120" s="166">
        <v>234</v>
      </c>
      <c r="H1120" s="21">
        <v>339</v>
      </c>
      <c r="I1120" s="21">
        <v>65</v>
      </c>
      <c r="J1120" s="21">
        <v>204</v>
      </c>
      <c r="K1120" s="21">
        <v>38</v>
      </c>
      <c r="L1120" s="21">
        <v>413</v>
      </c>
      <c r="M1120" s="21">
        <v>145</v>
      </c>
      <c r="N1120" s="21">
        <v>218</v>
      </c>
      <c r="O1120" s="19">
        <v>506</v>
      </c>
      <c r="P1120" s="22">
        <v>77</v>
      </c>
      <c r="Q1120" s="22">
        <v>54</v>
      </c>
      <c r="R1120" s="20"/>
      <c r="S1120" s="234">
        <f>COUNTIFS(INP_DATA!$R$5:$R$3027,S$4,INP_DATA!$D$5:$D$3027,$D1120,INP_DATA!$B$5:$B$3027,$B1120)</f>
        <v>0</v>
      </c>
      <c r="T1120" s="235">
        <f>COUNTIFS(INP_DATA!$R$5:$R$3027,T$4,INP_DATA!$D$5:$D$3027,$D1120,INP_DATA!$B$5:$B$3027,$B1120)</f>
        <v>0</v>
      </c>
    </row>
    <row r="1121" spans="1:20" x14ac:dyDescent="0.35">
      <c r="A1121" s="3" t="s">
        <v>106</v>
      </c>
      <c r="B1121" s="165">
        <v>45536</v>
      </c>
      <c r="C1121" s="57" t="str">
        <f>IF($B1121="","",YEAR($B1121)&amp;"-"&amp;IFERROR(VLOOKUP(MONTH(B1121),KEY!$AE$5:$AF$16,2,FALSE),""))</f>
        <v>2024-Q3</v>
      </c>
      <c r="D1121" s="3" t="s">
        <v>195</v>
      </c>
      <c r="E1121" s="219">
        <v>8</v>
      </c>
      <c r="F1121" s="166">
        <v>51</v>
      </c>
      <c r="G1121" s="166">
        <v>46</v>
      </c>
      <c r="H1121" s="21">
        <v>101</v>
      </c>
      <c r="I1121" s="21">
        <v>17</v>
      </c>
      <c r="J1121" s="21">
        <v>29</v>
      </c>
      <c r="K1121" s="21">
        <v>10</v>
      </c>
      <c r="L1121" s="21">
        <v>128</v>
      </c>
      <c r="M1121" s="21">
        <v>40</v>
      </c>
      <c r="N1121" s="21">
        <v>53</v>
      </c>
      <c r="O1121" s="19">
        <v>132</v>
      </c>
      <c r="P1121" s="22">
        <v>6</v>
      </c>
      <c r="Q1121" s="22">
        <v>3</v>
      </c>
      <c r="R1121" s="20"/>
      <c r="S1121" s="234">
        <f>COUNTIFS(INP_DATA!$R$5:$R$3027,S$4,INP_DATA!$D$5:$D$3027,$D1121,INP_DATA!$B$5:$B$3027,$B1121)</f>
        <v>0</v>
      </c>
      <c r="T1121" s="235">
        <f>COUNTIFS(INP_DATA!$R$5:$R$3027,T$4,INP_DATA!$D$5:$D$3027,$D1121,INP_DATA!$B$5:$B$3027,$B1121)</f>
        <v>0</v>
      </c>
    </row>
    <row r="1122" spans="1:20" x14ac:dyDescent="0.35">
      <c r="A1122" s="3" t="s">
        <v>106</v>
      </c>
      <c r="B1122" s="165">
        <v>45536</v>
      </c>
      <c r="C1122" s="57" t="str">
        <f>IF($B1122="","",YEAR($B1122)&amp;"-"&amp;IFERROR(VLOOKUP(MONTH(B1122),KEY!$AE$5:$AF$16,2,FALSE),""))</f>
        <v>2024-Q3</v>
      </c>
      <c r="D1122" s="3" t="s">
        <v>125</v>
      </c>
      <c r="E1122" s="219">
        <v>42</v>
      </c>
      <c r="F1122" s="166">
        <v>233</v>
      </c>
      <c r="G1122" s="166">
        <v>262</v>
      </c>
      <c r="H1122" s="21">
        <v>490</v>
      </c>
      <c r="I1122" s="21">
        <v>59</v>
      </c>
      <c r="J1122" s="21">
        <v>143</v>
      </c>
      <c r="K1122" s="21">
        <v>35</v>
      </c>
      <c r="L1122" s="21">
        <v>397</v>
      </c>
      <c r="M1122" s="21">
        <v>80</v>
      </c>
      <c r="N1122" s="21">
        <v>242</v>
      </c>
      <c r="O1122" s="19">
        <v>418</v>
      </c>
      <c r="P1122" s="22">
        <v>20</v>
      </c>
      <c r="Q1122" s="22">
        <v>13</v>
      </c>
      <c r="R1122" s="20"/>
      <c r="S1122" s="234">
        <f>COUNTIFS(INP_DATA!$R$5:$R$3027,S$4,INP_DATA!$D$5:$D$3027,$D1122,INP_DATA!$B$5:$B$3027,$B1122)</f>
        <v>0</v>
      </c>
      <c r="T1122" s="235">
        <f>COUNTIFS(INP_DATA!$R$5:$R$3027,T$4,INP_DATA!$D$5:$D$3027,$D1122,INP_DATA!$B$5:$B$3027,$B1122)</f>
        <v>0</v>
      </c>
    </row>
    <row r="1123" spans="1:20" x14ac:dyDescent="0.35">
      <c r="A1123" s="3" t="s">
        <v>107</v>
      </c>
      <c r="B1123" s="165">
        <v>45536</v>
      </c>
      <c r="C1123" s="57" t="str">
        <f>IF($B1123="","",YEAR($B1123)&amp;"-"&amp;IFERROR(VLOOKUP(MONTH(B1123),KEY!$AE$5:$AF$16,2,FALSE),""))</f>
        <v>2024-Q3</v>
      </c>
      <c r="D1123" s="3" t="s">
        <v>126</v>
      </c>
      <c r="E1123" s="219">
        <v>67</v>
      </c>
      <c r="F1123" s="166">
        <v>377</v>
      </c>
      <c r="G1123" s="166">
        <v>462</v>
      </c>
      <c r="H1123" s="21">
        <v>364</v>
      </c>
      <c r="I1123" s="21">
        <v>80</v>
      </c>
      <c r="J1123" s="21">
        <v>280</v>
      </c>
      <c r="K1123" s="21">
        <v>80</v>
      </c>
      <c r="L1123" s="21">
        <v>653</v>
      </c>
      <c r="M1123" s="21">
        <v>248</v>
      </c>
      <c r="N1123" s="21">
        <v>380</v>
      </c>
      <c r="O1123" s="19">
        <v>616</v>
      </c>
      <c r="P1123" s="22">
        <v>139</v>
      </c>
      <c r="Q1123" s="22">
        <v>84</v>
      </c>
      <c r="R1123" s="20"/>
      <c r="S1123" s="234">
        <f>COUNTIFS(INP_DATA!$R$5:$R$3027,S$4,INP_DATA!$D$5:$D$3027,$D1123,INP_DATA!$B$5:$B$3027,$B1123)</f>
        <v>0</v>
      </c>
      <c r="T1123" s="235">
        <f>COUNTIFS(INP_DATA!$R$5:$R$3027,T$4,INP_DATA!$D$5:$D$3027,$D1123,INP_DATA!$B$5:$B$3027,$B1123)</f>
        <v>0</v>
      </c>
    </row>
    <row r="1124" spans="1:20" x14ac:dyDescent="0.35">
      <c r="A1124" s="3" t="s">
        <v>107</v>
      </c>
      <c r="B1124" s="165">
        <v>45536</v>
      </c>
      <c r="C1124" s="57" t="str">
        <f>IF($B1124="","",YEAR($B1124)&amp;"-"&amp;IFERROR(VLOOKUP(MONTH(B1124),KEY!$AE$5:$AF$16,2,FALSE),""))</f>
        <v>2024-Q3</v>
      </c>
      <c r="D1124" s="3" t="s">
        <v>127</v>
      </c>
      <c r="E1124" s="219">
        <v>12</v>
      </c>
      <c r="F1124" s="166">
        <v>36</v>
      </c>
      <c r="G1124" s="166">
        <v>59</v>
      </c>
      <c r="H1124" s="21">
        <v>49</v>
      </c>
      <c r="I1124" s="21">
        <v>12</v>
      </c>
      <c r="J1124" s="21">
        <v>23</v>
      </c>
      <c r="K1124" s="21">
        <v>4</v>
      </c>
      <c r="L1124" s="21">
        <v>77</v>
      </c>
      <c r="M1124" s="21">
        <v>31</v>
      </c>
      <c r="N1124" s="21">
        <v>36</v>
      </c>
      <c r="O1124" s="19">
        <v>110</v>
      </c>
      <c r="P1124" s="22">
        <v>1</v>
      </c>
      <c r="Q1124" s="22">
        <v>1</v>
      </c>
      <c r="R1124" s="20"/>
      <c r="S1124" s="234">
        <f>COUNTIFS(INP_DATA!$R$5:$R$3027,S$4,INP_DATA!$D$5:$D$3027,$D1124,INP_DATA!$B$5:$B$3027,$B1124)</f>
        <v>0</v>
      </c>
      <c r="T1124" s="235">
        <f>COUNTIFS(INP_DATA!$R$5:$R$3027,T$4,INP_DATA!$D$5:$D$3027,$D1124,INP_DATA!$B$5:$B$3027,$B1124)</f>
        <v>0</v>
      </c>
    </row>
    <row r="1125" spans="1:20" x14ac:dyDescent="0.35">
      <c r="A1125" s="3" t="s">
        <v>109</v>
      </c>
      <c r="B1125" s="165">
        <v>45536</v>
      </c>
      <c r="C1125" s="57" t="str">
        <f>IF($B1125="","",YEAR($B1125)&amp;"-"&amp;IFERROR(VLOOKUP(MONTH(B1125),KEY!$AE$5:$AF$16,2,FALSE),""))</f>
        <v>2024-Q3</v>
      </c>
      <c r="D1125" s="3" t="s">
        <v>198</v>
      </c>
      <c r="E1125" s="219">
        <v>2</v>
      </c>
      <c r="F1125" s="166">
        <v>54</v>
      </c>
      <c r="G1125" s="166">
        <v>46</v>
      </c>
      <c r="H1125" s="21">
        <v>136</v>
      </c>
      <c r="I1125" s="21">
        <v>20</v>
      </c>
      <c r="J1125" s="21">
        <v>69</v>
      </c>
      <c r="K1125" s="21">
        <v>11</v>
      </c>
      <c r="L1125" s="21">
        <v>68</v>
      </c>
      <c r="M1125" s="21">
        <v>25</v>
      </c>
      <c r="N1125" s="21">
        <v>53</v>
      </c>
      <c r="O1125" s="19">
        <v>154</v>
      </c>
      <c r="P1125" s="22">
        <v>1</v>
      </c>
      <c r="Q1125" s="22">
        <v>0</v>
      </c>
      <c r="R1125" s="20"/>
      <c r="S1125" s="234">
        <f>COUNTIFS(INP_DATA!$R$5:$R$3027,S$4,INP_DATA!$D$5:$D$3027,$D1125,INP_DATA!$B$5:$B$3027,$B1125)</f>
        <v>0</v>
      </c>
      <c r="T1125" s="235">
        <f>COUNTIFS(INP_DATA!$R$5:$R$3027,T$4,INP_DATA!$D$5:$D$3027,$D1125,INP_DATA!$B$5:$B$3027,$B1125)</f>
        <v>0</v>
      </c>
    </row>
    <row r="1126" spans="1:20" x14ac:dyDescent="0.35">
      <c r="A1126" s="3" t="s">
        <v>109</v>
      </c>
      <c r="B1126" s="165">
        <v>45536</v>
      </c>
      <c r="C1126" s="57" t="str">
        <f>IF($B1126="","",YEAR($B1126)&amp;"-"&amp;IFERROR(VLOOKUP(MONTH(B1126),KEY!$AE$5:$AF$16,2,FALSE),""))</f>
        <v>2024-Q3</v>
      </c>
      <c r="D1126" s="3" t="s">
        <v>128</v>
      </c>
      <c r="E1126" s="219">
        <v>7</v>
      </c>
      <c r="F1126" s="166">
        <v>210</v>
      </c>
      <c r="G1126" s="166">
        <v>264</v>
      </c>
      <c r="H1126" s="21">
        <v>553</v>
      </c>
      <c r="I1126" s="21">
        <v>80</v>
      </c>
      <c r="J1126" s="21">
        <v>213</v>
      </c>
      <c r="K1126" s="21">
        <v>39</v>
      </c>
      <c r="L1126" s="21">
        <v>371</v>
      </c>
      <c r="M1126" s="21">
        <v>122</v>
      </c>
      <c r="N1126" s="21">
        <v>212</v>
      </c>
      <c r="O1126" s="19">
        <v>308</v>
      </c>
      <c r="P1126" s="22">
        <v>0</v>
      </c>
      <c r="Q1126" s="22">
        <v>0</v>
      </c>
      <c r="R1126" s="20"/>
      <c r="S1126" s="234">
        <f>COUNTIFS(INP_DATA!$R$5:$R$3027,S$4,INP_DATA!$D$5:$D$3027,$D1126,INP_DATA!$B$5:$B$3027,$B1126)</f>
        <v>0</v>
      </c>
      <c r="T1126" s="235">
        <f>COUNTIFS(INP_DATA!$R$5:$R$3027,T$4,INP_DATA!$D$5:$D$3027,$D1126,INP_DATA!$B$5:$B$3027,$B1126)</f>
        <v>0</v>
      </c>
    </row>
    <row r="1127" spans="1:20" x14ac:dyDescent="0.35">
      <c r="A1127" s="3" t="s">
        <v>106</v>
      </c>
      <c r="B1127" s="165">
        <v>45536</v>
      </c>
      <c r="C1127" s="57" t="str">
        <f>IF($B1127="","",YEAR($B1127)&amp;"-"&amp;IFERROR(VLOOKUP(MONTH(B1127),KEY!$AE$5:$AF$16,2,FALSE),""))</f>
        <v>2024-Q3</v>
      </c>
      <c r="D1127" s="3" t="s">
        <v>129</v>
      </c>
      <c r="E1127" s="219">
        <v>18</v>
      </c>
      <c r="F1127" s="166">
        <v>181</v>
      </c>
      <c r="G1127" s="166">
        <v>150</v>
      </c>
      <c r="H1127" s="21">
        <v>260</v>
      </c>
      <c r="I1127" s="21">
        <v>34</v>
      </c>
      <c r="J1127" s="21">
        <v>228</v>
      </c>
      <c r="K1127" s="21">
        <v>33</v>
      </c>
      <c r="L1127" s="21">
        <v>268</v>
      </c>
      <c r="M1127" s="21">
        <v>72</v>
      </c>
      <c r="N1127" s="21">
        <v>183</v>
      </c>
      <c r="O1127" s="19">
        <v>308</v>
      </c>
      <c r="P1127" s="22">
        <v>27</v>
      </c>
      <c r="Q1127" s="22">
        <v>18</v>
      </c>
      <c r="R1127" s="20"/>
      <c r="S1127" s="234">
        <f>COUNTIFS(INP_DATA!$R$5:$R$3027,S$4,INP_DATA!$D$5:$D$3027,$D1127,INP_DATA!$B$5:$B$3027,$B1127)</f>
        <v>0</v>
      </c>
      <c r="T1127" s="235">
        <f>COUNTIFS(INP_DATA!$R$5:$R$3027,T$4,INP_DATA!$D$5:$D$3027,$D1127,INP_DATA!$B$5:$B$3027,$B1127)</f>
        <v>0</v>
      </c>
    </row>
    <row r="1128" spans="1:20" x14ac:dyDescent="0.35">
      <c r="A1128" s="3" t="s">
        <v>108</v>
      </c>
      <c r="B1128" s="165">
        <v>45536</v>
      </c>
      <c r="C1128" s="57" t="str">
        <f>IF($B1128="","",YEAR($B1128)&amp;"-"&amp;IFERROR(VLOOKUP(MONTH(B1128),KEY!$AE$5:$AF$16,2,FALSE),""))</f>
        <v>2024-Q3</v>
      </c>
      <c r="D1128" s="3" t="s">
        <v>130</v>
      </c>
      <c r="E1128" s="219">
        <v>34</v>
      </c>
      <c r="F1128" s="166">
        <v>136</v>
      </c>
      <c r="G1128" s="166">
        <v>159</v>
      </c>
      <c r="H1128" s="21">
        <v>267</v>
      </c>
      <c r="I1128" s="21">
        <v>36</v>
      </c>
      <c r="J1128" s="21">
        <v>114</v>
      </c>
      <c r="K1128" s="21">
        <v>29</v>
      </c>
      <c r="L1128" s="21">
        <v>147</v>
      </c>
      <c r="M1128" s="21">
        <v>69</v>
      </c>
      <c r="N1128" s="21">
        <v>137</v>
      </c>
      <c r="O1128" s="19">
        <v>176</v>
      </c>
      <c r="P1128" s="22">
        <v>21</v>
      </c>
      <c r="Q1128" s="22">
        <v>17</v>
      </c>
      <c r="R1128" s="20"/>
      <c r="S1128" s="234">
        <f>COUNTIFS(INP_DATA!$R$5:$R$3027,S$4,INP_DATA!$D$5:$D$3027,$D1128,INP_DATA!$B$5:$B$3027,$B1128)</f>
        <v>0</v>
      </c>
      <c r="T1128" s="235">
        <f>COUNTIFS(INP_DATA!$R$5:$R$3027,T$4,INP_DATA!$D$5:$D$3027,$D1128,INP_DATA!$B$5:$B$3027,$B1128)</f>
        <v>0</v>
      </c>
    </row>
    <row r="1129" spans="1:20" x14ac:dyDescent="0.35">
      <c r="A1129" s="3" t="s">
        <v>109</v>
      </c>
      <c r="B1129" s="165">
        <v>45536</v>
      </c>
      <c r="C1129" s="57" t="str">
        <f>IF($B1129="","",YEAR($B1129)&amp;"-"&amp;IFERROR(VLOOKUP(MONTH(B1129),KEY!$AE$5:$AF$16,2,FALSE),""))</f>
        <v>2024-Q3</v>
      </c>
      <c r="D1129" s="3" t="s">
        <v>131</v>
      </c>
      <c r="E1129" s="219">
        <v>43</v>
      </c>
      <c r="F1129" s="166">
        <v>128</v>
      </c>
      <c r="G1129" s="166">
        <v>222</v>
      </c>
      <c r="H1129" s="21">
        <v>197</v>
      </c>
      <c r="I1129" s="21">
        <v>16</v>
      </c>
      <c r="J1129" s="21">
        <v>130</v>
      </c>
      <c r="K1129" s="21">
        <v>19</v>
      </c>
      <c r="L1129" s="21">
        <v>248</v>
      </c>
      <c r="M1129" s="21">
        <v>46</v>
      </c>
      <c r="N1129" s="21">
        <v>140</v>
      </c>
      <c r="O1129" s="19">
        <v>308</v>
      </c>
      <c r="P1129" s="22">
        <v>1</v>
      </c>
      <c r="Q1129" s="22">
        <v>1</v>
      </c>
      <c r="R1129" s="20"/>
      <c r="S1129" s="234">
        <f>COUNTIFS(INP_DATA!$R$5:$R$3027,S$4,INP_DATA!$D$5:$D$3027,$D1129,INP_DATA!$B$5:$B$3027,$B1129)</f>
        <v>0</v>
      </c>
      <c r="T1129" s="235">
        <f>COUNTIFS(INP_DATA!$R$5:$R$3027,T$4,INP_DATA!$D$5:$D$3027,$D1129,INP_DATA!$B$5:$B$3027,$B1129)</f>
        <v>0</v>
      </c>
    </row>
    <row r="1130" spans="1:20" x14ac:dyDescent="0.35">
      <c r="A1130" s="3" t="s">
        <v>108</v>
      </c>
      <c r="B1130" s="165">
        <v>45536</v>
      </c>
      <c r="C1130" s="57" t="str">
        <f>IF($B1130="","",YEAR($B1130)&amp;"-"&amp;IFERROR(VLOOKUP(MONTH(B1130),KEY!$AE$5:$AF$16,2,FALSE),""))</f>
        <v>2024-Q3</v>
      </c>
      <c r="D1130" s="3" t="s">
        <v>134</v>
      </c>
      <c r="E1130" s="219">
        <v>6</v>
      </c>
      <c r="F1130" s="166">
        <v>28</v>
      </c>
      <c r="G1130" s="166">
        <v>44</v>
      </c>
      <c r="H1130" s="21">
        <v>45</v>
      </c>
      <c r="I1130" s="21">
        <v>10</v>
      </c>
      <c r="J1130" s="21">
        <v>41</v>
      </c>
      <c r="K1130" s="21">
        <v>7</v>
      </c>
      <c r="L1130" s="21">
        <v>40</v>
      </c>
      <c r="M1130" s="21">
        <v>19</v>
      </c>
      <c r="N1130" s="21">
        <v>28</v>
      </c>
      <c r="O1130" s="19">
        <v>66</v>
      </c>
      <c r="P1130" s="22">
        <v>11</v>
      </c>
      <c r="Q1130" s="22">
        <v>7</v>
      </c>
      <c r="R1130" s="20"/>
      <c r="S1130" s="234">
        <f>COUNTIFS(INP_DATA!$R$5:$R$3027,S$4,INP_DATA!$D$5:$D$3027,$D1130,INP_DATA!$B$5:$B$3027,$B1130)</f>
        <v>0</v>
      </c>
      <c r="T1130" s="235">
        <f>COUNTIFS(INP_DATA!$R$5:$R$3027,T$4,INP_DATA!$D$5:$D$3027,$D1130,INP_DATA!$B$5:$B$3027,$B1130)</f>
        <v>0</v>
      </c>
    </row>
    <row r="1131" spans="1:20" x14ac:dyDescent="0.35">
      <c r="A1131" s="3" t="s">
        <v>108</v>
      </c>
      <c r="B1131" s="165">
        <v>45536</v>
      </c>
      <c r="C1131" s="57" t="str">
        <f>IF($B1131="","",YEAR($B1131)&amp;"-"&amp;IFERROR(VLOOKUP(MONTH(B1131),KEY!$AE$5:$AF$16,2,FALSE),""))</f>
        <v>2024-Q3</v>
      </c>
      <c r="D1131" s="3" t="s">
        <v>135</v>
      </c>
      <c r="E1131" s="219">
        <v>55</v>
      </c>
      <c r="F1131" s="166">
        <v>175</v>
      </c>
      <c r="G1131" s="166">
        <v>240</v>
      </c>
      <c r="H1131" s="21">
        <v>413</v>
      </c>
      <c r="I1131" s="21">
        <v>49</v>
      </c>
      <c r="J1131" s="21">
        <v>238</v>
      </c>
      <c r="K1131" s="21">
        <v>27</v>
      </c>
      <c r="L1131" s="21">
        <v>513</v>
      </c>
      <c r="M1131" s="21">
        <v>84</v>
      </c>
      <c r="N1131" s="21">
        <v>180</v>
      </c>
      <c r="O1131" s="19">
        <v>374</v>
      </c>
      <c r="P1131" s="22">
        <v>24</v>
      </c>
      <c r="Q1131" s="22">
        <v>16</v>
      </c>
      <c r="R1131" s="20"/>
      <c r="S1131" s="234">
        <f>COUNTIFS(INP_DATA!$R$5:$R$3027,S$4,INP_DATA!$D$5:$D$3027,$D1131,INP_DATA!$B$5:$B$3027,$B1131)</f>
        <v>0</v>
      </c>
      <c r="T1131" s="235">
        <f>COUNTIFS(INP_DATA!$R$5:$R$3027,T$4,INP_DATA!$D$5:$D$3027,$D1131,INP_DATA!$B$5:$B$3027,$B1131)</f>
        <v>0</v>
      </c>
    </row>
    <row r="1132" spans="1:20" x14ac:dyDescent="0.35">
      <c r="A1132" s="3" t="s">
        <v>16</v>
      </c>
      <c r="B1132" s="165">
        <v>45536</v>
      </c>
      <c r="C1132" s="57" t="str">
        <f>IF($B1132="","",YEAR($B1132)&amp;"-"&amp;IFERROR(VLOOKUP(MONTH(B1132),KEY!$AE$5:$AF$16,2,FALSE),""))</f>
        <v>2024-Q3</v>
      </c>
      <c r="D1132" s="3" t="s">
        <v>196</v>
      </c>
      <c r="E1132" s="219">
        <v>14</v>
      </c>
      <c r="F1132" s="166">
        <v>51</v>
      </c>
      <c r="G1132" s="166">
        <v>51</v>
      </c>
      <c r="H1132" s="21">
        <v>99</v>
      </c>
      <c r="I1132" s="21">
        <v>12</v>
      </c>
      <c r="J1132" s="21">
        <v>54</v>
      </c>
      <c r="K1132" s="21">
        <v>12</v>
      </c>
      <c r="L1132" s="21">
        <v>133</v>
      </c>
      <c r="M1132" s="21">
        <v>44</v>
      </c>
      <c r="N1132" s="21">
        <v>52</v>
      </c>
      <c r="O1132" s="19">
        <v>132</v>
      </c>
      <c r="P1132" s="22">
        <v>5</v>
      </c>
      <c r="Q1132" s="22">
        <v>4</v>
      </c>
      <c r="R1132" s="20"/>
      <c r="S1132" s="234">
        <f>COUNTIFS(INP_DATA!$R$5:$R$3027,S$4,INP_DATA!$D$5:$D$3027,$D1132,INP_DATA!$B$5:$B$3027,$B1132)</f>
        <v>0</v>
      </c>
      <c r="T1132" s="235">
        <f>COUNTIFS(INP_DATA!$R$5:$R$3027,T$4,INP_DATA!$D$5:$D$3027,$D1132,INP_DATA!$B$5:$B$3027,$B1132)</f>
        <v>0</v>
      </c>
    </row>
    <row r="1133" spans="1:20" x14ac:dyDescent="0.35">
      <c r="A1133" s="3" t="s">
        <v>16</v>
      </c>
      <c r="B1133" s="165">
        <v>45536</v>
      </c>
      <c r="C1133" s="57" t="str">
        <f>IF($B1133="","",YEAR($B1133)&amp;"-"&amp;IFERROR(VLOOKUP(MONTH(B1133),KEY!$AE$5:$AF$16,2,FALSE),""))</f>
        <v>2024-Q3</v>
      </c>
      <c r="D1133" s="3" t="s">
        <v>197</v>
      </c>
      <c r="E1133" s="219">
        <v>21</v>
      </c>
      <c r="F1133" s="166">
        <v>85</v>
      </c>
      <c r="G1133" s="166">
        <v>95</v>
      </c>
      <c r="H1133" s="21">
        <v>99</v>
      </c>
      <c r="I1133" s="21">
        <v>15</v>
      </c>
      <c r="J1133" s="21">
        <v>68</v>
      </c>
      <c r="K1133" s="21">
        <v>16</v>
      </c>
      <c r="L1133" s="21">
        <v>172</v>
      </c>
      <c r="M1133" s="21">
        <v>69</v>
      </c>
      <c r="N1133" s="21">
        <v>87</v>
      </c>
      <c r="O1133" s="19">
        <v>220</v>
      </c>
      <c r="P1133" s="22">
        <v>10</v>
      </c>
      <c r="Q1133" s="22">
        <v>7</v>
      </c>
      <c r="R1133" s="20"/>
      <c r="S1133" s="234">
        <f>COUNTIFS(INP_DATA!$R$5:$R$3027,S$4,INP_DATA!$D$5:$D$3027,$D1133,INP_DATA!$B$5:$B$3027,$B1133)</f>
        <v>0</v>
      </c>
      <c r="T1133" s="235">
        <f>COUNTIFS(INP_DATA!$R$5:$R$3027,T$4,INP_DATA!$D$5:$D$3027,$D1133,INP_DATA!$B$5:$B$3027,$B1133)</f>
        <v>0</v>
      </c>
    </row>
    <row r="1134" spans="1:20" x14ac:dyDescent="0.35">
      <c r="A1134" s="3" t="s">
        <v>109</v>
      </c>
      <c r="B1134" s="165">
        <v>45536</v>
      </c>
      <c r="C1134" s="57" t="str">
        <f>IF($B1134="","",YEAR($B1134)&amp;"-"&amp;IFERROR(VLOOKUP(MONTH(B1134),KEY!$AE$5:$AF$16,2,FALSE),""))</f>
        <v>2024-Q3</v>
      </c>
      <c r="D1134" s="3" t="s">
        <v>136</v>
      </c>
      <c r="E1134" s="219">
        <v>52</v>
      </c>
      <c r="F1134" s="166">
        <v>220</v>
      </c>
      <c r="G1134" s="166">
        <v>261</v>
      </c>
      <c r="H1134" s="21">
        <v>365</v>
      </c>
      <c r="I1134" s="21">
        <v>49</v>
      </c>
      <c r="J1134" s="21">
        <v>206</v>
      </c>
      <c r="K1134" s="21">
        <v>36</v>
      </c>
      <c r="L1134" s="21">
        <v>380</v>
      </c>
      <c r="M1134" s="21">
        <v>138</v>
      </c>
      <c r="N1134" s="21">
        <v>227</v>
      </c>
      <c r="O1134" s="19">
        <v>330</v>
      </c>
      <c r="P1134" s="22">
        <v>18</v>
      </c>
      <c r="Q1134" s="22">
        <v>15</v>
      </c>
      <c r="R1134" s="20"/>
      <c r="S1134" s="234">
        <f>COUNTIFS(INP_DATA!$R$5:$R$3027,S$4,INP_DATA!$D$5:$D$3027,$D1134,INP_DATA!$B$5:$B$3027,$B1134)</f>
        <v>0</v>
      </c>
      <c r="T1134" s="235">
        <f>COUNTIFS(INP_DATA!$R$5:$R$3027,T$4,INP_DATA!$D$5:$D$3027,$D1134,INP_DATA!$B$5:$B$3027,$B1134)</f>
        <v>0</v>
      </c>
    </row>
    <row r="1135" spans="1:20" x14ac:dyDescent="0.35">
      <c r="A1135" s="3" t="s">
        <v>16</v>
      </c>
      <c r="B1135" s="165">
        <v>45536</v>
      </c>
      <c r="C1135" s="57" t="str">
        <f>IF($B1135="","",YEAR($B1135)&amp;"-"&amp;IFERROR(VLOOKUP(MONTH(B1135),KEY!$AE$5:$AF$16,2,FALSE),""))</f>
        <v>2024-Q3</v>
      </c>
      <c r="D1135" s="3" t="s">
        <v>137</v>
      </c>
      <c r="E1135" s="219">
        <v>13</v>
      </c>
      <c r="F1135" s="166">
        <v>83</v>
      </c>
      <c r="G1135" s="166">
        <v>88</v>
      </c>
      <c r="H1135" s="21">
        <v>196</v>
      </c>
      <c r="I1135" s="21">
        <v>27</v>
      </c>
      <c r="J1135" s="21">
        <v>137</v>
      </c>
      <c r="K1135" s="21">
        <v>32</v>
      </c>
      <c r="L1135" s="21">
        <v>108</v>
      </c>
      <c r="M1135" s="21">
        <v>63</v>
      </c>
      <c r="N1135" s="21">
        <v>91</v>
      </c>
      <c r="O1135" s="19">
        <v>154</v>
      </c>
      <c r="P1135" s="22">
        <v>13</v>
      </c>
      <c r="Q1135" s="22">
        <v>3</v>
      </c>
      <c r="R1135" s="20"/>
      <c r="S1135" s="234">
        <f>COUNTIFS(INP_DATA!$R$5:$R$3027,S$4,INP_DATA!$D$5:$D$3027,$D1135,INP_DATA!$B$5:$B$3027,$B1135)</f>
        <v>0</v>
      </c>
      <c r="T1135" s="235">
        <f>COUNTIFS(INP_DATA!$R$5:$R$3027,T$4,INP_DATA!$D$5:$D$3027,$D1135,INP_DATA!$B$5:$B$3027,$B1135)</f>
        <v>0</v>
      </c>
    </row>
    <row r="1136" spans="1:20" x14ac:dyDescent="0.35">
      <c r="A1136" s="3" t="s">
        <v>109</v>
      </c>
      <c r="B1136" s="165">
        <v>45536</v>
      </c>
      <c r="C1136" s="57" t="str">
        <f>IF($B1136="","",YEAR($B1136)&amp;"-"&amp;IFERROR(VLOOKUP(MONTH(B1136),KEY!$AE$5:$AF$16,2,FALSE),""))</f>
        <v>2024-Q3</v>
      </c>
      <c r="D1136" s="3" t="s">
        <v>138</v>
      </c>
      <c r="E1136" s="219">
        <v>32</v>
      </c>
      <c r="F1136" s="166">
        <v>119</v>
      </c>
      <c r="G1136" s="166">
        <v>142</v>
      </c>
      <c r="H1136" s="21">
        <v>120</v>
      </c>
      <c r="I1136" s="21">
        <v>16</v>
      </c>
      <c r="J1136" s="21">
        <v>115</v>
      </c>
      <c r="K1136" s="21">
        <v>36</v>
      </c>
      <c r="L1136" s="21">
        <v>220</v>
      </c>
      <c r="M1136" s="21">
        <v>81</v>
      </c>
      <c r="N1136" s="21">
        <v>121</v>
      </c>
      <c r="O1136" s="19">
        <v>176</v>
      </c>
      <c r="P1136" s="22">
        <v>4</v>
      </c>
      <c r="Q1136" s="22">
        <v>3</v>
      </c>
      <c r="R1136" s="20"/>
      <c r="S1136" s="234">
        <f>COUNTIFS(INP_DATA!$R$5:$R$3027,S$4,INP_DATA!$D$5:$D$3027,$D1136,INP_DATA!$B$5:$B$3027,$B1136)</f>
        <v>0</v>
      </c>
      <c r="T1136" s="235">
        <f>COUNTIFS(INP_DATA!$R$5:$R$3027,T$4,INP_DATA!$D$5:$D$3027,$D1136,INP_DATA!$B$5:$B$3027,$B1136)</f>
        <v>0</v>
      </c>
    </row>
    <row r="1137" spans="1:20" x14ac:dyDescent="0.35">
      <c r="A1137" s="3" t="s">
        <v>108</v>
      </c>
      <c r="B1137" s="165">
        <v>45536</v>
      </c>
      <c r="C1137" s="57" t="str">
        <f>IF($B1137="","",YEAR($B1137)&amp;"-"&amp;IFERROR(VLOOKUP(MONTH(B1137),KEY!$AE$5:$AF$16,2,FALSE),""))</f>
        <v>2024-Q3</v>
      </c>
      <c r="D1137" s="3" t="s">
        <v>139</v>
      </c>
      <c r="E1137" s="219">
        <v>42</v>
      </c>
      <c r="F1137" s="166">
        <v>181</v>
      </c>
      <c r="G1137" s="166">
        <v>149</v>
      </c>
      <c r="H1137" s="21">
        <v>294</v>
      </c>
      <c r="I1137" s="21">
        <v>52</v>
      </c>
      <c r="J1137" s="21">
        <v>108</v>
      </c>
      <c r="K1137" s="21">
        <v>28</v>
      </c>
      <c r="L1137" s="21">
        <v>452</v>
      </c>
      <c r="M1137" s="21">
        <v>117</v>
      </c>
      <c r="N1137" s="21">
        <v>183</v>
      </c>
      <c r="O1137" s="19">
        <v>308</v>
      </c>
      <c r="P1137" s="22">
        <v>25</v>
      </c>
      <c r="Q1137" s="22">
        <v>18</v>
      </c>
      <c r="R1137" s="20"/>
      <c r="S1137" s="234">
        <f>COUNTIFS(INP_DATA!$R$5:$R$3027,S$4,INP_DATA!$D$5:$D$3027,$D1137,INP_DATA!$B$5:$B$3027,$B1137)</f>
        <v>0</v>
      </c>
      <c r="T1137" s="235">
        <f>COUNTIFS(INP_DATA!$R$5:$R$3027,T$4,INP_DATA!$D$5:$D$3027,$D1137,INP_DATA!$B$5:$B$3027,$B1137)</f>
        <v>0</v>
      </c>
    </row>
    <row r="1138" spans="1:20" x14ac:dyDescent="0.35">
      <c r="A1138" s="3" t="s">
        <v>107</v>
      </c>
      <c r="B1138" s="165">
        <v>45536</v>
      </c>
      <c r="C1138" s="57" t="str">
        <f>IF($B1138="","",YEAR($B1138)&amp;"-"&amp;IFERROR(VLOOKUP(MONTH(B1138),KEY!$AE$5:$AF$16,2,FALSE),""))</f>
        <v>2024-Q3</v>
      </c>
      <c r="D1138" s="3" t="s">
        <v>140</v>
      </c>
      <c r="E1138" s="219">
        <v>3</v>
      </c>
      <c r="F1138" s="166">
        <v>30</v>
      </c>
      <c r="G1138" s="166">
        <v>23</v>
      </c>
      <c r="H1138" s="21">
        <v>74</v>
      </c>
      <c r="I1138" s="21">
        <v>15</v>
      </c>
      <c r="J1138" s="21">
        <v>28</v>
      </c>
      <c r="K1138" s="21">
        <v>6</v>
      </c>
      <c r="L1138" s="21">
        <v>80</v>
      </c>
      <c r="M1138" s="21">
        <v>29</v>
      </c>
      <c r="N1138" s="21">
        <v>30</v>
      </c>
      <c r="O1138" s="19">
        <v>66</v>
      </c>
      <c r="P1138" s="22">
        <v>8</v>
      </c>
      <c r="Q1138" s="22">
        <v>3</v>
      </c>
      <c r="R1138" s="20"/>
      <c r="S1138" s="234">
        <f>COUNTIFS(INP_DATA!$R$5:$R$3027,S$4,INP_DATA!$D$5:$D$3027,$D1138,INP_DATA!$B$5:$B$3027,$B1138)</f>
        <v>0</v>
      </c>
      <c r="T1138" s="235">
        <f>COUNTIFS(INP_DATA!$R$5:$R$3027,T$4,INP_DATA!$D$5:$D$3027,$D1138,INP_DATA!$B$5:$B$3027,$B1138)</f>
        <v>0</v>
      </c>
    </row>
    <row r="1139" spans="1:20" x14ac:dyDescent="0.35">
      <c r="A1139" s="3" t="s">
        <v>108</v>
      </c>
      <c r="B1139" s="165">
        <v>45536</v>
      </c>
      <c r="C1139" s="57" t="str">
        <f>IF($B1139="","",YEAR($B1139)&amp;"-"&amp;IFERROR(VLOOKUP(MONTH(B1139),KEY!$AE$5:$AF$16,2,FALSE),""))</f>
        <v>2024-Q3</v>
      </c>
      <c r="D1139" s="3" t="s">
        <v>142</v>
      </c>
      <c r="E1139" s="219">
        <v>20</v>
      </c>
      <c r="F1139" s="166">
        <v>102</v>
      </c>
      <c r="G1139" s="166">
        <v>82</v>
      </c>
      <c r="H1139" s="21">
        <v>174</v>
      </c>
      <c r="I1139" s="21">
        <v>33</v>
      </c>
      <c r="J1139" s="21">
        <v>57</v>
      </c>
      <c r="K1139" s="21">
        <v>15</v>
      </c>
      <c r="L1139" s="21">
        <v>151</v>
      </c>
      <c r="M1139" s="21">
        <v>62</v>
      </c>
      <c r="N1139" s="21">
        <v>102</v>
      </c>
      <c r="O1139" s="19">
        <v>132</v>
      </c>
      <c r="P1139" s="22">
        <v>43</v>
      </c>
      <c r="Q1139" s="22">
        <v>25</v>
      </c>
      <c r="R1139" s="20"/>
      <c r="S1139" s="234">
        <f>COUNTIFS(INP_DATA!$R$5:$R$3027,S$4,INP_DATA!$D$5:$D$3027,$D1139,INP_DATA!$B$5:$B$3027,$B1139)</f>
        <v>0</v>
      </c>
      <c r="T1139" s="235">
        <f>COUNTIFS(INP_DATA!$R$5:$R$3027,T$4,INP_DATA!$D$5:$D$3027,$D1139,INP_DATA!$B$5:$B$3027,$B1139)</f>
        <v>0</v>
      </c>
    </row>
    <row r="1140" spans="1:20" x14ac:dyDescent="0.35">
      <c r="A1140" s="3" t="s">
        <v>16</v>
      </c>
      <c r="B1140" s="165">
        <v>45536</v>
      </c>
      <c r="C1140" s="57" t="str">
        <f>IF($B1140="","",YEAR($B1140)&amp;"-"&amp;IFERROR(VLOOKUP(MONTH(B1140),KEY!$AE$5:$AF$16,2,FALSE),""))</f>
        <v>2024-Q3</v>
      </c>
      <c r="D1140" s="3" t="s">
        <v>143</v>
      </c>
      <c r="E1140" s="219">
        <v>16</v>
      </c>
      <c r="F1140" s="166">
        <v>78</v>
      </c>
      <c r="G1140" s="166">
        <v>64</v>
      </c>
      <c r="H1140" s="21">
        <v>153</v>
      </c>
      <c r="I1140" s="21">
        <v>20</v>
      </c>
      <c r="J1140" s="21">
        <v>55</v>
      </c>
      <c r="K1140" s="21">
        <v>9</v>
      </c>
      <c r="L1140" s="21">
        <v>135</v>
      </c>
      <c r="M1140" s="21">
        <v>49</v>
      </c>
      <c r="N1140" s="21">
        <v>79</v>
      </c>
      <c r="O1140" s="19">
        <v>154</v>
      </c>
      <c r="P1140" s="22">
        <v>5</v>
      </c>
      <c r="Q1140" s="22">
        <v>3</v>
      </c>
      <c r="R1140" s="20"/>
      <c r="S1140" s="234">
        <f>COUNTIFS(INP_DATA!$R$5:$R$3027,S$4,INP_DATA!$D$5:$D$3027,$D1140,INP_DATA!$B$5:$B$3027,$B1140)</f>
        <v>0</v>
      </c>
      <c r="T1140" s="235">
        <f>COUNTIFS(INP_DATA!$R$5:$R$3027,T$4,INP_DATA!$D$5:$D$3027,$D1140,INP_DATA!$B$5:$B$3027,$B1140)</f>
        <v>0</v>
      </c>
    </row>
    <row r="1141" spans="1:20" x14ac:dyDescent="0.35">
      <c r="A1141" s="3" t="s">
        <v>16</v>
      </c>
      <c r="B1141" s="165">
        <v>45536</v>
      </c>
      <c r="C1141" s="57" t="str">
        <f>IF($B1141="","",YEAR($B1141)&amp;"-"&amp;IFERROR(VLOOKUP(MONTH(B1141),KEY!$AE$5:$AF$16,2,FALSE),""))</f>
        <v>2024-Q3</v>
      </c>
      <c r="D1141" s="3" t="s">
        <v>144</v>
      </c>
      <c r="E1141" s="219">
        <v>32</v>
      </c>
      <c r="F1141" s="166">
        <v>172</v>
      </c>
      <c r="G1141" s="166">
        <v>176</v>
      </c>
      <c r="H1141" s="21">
        <v>206</v>
      </c>
      <c r="I1141" s="21">
        <v>38</v>
      </c>
      <c r="J1141" s="21">
        <v>163</v>
      </c>
      <c r="K1141" s="21">
        <v>33</v>
      </c>
      <c r="L1141" s="21">
        <v>325</v>
      </c>
      <c r="M1141" s="21">
        <v>99</v>
      </c>
      <c r="N1141" s="21">
        <v>182</v>
      </c>
      <c r="O1141" s="19">
        <v>396</v>
      </c>
      <c r="P1141" s="22">
        <v>12</v>
      </c>
      <c r="Q1141" s="22">
        <v>10</v>
      </c>
      <c r="R1141" s="20"/>
      <c r="S1141" s="234">
        <f>COUNTIFS(INP_DATA!$R$5:$R$3027,S$4,INP_DATA!$D$5:$D$3027,$D1141,INP_DATA!$B$5:$B$3027,$B1141)</f>
        <v>0</v>
      </c>
      <c r="T1141" s="235">
        <f>COUNTIFS(INP_DATA!$R$5:$R$3027,T$4,INP_DATA!$D$5:$D$3027,$D1141,INP_DATA!$B$5:$B$3027,$B1141)</f>
        <v>0</v>
      </c>
    </row>
    <row r="1142" spans="1:20" x14ac:dyDescent="0.35">
      <c r="A1142" s="3" t="s">
        <v>108</v>
      </c>
      <c r="B1142" s="165">
        <v>45536</v>
      </c>
      <c r="C1142" s="57" t="str">
        <f>IF($B1142="","",YEAR($B1142)&amp;"-"&amp;IFERROR(VLOOKUP(MONTH(B1142),KEY!$AE$5:$AF$16,2,FALSE),""))</f>
        <v>2024-Q3</v>
      </c>
      <c r="D1142" s="3" t="s">
        <v>145</v>
      </c>
      <c r="E1142" s="219">
        <v>50</v>
      </c>
      <c r="F1142" s="166">
        <v>149</v>
      </c>
      <c r="G1142" s="166">
        <v>178</v>
      </c>
      <c r="H1142" s="21">
        <v>293</v>
      </c>
      <c r="I1142" s="21">
        <v>37</v>
      </c>
      <c r="J1142" s="21">
        <v>153</v>
      </c>
      <c r="K1142" s="21">
        <v>32</v>
      </c>
      <c r="L1142" s="21">
        <v>349</v>
      </c>
      <c r="M1142" s="21">
        <v>73</v>
      </c>
      <c r="N1142" s="21">
        <v>150</v>
      </c>
      <c r="O1142" s="19">
        <v>330</v>
      </c>
      <c r="P1142" s="22">
        <v>41</v>
      </c>
      <c r="Q1142" s="22">
        <v>25</v>
      </c>
      <c r="R1142" s="20"/>
      <c r="S1142" s="234">
        <f>COUNTIFS(INP_DATA!$R$5:$R$3027,S$4,INP_DATA!$D$5:$D$3027,$D1142,INP_DATA!$B$5:$B$3027,$B1142)</f>
        <v>0</v>
      </c>
      <c r="T1142" s="235">
        <f>COUNTIFS(INP_DATA!$R$5:$R$3027,T$4,INP_DATA!$D$5:$D$3027,$D1142,INP_DATA!$B$5:$B$3027,$B1142)</f>
        <v>0</v>
      </c>
    </row>
    <row r="1143" spans="1:20" x14ac:dyDescent="0.35">
      <c r="A1143" s="3" t="s">
        <v>16</v>
      </c>
      <c r="B1143" s="165">
        <v>45536</v>
      </c>
      <c r="C1143" s="57" t="str">
        <f>IF($B1143="","",YEAR($B1143)&amp;"-"&amp;IFERROR(VLOOKUP(MONTH(B1143),KEY!$AE$5:$AF$16,2,FALSE),""))</f>
        <v>2024-Q3</v>
      </c>
      <c r="D1143" s="3" t="s">
        <v>146</v>
      </c>
      <c r="E1143" s="219">
        <v>5</v>
      </c>
      <c r="F1143" s="166">
        <v>32</v>
      </c>
      <c r="G1143" s="166">
        <v>49</v>
      </c>
      <c r="H1143" s="21">
        <v>71</v>
      </c>
      <c r="I1143" s="21">
        <v>13</v>
      </c>
      <c r="J1143" s="21">
        <v>34</v>
      </c>
      <c r="K1143" s="21">
        <v>5</v>
      </c>
      <c r="L1143" s="21">
        <v>66</v>
      </c>
      <c r="M1143" s="21">
        <v>28</v>
      </c>
      <c r="N1143" s="21">
        <v>32</v>
      </c>
      <c r="O1143" s="19">
        <v>99</v>
      </c>
      <c r="P1143" s="22">
        <v>5</v>
      </c>
      <c r="Q1143" s="22">
        <v>3</v>
      </c>
      <c r="R1143" s="20"/>
      <c r="S1143" s="234">
        <f>COUNTIFS(INP_DATA!$R$5:$R$3027,S$4,INP_DATA!$D$5:$D$3027,$D1143,INP_DATA!$B$5:$B$3027,$B1143)</f>
        <v>0</v>
      </c>
      <c r="T1143" s="235">
        <f>COUNTIFS(INP_DATA!$R$5:$R$3027,T$4,INP_DATA!$D$5:$D$3027,$D1143,INP_DATA!$B$5:$B$3027,$B1143)</f>
        <v>0</v>
      </c>
    </row>
    <row r="1144" spans="1:20" x14ac:dyDescent="0.35">
      <c r="A1144" s="3" t="s">
        <v>109</v>
      </c>
      <c r="B1144" s="165">
        <v>45536</v>
      </c>
      <c r="C1144" s="57" t="str">
        <f>IF($B1144="","",YEAR($B1144)&amp;"-"&amp;IFERROR(VLOOKUP(MONTH(B1144),KEY!$AE$5:$AF$16,2,FALSE),""))</f>
        <v>2024-Q3</v>
      </c>
      <c r="D1144" s="3" t="s">
        <v>147</v>
      </c>
      <c r="E1144" s="219">
        <v>3</v>
      </c>
      <c r="F1144" s="166">
        <v>40</v>
      </c>
      <c r="G1144" s="166">
        <v>37</v>
      </c>
      <c r="H1144" s="21">
        <v>70</v>
      </c>
      <c r="I1144" s="21">
        <v>12</v>
      </c>
      <c r="J1144" s="21">
        <v>21</v>
      </c>
      <c r="K1144" s="21">
        <v>6</v>
      </c>
      <c r="L1144" s="21">
        <v>78</v>
      </c>
      <c r="M1144" s="21">
        <v>33</v>
      </c>
      <c r="N1144" s="21">
        <v>41</v>
      </c>
      <c r="O1144" s="19">
        <v>66</v>
      </c>
      <c r="P1144" s="22">
        <v>1</v>
      </c>
      <c r="Q1144" s="22">
        <v>0</v>
      </c>
      <c r="R1144" s="20"/>
      <c r="S1144" s="234">
        <f>COUNTIFS(INP_DATA!$R$5:$R$3027,S$4,INP_DATA!$D$5:$D$3027,$D1144,INP_DATA!$B$5:$B$3027,$B1144)</f>
        <v>0</v>
      </c>
      <c r="T1144" s="235">
        <f>COUNTIFS(INP_DATA!$R$5:$R$3027,T$4,INP_DATA!$D$5:$D$3027,$D1144,INP_DATA!$B$5:$B$3027,$B1144)</f>
        <v>0</v>
      </c>
    </row>
    <row r="1145" spans="1:20" x14ac:dyDescent="0.35">
      <c r="A1145" s="3" t="s">
        <v>106</v>
      </c>
      <c r="B1145" s="165">
        <v>45536</v>
      </c>
      <c r="C1145" s="57" t="str">
        <f>IF($B1145="","",YEAR($B1145)&amp;"-"&amp;IFERROR(VLOOKUP(MONTH(B1145),KEY!$AE$5:$AF$16,2,FALSE),""))</f>
        <v>2024-Q3</v>
      </c>
      <c r="D1145" s="3" t="s">
        <v>148</v>
      </c>
      <c r="E1145" s="219">
        <v>14</v>
      </c>
      <c r="F1145" s="166">
        <v>39</v>
      </c>
      <c r="G1145" s="166">
        <v>47</v>
      </c>
      <c r="H1145" s="21">
        <v>82</v>
      </c>
      <c r="I1145" s="21">
        <v>9</v>
      </c>
      <c r="J1145" s="21">
        <v>61</v>
      </c>
      <c r="K1145" s="21">
        <v>5</v>
      </c>
      <c r="L1145" s="21">
        <v>77</v>
      </c>
      <c r="M1145" s="21">
        <v>28</v>
      </c>
      <c r="N1145" s="21">
        <v>41</v>
      </c>
      <c r="O1145" s="19">
        <v>66</v>
      </c>
      <c r="P1145" s="22">
        <v>10</v>
      </c>
      <c r="Q1145" s="22">
        <v>3</v>
      </c>
      <c r="R1145" s="20"/>
      <c r="S1145" s="234">
        <f>COUNTIFS(INP_DATA!$R$5:$R$3027,S$4,INP_DATA!$D$5:$D$3027,$D1145,INP_DATA!$B$5:$B$3027,$B1145)</f>
        <v>0</v>
      </c>
      <c r="T1145" s="235">
        <f>COUNTIFS(INP_DATA!$R$5:$R$3027,T$4,INP_DATA!$D$5:$D$3027,$D1145,INP_DATA!$B$5:$B$3027,$B1145)</f>
        <v>0</v>
      </c>
    </row>
    <row r="1146" spans="1:20" x14ac:dyDescent="0.35">
      <c r="A1146" s="3" t="s">
        <v>107</v>
      </c>
      <c r="B1146" s="165">
        <v>45536</v>
      </c>
      <c r="C1146" s="57" t="str">
        <f>IF($B1146="","",YEAR($B1146)&amp;"-"&amp;IFERROR(VLOOKUP(MONTH(B1146),KEY!$AE$5:$AF$16,2,FALSE),""))</f>
        <v>2024-Q3</v>
      </c>
      <c r="D1146" s="3" t="s">
        <v>149</v>
      </c>
      <c r="E1146" s="219">
        <v>4</v>
      </c>
      <c r="F1146" s="166">
        <v>26</v>
      </c>
      <c r="G1146" s="166">
        <v>23</v>
      </c>
      <c r="H1146" s="21">
        <v>38</v>
      </c>
      <c r="I1146" s="21">
        <v>7</v>
      </c>
      <c r="J1146" s="21">
        <v>13</v>
      </c>
      <c r="K1146" s="21">
        <v>3</v>
      </c>
      <c r="L1146" s="21">
        <v>48</v>
      </c>
      <c r="M1146" s="21">
        <v>22</v>
      </c>
      <c r="N1146" s="21">
        <v>26</v>
      </c>
      <c r="O1146" s="19">
        <v>66</v>
      </c>
      <c r="P1146" s="22">
        <v>0</v>
      </c>
      <c r="Q1146" s="22">
        <v>0</v>
      </c>
      <c r="R1146" s="20"/>
      <c r="S1146" s="234">
        <f>COUNTIFS(INP_DATA!$R$5:$R$3027,S$4,INP_DATA!$D$5:$D$3027,$D1146,INP_DATA!$B$5:$B$3027,$B1146)</f>
        <v>0</v>
      </c>
      <c r="T1146" s="235">
        <f>COUNTIFS(INP_DATA!$R$5:$R$3027,T$4,INP_DATA!$D$5:$D$3027,$D1146,INP_DATA!$B$5:$B$3027,$B1146)</f>
        <v>0</v>
      </c>
    </row>
    <row r="1147" spans="1:20" x14ac:dyDescent="0.35">
      <c r="A1147" s="3" t="s">
        <v>108</v>
      </c>
      <c r="B1147" s="165">
        <v>45536</v>
      </c>
      <c r="C1147" s="57" t="str">
        <f>IF($B1147="","",YEAR($B1147)&amp;"-"&amp;IFERROR(VLOOKUP(MONTH(B1147),KEY!$AE$5:$AF$16,2,FALSE),""))</f>
        <v>2024-Q3</v>
      </c>
      <c r="D1147" s="3" t="s">
        <v>150</v>
      </c>
      <c r="E1147" s="219">
        <v>4</v>
      </c>
      <c r="F1147" s="166">
        <v>43</v>
      </c>
      <c r="G1147" s="166">
        <v>52</v>
      </c>
      <c r="H1147" s="21">
        <v>65</v>
      </c>
      <c r="I1147" s="21">
        <v>12</v>
      </c>
      <c r="J1147" s="21">
        <v>13</v>
      </c>
      <c r="K1147" s="21">
        <v>3</v>
      </c>
      <c r="L1147" s="21">
        <v>77</v>
      </c>
      <c r="M1147" s="21">
        <v>30</v>
      </c>
      <c r="N1147" s="21">
        <v>44</v>
      </c>
      <c r="O1147" s="19">
        <v>66</v>
      </c>
      <c r="P1147" s="22">
        <v>4</v>
      </c>
      <c r="Q1147" s="22">
        <v>2</v>
      </c>
      <c r="R1147" s="20"/>
      <c r="S1147" s="234">
        <f>COUNTIFS(INP_DATA!$R$5:$R$3027,S$4,INP_DATA!$D$5:$D$3027,$D1147,INP_DATA!$B$5:$B$3027,$B1147)</f>
        <v>0</v>
      </c>
      <c r="T1147" s="235">
        <f>COUNTIFS(INP_DATA!$R$5:$R$3027,T$4,INP_DATA!$D$5:$D$3027,$D1147,INP_DATA!$B$5:$B$3027,$B1147)</f>
        <v>0</v>
      </c>
    </row>
    <row r="1148" spans="1:20" x14ac:dyDescent="0.35">
      <c r="A1148" s="3" t="s">
        <v>16</v>
      </c>
      <c r="B1148" s="165">
        <v>45536</v>
      </c>
      <c r="C1148" s="57" t="str">
        <f>IF($B1148="","",YEAR($B1148)&amp;"-"&amp;IFERROR(VLOOKUP(MONTH(B1148),KEY!$AE$5:$AF$16,2,FALSE),""))</f>
        <v>2024-Q3</v>
      </c>
      <c r="D1148" s="3" t="s">
        <v>151</v>
      </c>
      <c r="E1148" s="219">
        <v>7</v>
      </c>
      <c r="F1148" s="166">
        <v>25</v>
      </c>
      <c r="G1148" s="166">
        <v>31</v>
      </c>
      <c r="H1148" s="21">
        <v>63</v>
      </c>
      <c r="I1148" s="21">
        <v>8</v>
      </c>
      <c r="J1148" s="21">
        <v>25</v>
      </c>
      <c r="K1148" s="21">
        <v>8</v>
      </c>
      <c r="L1148" s="21">
        <v>58</v>
      </c>
      <c r="M1148" s="21">
        <v>21</v>
      </c>
      <c r="N1148" s="21">
        <v>25</v>
      </c>
      <c r="O1148" s="19">
        <v>88</v>
      </c>
      <c r="P1148" s="22">
        <v>0</v>
      </c>
      <c r="Q1148" s="22">
        <v>0</v>
      </c>
      <c r="R1148" s="20"/>
      <c r="S1148" s="234">
        <f>COUNTIFS(INP_DATA!$R$5:$R$3027,S$4,INP_DATA!$D$5:$D$3027,$D1148,INP_DATA!$B$5:$B$3027,$B1148)</f>
        <v>0</v>
      </c>
      <c r="T1148" s="235">
        <f>COUNTIFS(INP_DATA!$R$5:$R$3027,T$4,INP_DATA!$D$5:$D$3027,$D1148,INP_DATA!$B$5:$B$3027,$B1148)</f>
        <v>0</v>
      </c>
    </row>
    <row r="1149" spans="1:20" x14ac:dyDescent="0.35">
      <c r="A1149" s="3" t="s">
        <v>106</v>
      </c>
      <c r="B1149" s="165">
        <v>45536</v>
      </c>
      <c r="C1149" s="57" t="str">
        <f>IF($B1149="","",YEAR($B1149)&amp;"-"&amp;IFERROR(VLOOKUP(MONTH(B1149),KEY!$AE$5:$AF$16,2,FALSE),""))</f>
        <v>2024-Q3</v>
      </c>
      <c r="D1149" s="3" t="s">
        <v>152</v>
      </c>
      <c r="E1149" s="219">
        <v>44</v>
      </c>
      <c r="F1149" s="166">
        <v>177</v>
      </c>
      <c r="G1149" s="166">
        <v>215</v>
      </c>
      <c r="H1149" s="21">
        <v>420</v>
      </c>
      <c r="I1149" s="21">
        <v>60</v>
      </c>
      <c r="J1149" s="21">
        <v>125</v>
      </c>
      <c r="K1149" s="21">
        <v>35</v>
      </c>
      <c r="L1149" s="21">
        <v>383</v>
      </c>
      <c r="M1149" s="21">
        <v>141</v>
      </c>
      <c r="N1149" s="21">
        <v>178</v>
      </c>
      <c r="O1149" s="19">
        <v>286</v>
      </c>
      <c r="P1149" s="22">
        <v>66</v>
      </c>
      <c r="Q1149" s="22">
        <v>45</v>
      </c>
      <c r="R1149" s="20"/>
      <c r="S1149" s="234">
        <f>COUNTIFS(INP_DATA!$R$5:$R$3027,S$4,INP_DATA!$D$5:$D$3027,$D1149,INP_DATA!$B$5:$B$3027,$B1149)</f>
        <v>0</v>
      </c>
      <c r="T1149" s="235">
        <f>COUNTIFS(INP_DATA!$R$5:$R$3027,T$4,INP_DATA!$D$5:$D$3027,$D1149,INP_DATA!$B$5:$B$3027,$B1149)</f>
        <v>0</v>
      </c>
    </row>
    <row r="1150" spans="1:20" x14ac:dyDescent="0.35">
      <c r="A1150" s="3" t="s">
        <v>16</v>
      </c>
      <c r="B1150" s="165">
        <v>45536</v>
      </c>
      <c r="C1150" s="57" t="str">
        <f>IF($B1150="","",YEAR($B1150)&amp;"-"&amp;IFERROR(VLOOKUP(MONTH(B1150),KEY!$AE$5:$AF$16,2,FALSE),""))</f>
        <v>2024-Q3</v>
      </c>
      <c r="D1150" s="3" t="s">
        <v>153</v>
      </c>
      <c r="E1150" s="219">
        <v>36</v>
      </c>
      <c r="F1150" s="166">
        <v>92</v>
      </c>
      <c r="G1150" s="166">
        <v>108</v>
      </c>
      <c r="H1150" s="21">
        <v>155</v>
      </c>
      <c r="I1150" s="21">
        <v>21</v>
      </c>
      <c r="J1150" s="21">
        <v>97</v>
      </c>
      <c r="K1150" s="21">
        <v>14</v>
      </c>
      <c r="L1150" s="21">
        <v>320</v>
      </c>
      <c r="M1150" s="21">
        <v>51</v>
      </c>
      <c r="N1150" s="21">
        <v>91</v>
      </c>
      <c r="O1150" s="19">
        <v>286</v>
      </c>
      <c r="P1150" s="22">
        <v>6</v>
      </c>
      <c r="Q1150" s="22">
        <v>4</v>
      </c>
      <c r="R1150" s="20"/>
      <c r="S1150" s="234">
        <f>COUNTIFS(INP_DATA!$R$5:$R$3027,S$4,INP_DATA!$D$5:$D$3027,$D1150,INP_DATA!$B$5:$B$3027,$B1150)</f>
        <v>0</v>
      </c>
      <c r="T1150" s="235">
        <f>COUNTIFS(INP_DATA!$R$5:$R$3027,T$4,INP_DATA!$D$5:$D$3027,$D1150,INP_DATA!$B$5:$B$3027,$B1150)</f>
        <v>0</v>
      </c>
    </row>
    <row r="1151" spans="1:20" x14ac:dyDescent="0.35">
      <c r="A1151" s="3" t="s">
        <v>106</v>
      </c>
      <c r="B1151" s="165">
        <v>45536</v>
      </c>
      <c r="C1151" s="57" t="str">
        <f>IF($B1151="","",YEAR($B1151)&amp;"-"&amp;IFERROR(VLOOKUP(MONTH(B1151),KEY!$AE$5:$AF$16,2,FALSE),""))</f>
        <v>2024-Q3</v>
      </c>
      <c r="D1151" s="3" t="s">
        <v>154</v>
      </c>
      <c r="E1151" s="219">
        <v>15</v>
      </c>
      <c r="F1151" s="166">
        <v>60</v>
      </c>
      <c r="G1151" s="166">
        <v>76</v>
      </c>
      <c r="H1151" s="21">
        <v>347</v>
      </c>
      <c r="I1151" s="21">
        <v>25</v>
      </c>
      <c r="J1151" s="21">
        <v>146</v>
      </c>
      <c r="K1151" s="21">
        <v>13</v>
      </c>
      <c r="L1151" s="21">
        <v>255</v>
      </c>
      <c r="M1151" s="21">
        <v>33</v>
      </c>
      <c r="N1151" s="21">
        <v>60</v>
      </c>
      <c r="O1151" s="19">
        <v>154</v>
      </c>
      <c r="P1151" s="22">
        <v>3</v>
      </c>
      <c r="Q1151" s="22">
        <v>2</v>
      </c>
      <c r="R1151" s="20"/>
      <c r="S1151" s="234">
        <f>COUNTIFS(INP_DATA!$R$5:$R$3027,S$4,INP_DATA!$D$5:$D$3027,$D1151,INP_DATA!$B$5:$B$3027,$B1151)</f>
        <v>0</v>
      </c>
      <c r="T1151" s="235">
        <f>COUNTIFS(INP_DATA!$R$5:$R$3027,T$4,INP_DATA!$D$5:$D$3027,$D1151,INP_DATA!$B$5:$B$3027,$B1151)</f>
        <v>0</v>
      </c>
    </row>
    <row r="1152" spans="1:20" x14ac:dyDescent="0.35">
      <c r="A1152" s="3" t="s">
        <v>109</v>
      </c>
      <c r="B1152" s="165">
        <v>45536</v>
      </c>
      <c r="C1152" s="57" t="str">
        <f>IF($B1152="","",YEAR($B1152)&amp;"-"&amp;IFERROR(VLOOKUP(MONTH(B1152),KEY!$AE$5:$AF$16,2,FALSE),""))</f>
        <v>2024-Q3</v>
      </c>
      <c r="D1152" s="3" t="s">
        <v>155</v>
      </c>
      <c r="E1152" s="219">
        <v>51</v>
      </c>
      <c r="F1152" s="166">
        <v>292</v>
      </c>
      <c r="G1152" s="166">
        <v>302</v>
      </c>
      <c r="H1152" s="21">
        <v>730</v>
      </c>
      <c r="I1152" s="21">
        <v>93</v>
      </c>
      <c r="J1152" s="21">
        <v>207</v>
      </c>
      <c r="K1152" s="21">
        <v>35</v>
      </c>
      <c r="L1152" s="21">
        <v>397</v>
      </c>
      <c r="M1152" s="21">
        <v>129</v>
      </c>
      <c r="N1152" s="21">
        <v>294</v>
      </c>
      <c r="O1152" s="19">
        <v>528</v>
      </c>
      <c r="P1152" s="22">
        <v>23</v>
      </c>
      <c r="Q1152" s="22">
        <v>15</v>
      </c>
      <c r="R1152" s="20"/>
      <c r="S1152" s="234">
        <f>COUNTIFS(INP_DATA!$R$5:$R$3027,S$4,INP_DATA!$D$5:$D$3027,$D1152,INP_DATA!$B$5:$B$3027,$B1152)</f>
        <v>0</v>
      </c>
      <c r="T1152" s="235">
        <f>COUNTIFS(INP_DATA!$R$5:$R$3027,T$4,INP_DATA!$D$5:$D$3027,$D1152,INP_DATA!$B$5:$B$3027,$B1152)</f>
        <v>0</v>
      </c>
    </row>
    <row r="1153" spans="1:20" x14ac:dyDescent="0.35">
      <c r="A1153" s="3" t="s">
        <v>109</v>
      </c>
      <c r="B1153" s="165">
        <v>45536</v>
      </c>
      <c r="C1153" s="57" t="str">
        <f>IF($B1153="","",YEAR($B1153)&amp;"-"&amp;IFERROR(VLOOKUP(MONTH(B1153),KEY!$AE$5:$AF$16,2,FALSE),""))</f>
        <v>2024-Q3</v>
      </c>
      <c r="D1153" s="3" t="s">
        <v>156</v>
      </c>
      <c r="E1153" s="219">
        <v>43</v>
      </c>
      <c r="F1153" s="166">
        <v>189</v>
      </c>
      <c r="G1153" s="166">
        <v>159</v>
      </c>
      <c r="H1153" s="21">
        <v>379</v>
      </c>
      <c r="I1153" s="21">
        <v>59</v>
      </c>
      <c r="J1153" s="21">
        <v>155</v>
      </c>
      <c r="K1153" s="21">
        <v>31</v>
      </c>
      <c r="L1153" s="21">
        <v>266</v>
      </c>
      <c r="M1153" s="21">
        <v>68</v>
      </c>
      <c r="N1153" s="21">
        <v>191</v>
      </c>
      <c r="O1153" s="19">
        <v>374</v>
      </c>
      <c r="P1153" s="22">
        <v>6</v>
      </c>
      <c r="Q1153" s="22">
        <v>1</v>
      </c>
      <c r="R1153" s="20"/>
      <c r="S1153" s="234">
        <f>COUNTIFS(INP_DATA!$R$5:$R$3027,S$4,INP_DATA!$D$5:$D$3027,$D1153,INP_DATA!$B$5:$B$3027,$B1153)</f>
        <v>0</v>
      </c>
      <c r="T1153" s="235">
        <f>COUNTIFS(INP_DATA!$R$5:$R$3027,T$4,INP_DATA!$D$5:$D$3027,$D1153,INP_DATA!$B$5:$B$3027,$B1153)</f>
        <v>0</v>
      </c>
    </row>
    <row r="1154" spans="1:20" x14ac:dyDescent="0.35">
      <c r="A1154" s="3" t="s">
        <v>109</v>
      </c>
      <c r="B1154" s="165">
        <v>45536</v>
      </c>
      <c r="C1154" s="57" t="str">
        <f>IF($B1154="","",YEAR($B1154)&amp;"-"&amp;IFERROR(VLOOKUP(MONTH(B1154),KEY!$AE$5:$AF$16,2,FALSE),""))</f>
        <v>2024-Q3</v>
      </c>
      <c r="D1154" s="3" t="s">
        <v>157</v>
      </c>
      <c r="E1154" s="219">
        <v>4</v>
      </c>
      <c r="F1154" s="166">
        <v>381</v>
      </c>
      <c r="G1154" s="166">
        <v>278</v>
      </c>
      <c r="H1154" s="21">
        <v>734</v>
      </c>
      <c r="I1154" s="21">
        <v>79</v>
      </c>
      <c r="J1154" s="21">
        <v>350</v>
      </c>
      <c r="K1154" s="21">
        <v>49</v>
      </c>
      <c r="L1154" s="21">
        <v>879</v>
      </c>
      <c r="M1154" s="21">
        <v>168</v>
      </c>
      <c r="N1154" s="21">
        <v>382</v>
      </c>
      <c r="O1154" s="19">
        <v>704</v>
      </c>
      <c r="P1154" s="22">
        <v>13</v>
      </c>
      <c r="Q1154" s="22">
        <v>5</v>
      </c>
      <c r="R1154" s="20"/>
      <c r="S1154" s="234">
        <f>COUNTIFS(INP_DATA!$R$5:$R$3027,S$4,INP_DATA!$D$5:$D$3027,$D1154,INP_DATA!$B$5:$B$3027,$B1154)</f>
        <v>0</v>
      </c>
      <c r="T1154" s="235">
        <f>COUNTIFS(INP_DATA!$R$5:$R$3027,T$4,INP_DATA!$D$5:$D$3027,$D1154,INP_DATA!$B$5:$B$3027,$B1154)</f>
        <v>0</v>
      </c>
    </row>
    <row r="1155" spans="1:20" x14ac:dyDescent="0.35">
      <c r="A1155" s="3" t="s">
        <v>16</v>
      </c>
      <c r="B1155" s="165">
        <v>45536</v>
      </c>
      <c r="C1155" s="57" t="str">
        <f>IF($B1155="","",YEAR($B1155)&amp;"-"&amp;IFERROR(VLOOKUP(MONTH(B1155),KEY!$AE$5:$AF$16,2,FALSE),""))</f>
        <v>2024-Q3</v>
      </c>
      <c r="D1155" s="3" t="s">
        <v>158</v>
      </c>
      <c r="E1155" s="219">
        <v>4</v>
      </c>
      <c r="F1155" s="166">
        <v>26</v>
      </c>
      <c r="G1155" s="166">
        <v>33</v>
      </c>
      <c r="H1155" s="21">
        <v>101</v>
      </c>
      <c r="I1155" s="21">
        <v>5</v>
      </c>
      <c r="J1155" s="21">
        <v>32</v>
      </c>
      <c r="K1155" s="21">
        <v>6</v>
      </c>
      <c r="L1155" s="21">
        <v>48</v>
      </c>
      <c r="M1155" s="21">
        <v>14</v>
      </c>
      <c r="N1155" s="21">
        <v>29</v>
      </c>
      <c r="O1155" s="19">
        <v>132</v>
      </c>
      <c r="P1155" s="22">
        <v>3</v>
      </c>
      <c r="Q1155" s="22">
        <v>0</v>
      </c>
      <c r="R1155" s="20"/>
      <c r="S1155" s="234">
        <f>COUNTIFS(INP_DATA!$R$5:$R$3027,S$4,INP_DATA!$D$5:$D$3027,$D1155,INP_DATA!$B$5:$B$3027,$B1155)</f>
        <v>0</v>
      </c>
      <c r="T1155" s="235">
        <f>COUNTIFS(INP_DATA!$R$5:$R$3027,T$4,INP_DATA!$D$5:$D$3027,$D1155,INP_DATA!$B$5:$B$3027,$B1155)</f>
        <v>0</v>
      </c>
    </row>
    <row r="1156" spans="1:20" x14ac:dyDescent="0.35">
      <c r="A1156" s="3" t="s">
        <v>107</v>
      </c>
      <c r="B1156" s="165">
        <v>45536</v>
      </c>
      <c r="C1156" s="57" t="str">
        <f>IF($B1156="","",YEAR($B1156)&amp;"-"&amp;IFERROR(VLOOKUP(MONTH(B1156),KEY!$AE$5:$AF$16,2,FALSE),""))</f>
        <v>2024-Q3</v>
      </c>
      <c r="D1156" s="3" t="s">
        <v>159</v>
      </c>
      <c r="E1156" s="219">
        <v>18</v>
      </c>
      <c r="F1156" s="166">
        <v>121</v>
      </c>
      <c r="G1156" s="166">
        <v>99</v>
      </c>
      <c r="H1156" s="21">
        <v>239</v>
      </c>
      <c r="I1156" s="21">
        <v>48</v>
      </c>
      <c r="J1156" s="21">
        <v>69</v>
      </c>
      <c r="K1156" s="21">
        <v>20</v>
      </c>
      <c r="L1156" s="21">
        <v>234</v>
      </c>
      <c r="M1156" s="21">
        <v>84</v>
      </c>
      <c r="N1156" s="21">
        <v>121</v>
      </c>
      <c r="O1156" s="19">
        <v>220</v>
      </c>
      <c r="P1156" s="22">
        <v>11</v>
      </c>
      <c r="Q1156" s="22">
        <v>8</v>
      </c>
      <c r="R1156" s="20"/>
      <c r="S1156" s="234">
        <f>COUNTIFS(INP_DATA!$R$5:$R$3027,S$4,INP_DATA!$D$5:$D$3027,$D1156,INP_DATA!$B$5:$B$3027,$B1156)</f>
        <v>0</v>
      </c>
      <c r="T1156" s="235">
        <f>COUNTIFS(INP_DATA!$R$5:$R$3027,T$4,INP_DATA!$D$5:$D$3027,$D1156,INP_DATA!$B$5:$B$3027,$B1156)</f>
        <v>0</v>
      </c>
    </row>
    <row r="1157" spans="1:20" x14ac:dyDescent="0.35">
      <c r="A1157" s="3" t="s">
        <v>16</v>
      </c>
      <c r="B1157" s="165">
        <v>45536</v>
      </c>
      <c r="C1157" s="57" t="str">
        <f>IF($B1157="","",YEAR($B1157)&amp;"-"&amp;IFERROR(VLOOKUP(MONTH(B1157),KEY!$AE$5:$AF$16,2,FALSE),""))</f>
        <v>2024-Q3</v>
      </c>
      <c r="D1157" s="3" t="s">
        <v>160</v>
      </c>
      <c r="E1157" s="219">
        <v>46</v>
      </c>
      <c r="F1157" s="166">
        <v>315</v>
      </c>
      <c r="G1157" s="166">
        <v>352</v>
      </c>
      <c r="H1157" s="21">
        <v>626</v>
      </c>
      <c r="I1157" s="21">
        <v>94</v>
      </c>
      <c r="J1157" s="21">
        <v>198</v>
      </c>
      <c r="K1157" s="21">
        <v>37</v>
      </c>
      <c r="L1157" s="21">
        <v>456</v>
      </c>
      <c r="M1157" s="21">
        <v>192</v>
      </c>
      <c r="N1157" s="21">
        <v>315</v>
      </c>
      <c r="O1157" s="19">
        <v>550</v>
      </c>
      <c r="P1157" s="22">
        <v>28</v>
      </c>
      <c r="Q1157" s="22">
        <v>21</v>
      </c>
      <c r="R1157" s="20"/>
      <c r="S1157" s="234">
        <f>COUNTIFS(INP_DATA!$R$5:$R$3027,S$4,INP_DATA!$D$5:$D$3027,$D1157,INP_DATA!$B$5:$B$3027,$B1157)</f>
        <v>0</v>
      </c>
      <c r="T1157" s="235">
        <f>COUNTIFS(INP_DATA!$R$5:$R$3027,T$4,INP_DATA!$D$5:$D$3027,$D1157,INP_DATA!$B$5:$B$3027,$B1157)</f>
        <v>0</v>
      </c>
    </row>
    <row r="1158" spans="1:20" x14ac:dyDescent="0.35">
      <c r="A1158" s="3" t="s">
        <v>106</v>
      </c>
      <c r="B1158" s="165">
        <v>45536</v>
      </c>
      <c r="C1158" s="57" t="str">
        <f>IF($B1158="","",YEAR($B1158)&amp;"-"&amp;IFERROR(VLOOKUP(MONTH(B1158),KEY!$AE$5:$AF$16,2,FALSE),""))</f>
        <v>2024-Q3</v>
      </c>
      <c r="D1158" s="3" t="s">
        <v>161</v>
      </c>
      <c r="E1158" s="219">
        <v>34</v>
      </c>
      <c r="F1158" s="166">
        <v>220</v>
      </c>
      <c r="G1158" s="166">
        <v>292</v>
      </c>
      <c r="H1158" s="21">
        <v>475</v>
      </c>
      <c r="I1158" s="21">
        <v>69</v>
      </c>
      <c r="J1158" s="21">
        <v>205</v>
      </c>
      <c r="K1158" s="21">
        <v>43</v>
      </c>
      <c r="L1158" s="21">
        <v>344</v>
      </c>
      <c r="M1158" s="21">
        <v>106</v>
      </c>
      <c r="N1158" s="21">
        <v>239</v>
      </c>
      <c r="O1158" s="19">
        <v>484</v>
      </c>
      <c r="P1158" s="22">
        <v>16</v>
      </c>
      <c r="Q1158" s="22">
        <v>13</v>
      </c>
      <c r="R1158" s="20"/>
      <c r="S1158" s="234">
        <f>COUNTIFS(INP_DATA!$R$5:$R$3027,S$4,INP_DATA!$D$5:$D$3027,$D1158,INP_DATA!$B$5:$B$3027,$B1158)</f>
        <v>0</v>
      </c>
      <c r="T1158" s="235">
        <f>COUNTIFS(INP_DATA!$R$5:$R$3027,T$4,INP_DATA!$D$5:$D$3027,$D1158,INP_DATA!$B$5:$B$3027,$B1158)</f>
        <v>0</v>
      </c>
    </row>
    <row r="1159" spans="1:20" x14ac:dyDescent="0.35">
      <c r="A1159" s="3" t="s">
        <v>109</v>
      </c>
      <c r="B1159" s="165">
        <v>45536</v>
      </c>
      <c r="C1159" s="57" t="str">
        <f>IF($B1159="","",YEAR($B1159)&amp;"-"&amp;IFERROR(VLOOKUP(MONTH(B1159),KEY!$AE$5:$AF$16,2,FALSE),""))</f>
        <v>2024-Q3</v>
      </c>
      <c r="D1159" s="3" t="s">
        <v>162</v>
      </c>
      <c r="E1159" s="219">
        <v>123</v>
      </c>
      <c r="F1159" s="166">
        <v>351</v>
      </c>
      <c r="G1159" s="166">
        <v>422</v>
      </c>
      <c r="H1159" s="21">
        <v>342</v>
      </c>
      <c r="I1159" s="21">
        <v>73</v>
      </c>
      <c r="J1159" s="21">
        <v>135</v>
      </c>
      <c r="K1159" s="21">
        <v>41</v>
      </c>
      <c r="L1159" s="21">
        <v>863</v>
      </c>
      <c r="M1159" s="21">
        <v>211</v>
      </c>
      <c r="N1159" s="21">
        <v>355</v>
      </c>
      <c r="O1159" s="19">
        <v>704</v>
      </c>
      <c r="P1159" s="22">
        <v>23</v>
      </c>
      <c r="Q1159" s="22">
        <v>17</v>
      </c>
      <c r="R1159" s="20"/>
      <c r="S1159" s="234">
        <f>COUNTIFS(INP_DATA!$R$5:$R$3027,S$4,INP_DATA!$D$5:$D$3027,$D1159,INP_DATA!$B$5:$B$3027,$B1159)</f>
        <v>0</v>
      </c>
      <c r="T1159" s="235">
        <f>COUNTIFS(INP_DATA!$R$5:$R$3027,T$4,INP_DATA!$D$5:$D$3027,$D1159,INP_DATA!$B$5:$B$3027,$B1159)</f>
        <v>0</v>
      </c>
    </row>
    <row r="1160" spans="1:20" x14ac:dyDescent="0.35">
      <c r="A1160" s="3" t="s">
        <v>16</v>
      </c>
      <c r="B1160" s="165">
        <v>45536</v>
      </c>
      <c r="C1160" s="57" t="str">
        <f>IF($B1160="","",YEAR($B1160)&amp;"-"&amp;IFERROR(VLOOKUP(MONTH(B1160),KEY!$AE$5:$AF$16,2,FALSE),""))</f>
        <v>2024-Q3</v>
      </c>
      <c r="D1160" s="3" t="s">
        <v>163</v>
      </c>
      <c r="E1160" s="219">
        <v>63</v>
      </c>
      <c r="F1160" s="166">
        <v>241</v>
      </c>
      <c r="G1160" s="166">
        <v>252</v>
      </c>
      <c r="H1160" s="21">
        <v>381</v>
      </c>
      <c r="I1160" s="21">
        <v>63</v>
      </c>
      <c r="J1160" s="21">
        <v>152</v>
      </c>
      <c r="K1160" s="21">
        <v>35</v>
      </c>
      <c r="L1160" s="21">
        <v>344</v>
      </c>
      <c r="M1160" s="21">
        <v>165</v>
      </c>
      <c r="N1160" s="21">
        <v>245</v>
      </c>
      <c r="O1160" s="19">
        <v>418</v>
      </c>
      <c r="P1160" s="22">
        <v>12</v>
      </c>
      <c r="Q1160" s="22">
        <v>3</v>
      </c>
      <c r="R1160" s="20"/>
      <c r="S1160" s="234">
        <f>COUNTIFS(INP_DATA!$R$5:$R$3027,S$4,INP_DATA!$D$5:$D$3027,$D1160,INP_DATA!$B$5:$B$3027,$B1160)</f>
        <v>0</v>
      </c>
      <c r="T1160" s="235">
        <f>COUNTIFS(INP_DATA!$R$5:$R$3027,T$4,INP_DATA!$D$5:$D$3027,$D1160,INP_DATA!$B$5:$B$3027,$B1160)</f>
        <v>0</v>
      </c>
    </row>
    <row r="1161" spans="1:20" x14ac:dyDescent="0.35">
      <c r="A1161" s="3" t="s">
        <v>16</v>
      </c>
      <c r="B1161" s="165">
        <v>45536</v>
      </c>
      <c r="C1161" s="57" t="str">
        <f>IF($B1161="","",YEAR($B1161)&amp;"-"&amp;IFERROR(VLOOKUP(MONTH(B1161),KEY!$AE$5:$AF$16,2,FALSE),""))</f>
        <v>2024-Q3</v>
      </c>
      <c r="D1161" s="3" t="s">
        <v>164</v>
      </c>
      <c r="E1161" s="219">
        <v>13</v>
      </c>
      <c r="F1161" s="166">
        <v>67</v>
      </c>
      <c r="G1161" s="166">
        <v>81</v>
      </c>
      <c r="H1161" s="21">
        <v>71</v>
      </c>
      <c r="I1161" s="21">
        <v>15</v>
      </c>
      <c r="J1161" s="21">
        <v>25</v>
      </c>
      <c r="K1161" s="21">
        <v>8</v>
      </c>
      <c r="L1161" s="21">
        <v>100</v>
      </c>
      <c r="M1161" s="21">
        <v>47</v>
      </c>
      <c r="N1161" s="21">
        <v>70</v>
      </c>
      <c r="O1161" s="19">
        <v>132</v>
      </c>
      <c r="P1161" s="22">
        <v>20</v>
      </c>
      <c r="Q1161" s="22">
        <v>10</v>
      </c>
      <c r="R1161" s="20"/>
      <c r="S1161" s="234">
        <f>COUNTIFS(INP_DATA!$R$5:$R$3027,S$4,INP_DATA!$D$5:$D$3027,$D1161,INP_DATA!$B$5:$B$3027,$B1161)</f>
        <v>0</v>
      </c>
      <c r="T1161" s="235">
        <f>COUNTIFS(INP_DATA!$R$5:$R$3027,T$4,INP_DATA!$D$5:$D$3027,$D1161,INP_DATA!$B$5:$B$3027,$B1161)</f>
        <v>0</v>
      </c>
    </row>
    <row r="1162" spans="1:20" x14ac:dyDescent="0.35">
      <c r="A1162" s="3" t="s">
        <v>107</v>
      </c>
      <c r="B1162" s="426">
        <v>45536</v>
      </c>
      <c r="C1162" s="427" t="str">
        <f>IF($B1162="","",YEAR($B1162)&amp;"-"&amp;IFERROR(VLOOKUP(MONTH(B1162),KEY!$AE$5:$AF$16,2,FALSE),""))</f>
        <v>2024-Q3</v>
      </c>
      <c r="D1162" s="428" t="s">
        <v>165</v>
      </c>
      <c r="E1162" s="429">
        <v>14</v>
      </c>
      <c r="F1162" s="430">
        <v>58</v>
      </c>
      <c r="G1162" s="430">
        <v>103</v>
      </c>
      <c r="H1162" s="431">
        <v>202</v>
      </c>
      <c r="I1162" s="431">
        <v>23</v>
      </c>
      <c r="J1162" s="431">
        <v>44</v>
      </c>
      <c r="K1162" s="431">
        <v>8</v>
      </c>
      <c r="L1162" s="431">
        <v>92</v>
      </c>
      <c r="M1162" s="431">
        <v>42</v>
      </c>
      <c r="N1162" s="431">
        <v>60</v>
      </c>
      <c r="O1162" s="432">
        <v>176</v>
      </c>
      <c r="P1162" s="433">
        <v>24</v>
      </c>
      <c r="Q1162" s="433">
        <v>15</v>
      </c>
      <c r="R1162" s="20"/>
      <c r="S1162" s="234">
        <f>COUNTIFS(INP_DATA!$R$5:$R$3027,S$4,INP_DATA!$D$5:$D$3027,$D1162,INP_DATA!$B$5:$B$3027,$B1162)</f>
        <v>0</v>
      </c>
      <c r="T1162" s="235">
        <f>COUNTIFS(INP_DATA!$R$5:$R$3027,T$4,INP_DATA!$D$5:$D$3027,$D1162,INP_DATA!$B$5:$B$3027,$B1162)</f>
        <v>0</v>
      </c>
    </row>
    <row r="1163" spans="1:20" x14ac:dyDescent="0.35">
      <c r="A1163" s="3" t="str">
        <f>IF(D1163="","",(VLOOKUP($D1163,KEY!$B$5:$D$74,3,FALSE)))</f>
        <v>Arizona</v>
      </c>
      <c r="B1163" s="165">
        <v>45566</v>
      </c>
      <c r="C1163" s="57" t="str">
        <f>IF($B1163="","",YEAR($B1163)&amp;"-"&amp;IFERROR(VLOOKUP(MONTH(B1163),KEY!$AE$5:$AF$16,2,FALSE),""))</f>
        <v>2024-Q4</v>
      </c>
      <c r="D1163" s="3" t="s">
        <v>111</v>
      </c>
      <c r="E1163" s="219">
        <v>15</v>
      </c>
      <c r="F1163" s="166">
        <v>68</v>
      </c>
      <c r="G1163" s="166">
        <v>72</v>
      </c>
      <c r="H1163" s="21">
        <v>101</v>
      </c>
      <c r="I1163" s="21">
        <v>22</v>
      </c>
      <c r="J1163" s="21">
        <v>46</v>
      </c>
      <c r="K1163" s="21">
        <v>11</v>
      </c>
      <c r="L1163" s="21">
        <v>116</v>
      </c>
      <c r="M1163" s="21">
        <v>57</v>
      </c>
      <c r="N1163" s="21">
        <v>67</v>
      </c>
      <c r="O1163" s="19">
        <v>132</v>
      </c>
      <c r="P1163" s="22">
        <v>16</v>
      </c>
      <c r="Q1163" s="22">
        <v>11</v>
      </c>
      <c r="R1163" s="20"/>
      <c r="S1163" s="234">
        <f>COUNTIFS(INP_DATA!$R$5:$R$3027,S$4,INP_DATA!$D$5:$D$3027,$D1163,INP_DATA!$B$5:$B$3027,$B1163)</f>
        <v>0</v>
      </c>
      <c r="T1163" s="235">
        <f>COUNTIFS(INP_DATA!$R$5:$R$3027,T$4,INP_DATA!$D$5:$D$3027,$D1163,INP_DATA!$B$5:$B$3027,$B1163)</f>
        <v>0</v>
      </c>
    </row>
    <row r="1164" spans="1:20" x14ac:dyDescent="0.35">
      <c r="A1164" s="3" t="str">
        <f>IF(D1164="","",(VLOOKUP($D1164,KEY!$B$5:$D$74,3,FALSE)))</f>
        <v>Southern California</v>
      </c>
      <c r="B1164" s="165">
        <f>B1163</f>
        <v>45566</v>
      </c>
      <c r="C1164" s="57" t="str">
        <f>IF($B1164="","",YEAR($B1164)&amp;"-"&amp;IFERROR(VLOOKUP(MONTH(B1164),KEY!$AE$5:$AF$16,2,FALSE),""))</f>
        <v>2024-Q4</v>
      </c>
      <c r="D1164" s="3" t="s">
        <v>112</v>
      </c>
      <c r="E1164" s="219">
        <v>4</v>
      </c>
      <c r="F1164" s="166">
        <v>34</v>
      </c>
      <c r="G1164" s="166">
        <v>36</v>
      </c>
      <c r="H1164" s="21">
        <v>61</v>
      </c>
      <c r="I1164" s="21">
        <v>8</v>
      </c>
      <c r="J1164" s="21">
        <v>28</v>
      </c>
      <c r="K1164" s="21">
        <v>3</v>
      </c>
      <c r="L1164" s="21">
        <v>80</v>
      </c>
      <c r="M1164" s="21">
        <v>24</v>
      </c>
      <c r="N1164" s="21">
        <v>34</v>
      </c>
      <c r="O1164" s="19">
        <v>88</v>
      </c>
      <c r="P1164" s="22">
        <v>4</v>
      </c>
      <c r="Q1164" s="22">
        <v>0</v>
      </c>
      <c r="R1164" s="20"/>
      <c r="S1164" s="234">
        <f>COUNTIFS(INP_DATA!$R$5:$R$3027,S$4,INP_DATA!$D$5:$D$3027,$D1164,INP_DATA!$B$5:$B$3027,$B1164)</f>
        <v>0</v>
      </c>
      <c r="T1164" s="235">
        <f>COUNTIFS(INP_DATA!$R$5:$R$3027,T$4,INP_DATA!$D$5:$D$3027,$D1164,INP_DATA!$B$5:$B$3027,$B1164)</f>
        <v>0</v>
      </c>
    </row>
    <row r="1165" spans="1:20" x14ac:dyDescent="0.35">
      <c r="A1165" s="3" t="str">
        <f>IF(D1165="","",(VLOOKUP($D1165,KEY!$B$5:$D$74,3,FALSE)))</f>
        <v>Arizona</v>
      </c>
      <c r="B1165" s="165">
        <f t="shared" ref="B1165:B1228" si="0">B1164</f>
        <v>45566</v>
      </c>
      <c r="C1165" s="57" t="str">
        <f>IF($B1165="","",YEAR($B1165)&amp;"-"&amp;IFERROR(VLOOKUP(MONTH(B1165),KEY!$AE$5:$AF$16,2,FALSE),""))</f>
        <v>2024-Q4</v>
      </c>
      <c r="D1165" s="3" t="s">
        <v>113</v>
      </c>
      <c r="E1165" s="219">
        <v>11</v>
      </c>
      <c r="F1165" s="166">
        <v>52</v>
      </c>
      <c r="G1165" s="166">
        <v>74</v>
      </c>
      <c r="H1165" s="21">
        <v>117</v>
      </c>
      <c r="I1165" s="21">
        <v>16</v>
      </c>
      <c r="J1165" s="21">
        <v>56</v>
      </c>
      <c r="K1165" s="21">
        <v>14</v>
      </c>
      <c r="L1165" s="21">
        <v>119</v>
      </c>
      <c r="M1165" s="21">
        <v>47</v>
      </c>
      <c r="N1165" s="21">
        <v>53</v>
      </c>
      <c r="O1165" s="19">
        <v>154</v>
      </c>
      <c r="P1165" s="22">
        <v>11</v>
      </c>
      <c r="Q1165" s="22">
        <v>3</v>
      </c>
      <c r="R1165" s="20"/>
      <c r="S1165" s="234">
        <f>COUNTIFS(INP_DATA!$R$5:$R$3027,S$4,INP_DATA!$D$5:$D$3027,$D1165,INP_DATA!$B$5:$B$3027,$B1165)</f>
        <v>0</v>
      </c>
      <c r="T1165" s="235">
        <f>COUNTIFS(INP_DATA!$R$5:$R$3027,T$4,INP_DATA!$D$5:$D$3027,$D1165,INP_DATA!$B$5:$B$3027,$B1165)</f>
        <v>0</v>
      </c>
    </row>
    <row r="1166" spans="1:20" x14ac:dyDescent="0.35">
      <c r="A1166" s="3" t="str">
        <f>IF(D1166="","",(VLOOKUP($D1166,KEY!$B$5:$D$74,3,FALSE)))</f>
        <v>Southern California</v>
      </c>
      <c r="B1166" s="165">
        <f t="shared" si="0"/>
        <v>45566</v>
      </c>
      <c r="C1166" s="57" t="str">
        <f>IF($B1166="","",YEAR($B1166)&amp;"-"&amp;IFERROR(VLOOKUP(MONTH(B1166),KEY!$AE$5:$AF$16,2,FALSE),""))</f>
        <v>2024-Q4</v>
      </c>
      <c r="D1166" s="3" t="s">
        <v>114</v>
      </c>
      <c r="E1166" s="219">
        <v>11</v>
      </c>
      <c r="F1166" s="166">
        <v>38</v>
      </c>
      <c r="G1166" s="166">
        <v>54</v>
      </c>
      <c r="H1166" s="21">
        <v>82</v>
      </c>
      <c r="I1166" s="21">
        <v>12</v>
      </c>
      <c r="J1166" s="21">
        <v>36</v>
      </c>
      <c r="K1166" s="21">
        <v>9</v>
      </c>
      <c r="L1166" s="21">
        <v>60</v>
      </c>
      <c r="M1166" s="21">
        <v>25</v>
      </c>
      <c r="N1166" s="21">
        <v>43</v>
      </c>
      <c r="O1166" s="19">
        <v>110</v>
      </c>
      <c r="P1166" s="22">
        <v>14</v>
      </c>
      <c r="Q1166" s="22">
        <v>10</v>
      </c>
      <c r="R1166" s="20"/>
      <c r="S1166" s="234">
        <f>COUNTIFS(INP_DATA!$R$5:$R$3027,S$4,INP_DATA!$D$5:$D$3027,$D1166,INP_DATA!$B$5:$B$3027,$B1166)</f>
        <v>0</v>
      </c>
      <c r="T1166" s="235">
        <f>COUNTIFS(INP_DATA!$R$5:$R$3027,T$4,INP_DATA!$D$5:$D$3027,$D1166,INP_DATA!$B$5:$B$3027,$B1166)</f>
        <v>0</v>
      </c>
    </row>
    <row r="1167" spans="1:20" x14ac:dyDescent="0.35">
      <c r="A1167" s="3" t="str">
        <f>IF(D1167="","",(VLOOKUP($D1167,KEY!$B$5:$D$74,3,FALSE)))</f>
        <v>Orange County</v>
      </c>
      <c r="B1167" s="165">
        <f t="shared" si="0"/>
        <v>45566</v>
      </c>
      <c r="C1167" s="57" t="str">
        <f>IF($B1167="","",YEAR($B1167)&amp;"-"&amp;IFERROR(VLOOKUP(MONTH(B1167),KEY!$AE$5:$AF$16,2,FALSE),""))</f>
        <v>2024-Q4</v>
      </c>
      <c r="D1167" s="3" t="s">
        <v>115</v>
      </c>
      <c r="E1167" s="219">
        <v>6</v>
      </c>
      <c r="F1167" s="166">
        <v>44</v>
      </c>
      <c r="G1167" s="166">
        <v>55</v>
      </c>
      <c r="H1167" s="21">
        <v>51</v>
      </c>
      <c r="I1167" s="21">
        <v>10</v>
      </c>
      <c r="J1167" s="21">
        <v>23</v>
      </c>
      <c r="K1167" s="21">
        <v>10</v>
      </c>
      <c r="L1167" s="21">
        <v>59</v>
      </c>
      <c r="M1167" s="21">
        <v>34</v>
      </c>
      <c r="N1167" s="21">
        <v>45</v>
      </c>
      <c r="O1167" s="19">
        <v>110</v>
      </c>
      <c r="P1167" s="22">
        <v>0</v>
      </c>
      <c r="Q1167" s="22">
        <v>0</v>
      </c>
      <c r="R1167" s="20"/>
      <c r="S1167" s="234">
        <f>COUNTIFS(INP_DATA!$R$5:$R$3027,S$4,INP_DATA!$D$5:$D$3027,$D1167,INP_DATA!$B$5:$B$3027,$B1167)</f>
        <v>0</v>
      </c>
      <c r="T1167" s="235">
        <f>COUNTIFS(INP_DATA!$R$5:$R$3027,T$4,INP_DATA!$D$5:$D$3027,$D1167,INP_DATA!$B$5:$B$3027,$B1167)</f>
        <v>0</v>
      </c>
    </row>
    <row r="1168" spans="1:20" x14ac:dyDescent="0.35">
      <c r="A1168" s="3" t="str">
        <f>IF(D1168="","",(VLOOKUP($D1168,KEY!$B$5:$D$74,3,FALSE)))</f>
        <v>Arizona</v>
      </c>
      <c r="B1168" s="165">
        <f t="shared" si="0"/>
        <v>45566</v>
      </c>
      <c r="C1168" s="57" t="str">
        <f>IF($B1168="","",YEAR($B1168)&amp;"-"&amp;IFERROR(VLOOKUP(MONTH(B1168),KEY!$AE$5:$AF$16,2,FALSE),""))</f>
        <v>2024-Q4</v>
      </c>
      <c r="D1168" s="3" t="s">
        <v>116</v>
      </c>
      <c r="E1168" s="219">
        <v>20</v>
      </c>
      <c r="F1168" s="166">
        <v>94</v>
      </c>
      <c r="G1168" s="166">
        <v>130</v>
      </c>
      <c r="H1168" s="21">
        <v>207</v>
      </c>
      <c r="I1168" s="21">
        <v>29</v>
      </c>
      <c r="J1168" s="21">
        <v>79</v>
      </c>
      <c r="K1168" s="21">
        <v>9</v>
      </c>
      <c r="L1168" s="21">
        <v>140</v>
      </c>
      <c r="M1168" s="21">
        <v>54</v>
      </c>
      <c r="N1168" s="21">
        <v>102</v>
      </c>
      <c r="O1168" s="19">
        <v>198</v>
      </c>
      <c r="P1168" s="22">
        <v>9</v>
      </c>
      <c r="Q1168" s="22">
        <v>4</v>
      </c>
      <c r="R1168" s="20"/>
      <c r="S1168" s="234">
        <f>COUNTIFS(INP_DATA!$R$5:$R$3027,S$4,INP_DATA!$D$5:$D$3027,$D1168,INP_DATA!$B$5:$B$3027,$B1168)</f>
        <v>0</v>
      </c>
      <c r="T1168" s="235">
        <f>COUNTIFS(INP_DATA!$R$5:$R$3027,T$4,INP_DATA!$D$5:$D$3027,$D1168,INP_DATA!$B$5:$B$3027,$B1168)</f>
        <v>0</v>
      </c>
    </row>
    <row r="1169" spans="1:20" x14ac:dyDescent="0.35">
      <c r="A1169" s="3" t="str">
        <f>IF(D1169="","",(VLOOKUP($D1169,KEY!$B$5:$D$74,3,FALSE)))</f>
        <v>Northern California</v>
      </c>
      <c r="B1169" s="165">
        <f t="shared" si="0"/>
        <v>45566</v>
      </c>
      <c r="C1169" s="57" t="str">
        <f>IF($B1169="","",YEAR($B1169)&amp;"-"&amp;IFERROR(VLOOKUP(MONTH(B1169),KEY!$AE$5:$AF$16,2,FALSE),""))</f>
        <v>2024-Q4</v>
      </c>
      <c r="D1169" s="3" t="s">
        <v>118</v>
      </c>
      <c r="E1169" s="219">
        <v>33</v>
      </c>
      <c r="F1169" s="166">
        <v>157</v>
      </c>
      <c r="G1169" s="166">
        <v>198</v>
      </c>
      <c r="H1169" s="21">
        <v>473</v>
      </c>
      <c r="I1169" s="21">
        <v>52</v>
      </c>
      <c r="J1169" s="21">
        <v>125</v>
      </c>
      <c r="K1169" s="21">
        <v>31</v>
      </c>
      <c r="L1169" s="21">
        <v>306</v>
      </c>
      <c r="M1169" s="21">
        <v>85</v>
      </c>
      <c r="N1169" s="21">
        <v>161</v>
      </c>
      <c r="O1169" s="19">
        <v>286</v>
      </c>
      <c r="P1169" s="22">
        <v>34</v>
      </c>
      <c r="Q1169" s="22">
        <v>22</v>
      </c>
      <c r="R1169" s="20"/>
      <c r="S1169" s="234">
        <f>COUNTIFS(INP_DATA!$R$5:$R$3027,S$4,INP_DATA!$D$5:$D$3027,$D1169,INP_DATA!$B$5:$B$3027,$B1169)</f>
        <v>0</v>
      </c>
      <c r="T1169" s="235">
        <f>COUNTIFS(INP_DATA!$R$5:$R$3027,T$4,INP_DATA!$D$5:$D$3027,$D1169,INP_DATA!$B$5:$B$3027,$B1169)</f>
        <v>0</v>
      </c>
    </row>
    <row r="1170" spans="1:20" x14ac:dyDescent="0.35">
      <c r="A1170" s="3" t="str">
        <f>IF(D1170="","",(VLOOKUP($D1170,KEY!$B$5:$D$74,3,FALSE)))</f>
        <v>Orange County</v>
      </c>
      <c r="B1170" s="165">
        <f t="shared" si="0"/>
        <v>45566</v>
      </c>
      <c r="C1170" s="57" t="str">
        <f>IF($B1170="","",YEAR($B1170)&amp;"-"&amp;IFERROR(VLOOKUP(MONTH(B1170),KEY!$AE$5:$AF$16,2,FALSE),""))</f>
        <v>2024-Q4</v>
      </c>
      <c r="D1170" s="3" t="s">
        <v>117</v>
      </c>
      <c r="E1170" s="219">
        <v>19</v>
      </c>
      <c r="F1170" s="166">
        <v>76</v>
      </c>
      <c r="G1170" s="166">
        <v>100</v>
      </c>
      <c r="H1170" s="21">
        <v>160</v>
      </c>
      <c r="I1170" s="21">
        <v>24</v>
      </c>
      <c r="J1170" s="21">
        <v>51</v>
      </c>
      <c r="K1170" s="21">
        <v>13</v>
      </c>
      <c r="L1170" s="21">
        <v>127</v>
      </c>
      <c r="M1170" s="21">
        <v>58</v>
      </c>
      <c r="N1170" s="21">
        <v>76</v>
      </c>
      <c r="O1170" s="19">
        <v>132</v>
      </c>
      <c r="P1170" s="22">
        <v>21</v>
      </c>
      <c r="Q1170" s="22">
        <v>12</v>
      </c>
      <c r="R1170" s="20"/>
      <c r="S1170" s="234">
        <f>COUNTIFS(INP_DATA!$R$5:$R$3027,S$4,INP_DATA!$D$5:$D$3027,$D1170,INP_DATA!$B$5:$B$3027,$B1170)</f>
        <v>0</v>
      </c>
      <c r="T1170" s="235">
        <f>COUNTIFS(INP_DATA!$R$5:$R$3027,T$4,INP_DATA!$D$5:$D$3027,$D1170,INP_DATA!$B$5:$B$3027,$B1170)</f>
        <v>0</v>
      </c>
    </row>
    <row r="1171" spans="1:20" x14ac:dyDescent="0.35">
      <c r="A1171" s="3" t="str">
        <f>IF(D1171="","",(VLOOKUP($D1171,KEY!$B$5:$D$74,3,FALSE)))</f>
        <v>Arizona</v>
      </c>
      <c r="B1171" s="165">
        <f t="shared" si="0"/>
        <v>45566</v>
      </c>
      <c r="C1171" s="57" t="str">
        <f>IF($B1171="","",YEAR($B1171)&amp;"-"&amp;IFERROR(VLOOKUP(MONTH(B1171),KEY!$AE$5:$AF$16,2,FALSE),""))</f>
        <v>2024-Q4</v>
      </c>
      <c r="D1171" s="3" t="s">
        <v>119</v>
      </c>
      <c r="E1171" s="219">
        <v>9</v>
      </c>
      <c r="F1171" s="166">
        <v>17</v>
      </c>
      <c r="G1171" s="166">
        <v>12</v>
      </c>
      <c r="H1171" s="21">
        <v>18</v>
      </c>
      <c r="I1171" s="21">
        <v>5</v>
      </c>
      <c r="J1171" s="21">
        <v>10</v>
      </c>
      <c r="K1171" s="21">
        <v>3</v>
      </c>
      <c r="L1171" s="21">
        <v>101</v>
      </c>
      <c r="M1171" s="21">
        <v>11</v>
      </c>
      <c r="N1171" s="21">
        <v>18</v>
      </c>
      <c r="O1171" s="19">
        <v>66</v>
      </c>
      <c r="P1171" s="22">
        <v>1</v>
      </c>
      <c r="Q1171" s="22">
        <v>1</v>
      </c>
      <c r="R1171" s="20"/>
      <c r="S1171" s="234">
        <f>COUNTIFS(INP_DATA!$R$5:$R$3027,S$4,INP_DATA!$D$5:$D$3027,$D1171,INP_DATA!$B$5:$B$3027,$B1171)</f>
        <v>0</v>
      </c>
      <c r="T1171" s="235">
        <f>COUNTIFS(INP_DATA!$R$5:$R$3027,T$4,INP_DATA!$D$5:$D$3027,$D1171,INP_DATA!$B$5:$B$3027,$B1171)</f>
        <v>0</v>
      </c>
    </row>
    <row r="1172" spans="1:20" x14ac:dyDescent="0.35">
      <c r="A1172" s="3" t="str">
        <f>IF(D1172="","",(VLOOKUP($D1172,KEY!$B$5:$D$74,3,FALSE)))</f>
        <v>Michigan &amp; Minnesota</v>
      </c>
      <c r="B1172" s="165">
        <f t="shared" si="0"/>
        <v>45566</v>
      </c>
      <c r="C1172" s="57" t="str">
        <f>IF($B1172="","",YEAR($B1172)&amp;"-"&amp;IFERROR(VLOOKUP(MONTH(B1172),KEY!$AE$5:$AF$16,2,FALSE),""))</f>
        <v>2024-Q4</v>
      </c>
      <c r="D1172" s="3" t="s">
        <v>199</v>
      </c>
      <c r="E1172" s="219">
        <v>0</v>
      </c>
      <c r="F1172" s="166">
        <v>0</v>
      </c>
      <c r="G1172" s="166">
        <v>0</v>
      </c>
      <c r="H1172" s="21">
        <v>1099</v>
      </c>
      <c r="I1172" s="21">
        <v>18</v>
      </c>
      <c r="J1172" s="21">
        <v>973</v>
      </c>
      <c r="K1172" s="21">
        <v>546</v>
      </c>
      <c r="L1172" s="21">
        <v>29</v>
      </c>
      <c r="M1172" s="21">
        <v>13</v>
      </c>
      <c r="N1172" s="21">
        <v>611</v>
      </c>
      <c r="O1172" s="19">
        <v>748</v>
      </c>
      <c r="P1172" s="22">
        <v>0</v>
      </c>
      <c r="Q1172" s="22">
        <v>0</v>
      </c>
      <c r="R1172" s="20"/>
      <c r="S1172" s="234">
        <f>COUNTIFS(INP_DATA!$R$5:$R$3027,S$4,INP_DATA!$D$5:$D$3027,$D1172,INP_DATA!$B$5:$B$3027,$B1172)</f>
        <v>0</v>
      </c>
      <c r="T1172" s="235">
        <f>COUNTIFS(INP_DATA!$R$5:$R$3027,T$4,INP_DATA!$D$5:$D$3027,$D1172,INP_DATA!$B$5:$B$3027,$B1172)</f>
        <v>0</v>
      </c>
    </row>
    <row r="1173" spans="1:20" x14ac:dyDescent="0.35">
      <c r="A1173" s="3" t="str">
        <f>IF(D1173="","",(VLOOKUP($D1173,KEY!$B$5:$D$74,3,FALSE)))</f>
        <v>Arizona</v>
      </c>
      <c r="B1173" s="165">
        <f t="shared" si="0"/>
        <v>45566</v>
      </c>
      <c r="C1173" s="57" t="str">
        <f>IF($B1173="","",YEAR($B1173)&amp;"-"&amp;IFERROR(VLOOKUP(MONTH(B1173),KEY!$AE$5:$AF$16,2,FALSE),""))</f>
        <v>2024-Q4</v>
      </c>
      <c r="D1173" s="3" t="s">
        <v>120</v>
      </c>
      <c r="E1173" s="219">
        <v>85</v>
      </c>
      <c r="F1173" s="166">
        <v>369</v>
      </c>
      <c r="G1173" s="166">
        <v>333</v>
      </c>
      <c r="H1173" s="21">
        <v>608</v>
      </c>
      <c r="I1173" s="21">
        <v>74</v>
      </c>
      <c r="J1173" s="21">
        <v>276</v>
      </c>
      <c r="K1173" s="21">
        <v>49</v>
      </c>
      <c r="L1173" s="21">
        <v>580</v>
      </c>
      <c r="M1173" s="21">
        <v>225</v>
      </c>
      <c r="N1173" s="21">
        <v>371</v>
      </c>
      <c r="O1173" s="19">
        <v>528</v>
      </c>
      <c r="P1173" s="22">
        <v>67</v>
      </c>
      <c r="Q1173" s="22">
        <v>40</v>
      </c>
      <c r="R1173" s="20"/>
      <c r="S1173" s="234">
        <f>COUNTIFS(INP_DATA!$R$5:$R$3027,S$4,INP_DATA!$D$5:$D$3027,$D1173,INP_DATA!$B$5:$B$3027,$B1173)</f>
        <v>0</v>
      </c>
      <c r="T1173" s="235">
        <f>COUNTIFS(INP_DATA!$R$5:$R$3027,T$4,INP_DATA!$D$5:$D$3027,$D1173,INP_DATA!$B$5:$B$3027,$B1173)</f>
        <v>0</v>
      </c>
    </row>
    <row r="1174" spans="1:20" x14ac:dyDescent="0.35">
      <c r="A1174" s="3" t="str">
        <f>IF(D1174="","",(VLOOKUP($D1174,KEY!$B$5:$D$74,3,FALSE)))</f>
        <v>Texas</v>
      </c>
      <c r="B1174" s="165">
        <f t="shared" si="0"/>
        <v>45566</v>
      </c>
      <c r="C1174" s="57" t="str">
        <f>IF($B1174="","",YEAR($B1174)&amp;"-"&amp;IFERROR(VLOOKUP(MONTH(B1174),KEY!$AE$5:$AF$16,2,FALSE),""))</f>
        <v>2024-Q4</v>
      </c>
      <c r="D1174" s="3" t="s">
        <v>121</v>
      </c>
      <c r="E1174" s="219">
        <v>72</v>
      </c>
      <c r="F1174" s="166">
        <v>281</v>
      </c>
      <c r="G1174" s="166">
        <v>233</v>
      </c>
      <c r="H1174" s="21">
        <v>668</v>
      </c>
      <c r="I1174" s="21">
        <v>85</v>
      </c>
      <c r="J1174" s="21">
        <v>247</v>
      </c>
      <c r="K1174" s="21">
        <v>41</v>
      </c>
      <c r="L1174" s="21">
        <v>566</v>
      </c>
      <c r="M1174" s="21">
        <v>182</v>
      </c>
      <c r="N1174" s="21">
        <v>282</v>
      </c>
      <c r="O1174" s="19">
        <v>506</v>
      </c>
      <c r="P1174" s="22">
        <v>23</v>
      </c>
      <c r="Q1174" s="22">
        <v>14</v>
      </c>
      <c r="R1174" s="20"/>
      <c r="S1174" s="234">
        <f>COUNTIFS(INP_DATA!$R$5:$R$3027,S$4,INP_DATA!$D$5:$D$3027,$D1174,INP_DATA!$B$5:$B$3027,$B1174)</f>
        <v>0</v>
      </c>
      <c r="T1174" s="235">
        <f>COUNTIFS(INP_DATA!$R$5:$R$3027,T$4,INP_DATA!$D$5:$D$3027,$D1174,INP_DATA!$B$5:$B$3027,$B1174)</f>
        <v>0</v>
      </c>
    </row>
    <row r="1175" spans="1:20" x14ac:dyDescent="0.35">
      <c r="A1175" s="3" t="str">
        <f>IF(D1175="","",(VLOOKUP($D1175,KEY!$B$5:$D$74,3,FALSE)))</f>
        <v>Michigan &amp; Minnesota</v>
      </c>
      <c r="B1175" s="165">
        <f t="shared" si="0"/>
        <v>45566</v>
      </c>
      <c r="C1175" s="57" t="str">
        <f>IF($B1175="","",YEAR($B1175)&amp;"-"&amp;IFERROR(VLOOKUP(MONTH(B1175),KEY!$AE$5:$AF$16,2,FALSE),""))</f>
        <v>2024-Q4</v>
      </c>
      <c r="D1175" s="3" t="s">
        <v>200</v>
      </c>
      <c r="E1175" s="219">
        <v>3</v>
      </c>
      <c r="F1175" s="166">
        <v>155</v>
      </c>
      <c r="G1175" s="166">
        <v>120</v>
      </c>
      <c r="H1175" s="21">
        <v>277</v>
      </c>
      <c r="I1175" s="21">
        <v>34</v>
      </c>
      <c r="J1175" s="21">
        <v>219</v>
      </c>
      <c r="K1175" s="21">
        <v>26</v>
      </c>
      <c r="L1175" s="21">
        <v>249</v>
      </c>
      <c r="M1175" s="21">
        <v>67</v>
      </c>
      <c r="N1175" s="21">
        <v>155</v>
      </c>
      <c r="O1175" s="19">
        <v>264</v>
      </c>
      <c r="P1175" s="22">
        <v>27</v>
      </c>
      <c r="Q1175" s="22">
        <v>0</v>
      </c>
      <c r="R1175" s="20"/>
      <c r="S1175" s="234">
        <f>COUNTIFS(INP_DATA!$R$5:$R$3027,S$4,INP_DATA!$D$5:$D$3027,$D1175,INP_DATA!$B$5:$B$3027,$B1175)</f>
        <v>0</v>
      </c>
      <c r="T1175" s="235">
        <f>COUNTIFS(INP_DATA!$R$5:$R$3027,T$4,INP_DATA!$D$5:$D$3027,$D1175,INP_DATA!$B$5:$B$3027,$B1175)</f>
        <v>0</v>
      </c>
    </row>
    <row r="1176" spans="1:20" x14ac:dyDescent="0.35">
      <c r="A1176" s="3" t="str">
        <f>IF(D1176="","",(VLOOKUP($D1176,KEY!$B$5:$D$74,3,FALSE)))</f>
        <v>Southern California</v>
      </c>
      <c r="B1176" s="165">
        <f t="shared" si="0"/>
        <v>45566</v>
      </c>
      <c r="C1176" s="57" t="str">
        <f>IF($B1176="","",YEAR($B1176)&amp;"-"&amp;IFERROR(VLOOKUP(MONTH(B1176),KEY!$AE$5:$AF$16,2,FALSE),""))</f>
        <v>2024-Q4</v>
      </c>
      <c r="D1176" s="3" t="s">
        <v>122</v>
      </c>
      <c r="E1176" s="219">
        <v>7</v>
      </c>
      <c r="F1176" s="166">
        <v>98</v>
      </c>
      <c r="G1176" s="166">
        <v>87</v>
      </c>
      <c r="H1176" s="21">
        <v>291</v>
      </c>
      <c r="I1176" s="21">
        <v>37</v>
      </c>
      <c r="J1176" s="21">
        <v>86</v>
      </c>
      <c r="K1176" s="21">
        <v>13</v>
      </c>
      <c r="L1176" s="21">
        <v>154</v>
      </c>
      <c r="M1176" s="21">
        <v>67</v>
      </c>
      <c r="N1176" s="21">
        <v>99</v>
      </c>
      <c r="O1176" s="19">
        <v>176</v>
      </c>
      <c r="P1176" s="22">
        <v>12</v>
      </c>
      <c r="Q1176" s="22">
        <v>0</v>
      </c>
      <c r="R1176" s="20"/>
      <c r="S1176" s="234">
        <f>COUNTIFS(INP_DATA!$R$5:$R$3027,S$4,INP_DATA!$D$5:$D$3027,$D1176,INP_DATA!$B$5:$B$3027,$B1176)</f>
        <v>0</v>
      </c>
      <c r="T1176" s="235">
        <f>COUNTIFS(INP_DATA!$R$5:$R$3027,T$4,INP_DATA!$D$5:$D$3027,$D1176,INP_DATA!$B$5:$B$3027,$B1176)</f>
        <v>0</v>
      </c>
    </row>
    <row r="1177" spans="1:20" x14ac:dyDescent="0.35">
      <c r="A1177" s="3" t="str">
        <f>IF(D1177="","",(VLOOKUP($D1177,KEY!$B$5:$D$74,3,FALSE)))</f>
        <v>Orange County</v>
      </c>
      <c r="B1177" s="165">
        <f t="shared" si="0"/>
        <v>45566</v>
      </c>
      <c r="C1177" s="57" t="str">
        <f>IF($B1177="","",YEAR($B1177)&amp;"-"&amp;IFERROR(VLOOKUP(MONTH(B1177),KEY!$AE$5:$AF$16,2,FALSE),""))</f>
        <v>2024-Q4</v>
      </c>
      <c r="D1177" s="3" t="s">
        <v>123</v>
      </c>
      <c r="E1177" s="219">
        <v>55</v>
      </c>
      <c r="F1177" s="166">
        <v>243</v>
      </c>
      <c r="G1177" s="166">
        <v>211</v>
      </c>
      <c r="H1177" s="21">
        <v>266</v>
      </c>
      <c r="I1177" s="21">
        <v>44</v>
      </c>
      <c r="J1177" s="21">
        <v>137</v>
      </c>
      <c r="K1177" s="21">
        <v>37</v>
      </c>
      <c r="L1177" s="21">
        <v>404</v>
      </c>
      <c r="M1177" s="21">
        <v>203</v>
      </c>
      <c r="N1177" s="21">
        <v>239</v>
      </c>
      <c r="O1177" s="19">
        <v>396</v>
      </c>
      <c r="P1177" s="22">
        <v>18</v>
      </c>
      <c r="Q1177" s="22">
        <v>12</v>
      </c>
      <c r="R1177" s="20"/>
      <c r="S1177" s="234">
        <f>COUNTIFS(INP_DATA!$R$5:$R$3027,S$4,INP_DATA!$D$5:$D$3027,$D1177,INP_DATA!$B$5:$B$3027,$B1177)</f>
        <v>0</v>
      </c>
      <c r="T1177" s="235">
        <f>COUNTIFS(INP_DATA!$R$5:$R$3027,T$4,INP_DATA!$D$5:$D$3027,$D1177,INP_DATA!$B$5:$B$3027,$B1177)</f>
        <v>0</v>
      </c>
    </row>
    <row r="1178" spans="1:20" x14ac:dyDescent="0.35">
      <c r="A1178" s="3" t="str">
        <f>IF(D1178="","",(VLOOKUP($D1178,KEY!$B$5:$D$74,3,FALSE)))</f>
        <v>Southern California</v>
      </c>
      <c r="B1178" s="165">
        <f t="shared" si="0"/>
        <v>45566</v>
      </c>
      <c r="C1178" s="57" t="str">
        <f>IF($B1178="","",YEAR($B1178)&amp;"-"&amp;IFERROR(VLOOKUP(MONTH(B1178),KEY!$AE$5:$AF$16,2,FALSE),""))</f>
        <v>2024-Q4</v>
      </c>
      <c r="D1178" s="3" t="s">
        <v>124</v>
      </c>
      <c r="E1178" s="219">
        <v>81</v>
      </c>
      <c r="F1178" s="166">
        <v>251</v>
      </c>
      <c r="G1178" s="166">
        <v>205</v>
      </c>
      <c r="H1178" s="21">
        <v>344</v>
      </c>
      <c r="I1178" s="21">
        <v>53</v>
      </c>
      <c r="J1178" s="21">
        <v>206</v>
      </c>
      <c r="K1178" s="21">
        <v>43</v>
      </c>
      <c r="L1178" s="21">
        <v>433</v>
      </c>
      <c r="M1178" s="21">
        <v>151</v>
      </c>
      <c r="N1178" s="21">
        <v>250</v>
      </c>
      <c r="O1178" s="19">
        <v>462</v>
      </c>
      <c r="P1178" s="22">
        <v>62</v>
      </c>
      <c r="Q1178" s="22">
        <v>44</v>
      </c>
      <c r="R1178" s="20"/>
      <c r="S1178" s="234">
        <f>COUNTIFS(INP_DATA!$R$5:$R$3027,S$4,INP_DATA!$D$5:$D$3027,$D1178,INP_DATA!$B$5:$B$3027,$B1178)</f>
        <v>0</v>
      </c>
      <c r="T1178" s="235">
        <f>COUNTIFS(INP_DATA!$R$5:$R$3027,T$4,INP_DATA!$D$5:$D$3027,$D1178,INP_DATA!$B$5:$B$3027,$B1178)</f>
        <v>0</v>
      </c>
    </row>
    <row r="1179" spans="1:20" x14ac:dyDescent="0.35">
      <c r="A1179" s="3" t="str">
        <f>IF(D1179="","",(VLOOKUP($D1179,KEY!$B$5:$D$74,3,FALSE)))</f>
        <v>Northern California</v>
      </c>
      <c r="B1179" s="165">
        <f t="shared" si="0"/>
        <v>45566</v>
      </c>
      <c r="C1179" s="57" t="str">
        <f>IF($B1179="","",YEAR($B1179)&amp;"-"&amp;IFERROR(VLOOKUP(MONTH(B1179),KEY!$AE$5:$AF$16,2,FALSE),""))</f>
        <v>2024-Q4</v>
      </c>
      <c r="D1179" s="3" t="s">
        <v>195</v>
      </c>
      <c r="E1179" s="219">
        <v>6</v>
      </c>
      <c r="F1179" s="166">
        <v>47</v>
      </c>
      <c r="G1179" s="166">
        <v>29</v>
      </c>
      <c r="H1179" s="21">
        <v>79</v>
      </c>
      <c r="I1179" s="21">
        <v>13</v>
      </c>
      <c r="J1179" s="21">
        <v>25</v>
      </c>
      <c r="K1179" s="21">
        <v>10</v>
      </c>
      <c r="L1179" s="21">
        <v>114</v>
      </c>
      <c r="M1179" s="21">
        <v>39</v>
      </c>
      <c r="N1179" s="21">
        <v>48</v>
      </c>
      <c r="O1179" s="19">
        <v>132</v>
      </c>
      <c r="P1179" s="22">
        <v>9</v>
      </c>
      <c r="Q1179" s="22">
        <v>9</v>
      </c>
      <c r="R1179" s="20"/>
      <c r="S1179" s="234">
        <f>COUNTIFS(INP_DATA!$R$5:$R$3027,S$4,INP_DATA!$D$5:$D$3027,$D1179,INP_DATA!$B$5:$B$3027,$B1179)</f>
        <v>0</v>
      </c>
      <c r="T1179" s="235">
        <f>COUNTIFS(INP_DATA!$R$5:$R$3027,T$4,INP_DATA!$D$5:$D$3027,$D1179,INP_DATA!$B$5:$B$3027,$B1179)</f>
        <v>0</v>
      </c>
    </row>
    <row r="1180" spans="1:20" x14ac:dyDescent="0.35">
      <c r="A1180" s="3" t="str">
        <f>IF(D1180="","",(VLOOKUP($D1180,KEY!$B$5:$D$74,3,FALSE)))</f>
        <v>Northern California</v>
      </c>
      <c r="B1180" s="165">
        <f t="shared" si="0"/>
        <v>45566</v>
      </c>
      <c r="C1180" s="57" t="str">
        <f>IF($B1180="","",YEAR($B1180)&amp;"-"&amp;IFERROR(VLOOKUP(MONTH(B1180),KEY!$AE$5:$AF$16,2,FALSE),""))</f>
        <v>2024-Q4</v>
      </c>
      <c r="D1180" s="3" t="s">
        <v>125</v>
      </c>
      <c r="E1180" s="219">
        <v>49</v>
      </c>
      <c r="F1180" s="166">
        <v>215</v>
      </c>
      <c r="G1180" s="166">
        <v>241</v>
      </c>
      <c r="H1180" s="21">
        <v>439</v>
      </c>
      <c r="I1180" s="21">
        <v>58</v>
      </c>
      <c r="J1180" s="21">
        <v>110</v>
      </c>
      <c r="K1180" s="21">
        <v>22</v>
      </c>
      <c r="L1180" s="21">
        <v>372</v>
      </c>
      <c r="M1180" s="21">
        <v>87</v>
      </c>
      <c r="N1180" s="21">
        <v>225</v>
      </c>
      <c r="O1180" s="19">
        <v>418</v>
      </c>
      <c r="P1180" s="22">
        <v>10</v>
      </c>
      <c r="Q1180" s="22">
        <v>7</v>
      </c>
      <c r="R1180" s="20"/>
      <c r="S1180" s="234">
        <f>COUNTIFS(INP_DATA!$R$5:$R$3027,S$4,INP_DATA!$D$5:$D$3027,$D1180,INP_DATA!$B$5:$B$3027,$B1180)</f>
        <v>0</v>
      </c>
      <c r="T1180" s="235">
        <f>COUNTIFS(INP_DATA!$R$5:$R$3027,T$4,INP_DATA!$D$5:$D$3027,$D1180,INP_DATA!$B$5:$B$3027,$B1180)</f>
        <v>0</v>
      </c>
    </row>
    <row r="1181" spans="1:20" x14ac:dyDescent="0.35">
      <c r="A1181" s="3" t="str">
        <f>IF(D1181="","",(VLOOKUP($D1181,KEY!$B$5:$D$74,3,FALSE)))</f>
        <v>Orange County</v>
      </c>
      <c r="B1181" s="165">
        <f t="shared" si="0"/>
        <v>45566</v>
      </c>
      <c r="C1181" s="57" t="str">
        <f>IF($B1181="","",YEAR($B1181)&amp;"-"&amp;IFERROR(VLOOKUP(MONTH(B1181),KEY!$AE$5:$AF$16,2,FALSE),""))</f>
        <v>2024-Q4</v>
      </c>
      <c r="D1181" s="3" t="s">
        <v>126</v>
      </c>
      <c r="E1181" s="219">
        <v>82</v>
      </c>
      <c r="F1181" s="166">
        <v>485</v>
      </c>
      <c r="G1181" s="166">
        <v>420</v>
      </c>
      <c r="H1181" s="21">
        <v>441</v>
      </c>
      <c r="I1181" s="21">
        <v>98</v>
      </c>
      <c r="J1181" s="21">
        <v>384</v>
      </c>
      <c r="K1181" s="21">
        <v>101</v>
      </c>
      <c r="L1181" s="21">
        <v>733</v>
      </c>
      <c r="M1181" s="21">
        <v>309</v>
      </c>
      <c r="N1181" s="21">
        <v>488</v>
      </c>
      <c r="O1181" s="19">
        <v>572</v>
      </c>
      <c r="P1181" s="22">
        <v>169</v>
      </c>
      <c r="Q1181" s="22">
        <v>102</v>
      </c>
      <c r="R1181" s="20"/>
      <c r="S1181" s="234">
        <f>COUNTIFS(INP_DATA!$R$5:$R$3027,S$4,INP_DATA!$D$5:$D$3027,$D1181,INP_DATA!$B$5:$B$3027,$B1181)</f>
        <v>0</v>
      </c>
      <c r="T1181" s="235">
        <f>COUNTIFS(INP_DATA!$R$5:$R$3027,T$4,INP_DATA!$D$5:$D$3027,$D1181,INP_DATA!$B$5:$B$3027,$B1181)</f>
        <v>0</v>
      </c>
    </row>
    <row r="1182" spans="1:20" x14ac:dyDescent="0.35">
      <c r="A1182" s="3" t="str">
        <f>IF(D1182="","",(VLOOKUP($D1182,KEY!$B$5:$D$74,3,FALSE)))</f>
        <v>Orange County</v>
      </c>
      <c r="B1182" s="165">
        <f t="shared" si="0"/>
        <v>45566</v>
      </c>
      <c r="C1182" s="57" t="str">
        <f>IF($B1182="","",YEAR($B1182)&amp;"-"&amp;IFERROR(VLOOKUP(MONTH(B1182),KEY!$AE$5:$AF$16,2,FALSE),""))</f>
        <v>2024-Q4</v>
      </c>
      <c r="D1182" s="3" t="s">
        <v>127</v>
      </c>
      <c r="E1182" s="219">
        <v>15</v>
      </c>
      <c r="F1182" s="166">
        <v>51</v>
      </c>
      <c r="G1182" s="166">
        <v>60</v>
      </c>
      <c r="H1182" s="21">
        <v>63</v>
      </c>
      <c r="I1182" s="21">
        <v>10</v>
      </c>
      <c r="J1182" s="21">
        <v>26</v>
      </c>
      <c r="K1182" s="21">
        <v>11</v>
      </c>
      <c r="L1182" s="21">
        <v>74</v>
      </c>
      <c r="M1182" s="21">
        <v>39</v>
      </c>
      <c r="N1182" s="21">
        <v>52</v>
      </c>
      <c r="O1182" s="19">
        <v>88</v>
      </c>
      <c r="P1182" s="22">
        <v>5</v>
      </c>
      <c r="Q1182" s="22">
        <v>3</v>
      </c>
      <c r="R1182" s="20"/>
      <c r="S1182" s="234">
        <f>COUNTIFS(INP_DATA!$R$5:$R$3027,S$4,INP_DATA!$D$5:$D$3027,$D1182,INP_DATA!$B$5:$B$3027,$B1182)</f>
        <v>0</v>
      </c>
      <c r="T1182" s="235">
        <f>COUNTIFS(INP_DATA!$R$5:$R$3027,T$4,INP_DATA!$D$5:$D$3027,$D1182,INP_DATA!$B$5:$B$3027,$B1182)</f>
        <v>0</v>
      </c>
    </row>
    <row r="1183" spans="1:20" x14ac:dyDescent="0.35">
      <c r="A1183" s="3" t="str">
        <f>IF(D1183="","",(VLOOKUP($D1183,KEY!$B$5:$D$74,3,FALSE)))</f>
        <v>Wisconsin</v>
      </c>
      <c r="B1183" s="165">
        <f t="shared" si="0"/>
        <v>45566</v>
      </c>
      <c r="C1183" s="57" t="str">
        <f>IF($B1183="","",YEAR($B1183)&amp;"-"&amp;IFERROR(VLOOKUP(MONTH(B1183),KEY!$AE$5:$AF$16,2,FALSE),""))</f>
        <v>2024-Q4</v>
      </c>
      <c r="D1183" s="3" t="s">
        <v>201</v>
      </c>
      <c r="E1183" s="219">
        <v>19</v>
      </c>
      <c r="F1183" s="166">
        <v>227</v>
      </c>
      <c r="G1183" s="166">
        <v>219</v>
      </c>
      <c r="H1183" s="21">
        <v>288</v>
      </c>
      <c r="I1183" s="21">
        <v>45</v>
      </c>
      <c r="J1183" s="21">
        <v>174</v>
      </c>
      <c r="K1183" s="21">
        <v>40</v>
      </c>
      <c r="L1183" s="21">
        <v>223</v>
      </c>
      <c r="M1183" s="21">
        <v>89</v>
      </c>
      <c r="N1183" s="21">
        <v>229</v>
      </c>
      <c r="O1183" s="19">
        <v>308</v>
      </c>
      <c r="P1183" s="22">
        <v>14</v>
      </c>
      <c r="Q1183" s="22">
        <v>10</v>
      </c>
      <c r="R1183" s="20"/>
      <c r="S1183" s="234">
        <f>COUNTIFS(INP_DATA!$R$5:$R$3027,S$4,INP_DATA!$D$5:$D$3027,$D1183,INP_DATA!$B$5:$B$3027,$B1183)</f>
        <v>0</v>
      </c>
      <c r="T1183" s="235">
        <f>COUNTIFS(INP_DATA!$R$5:$R$3027,T$4,INP_DATA!$D$5:$D$3027,$D1183,INP_DATA!$B$5:$B$3027,$B1183)</f>
        <v>0</v>
      </c>
    </row>
    <row r="1184" spans="1:20" x14ac:dyDescent="0.35">
      <c r="A1184" s="3" t="e">
        <f>IF(D1184="","",(VLOOKUP($D1184,KEY!$B$5:$D$74,3,FALSE)))</f>
        <v>#N/A</v>
      </c>
      <c r="B1184" s="165">
        <f t="shared" si="0"/>
        <v>45566</v>
      </c>
      <c r="C1184" s="57" t="str">
        <f>IF($B1184="","",YEAR($B1184)&amp;"-"&amp;IFERROR(VLOOKUP(MONTH(B1184),KEY!$AE$5:$AF$16,2,FALSE),""))</f>
        <v>2024-Q4</v>
      </c>
      <c r="D1184" s="3" t="s">
        <v>202</v>
      </c>
      <c r="E1184" s="219">
        <v>2</v>
      </c>
      <c r="F1184" s="166">
        <v>34</v>
      </c>
      <c r="G1184" s="166">
        <v>36</v>
      </c>
      <c r="H1184" s="21">
        <v>67</v>
      </c>
      <c r="I1184" s="21">
        <v>14</v>
      </c>
      <c r="J1184" s="21">
        <v>29</v>
      </c>
      <c r="K1184" s="21">
        <v>5</v>
      </c>
      <c r="L1184" s="21">
        <v>41</v>
      </c>
      <c r="M1184" s="21">
        <v>21</v>
      </c>
      <c r="N1184" s="21">
        <v>34</v>
      </c>
      <c r="O1184" s="19">
        <v>66</v>
      </c>
      <c r="P1184" s="22">
        <v>13</v>
      </c>
      <c r="Q1184" s="22">
        <v>0</v>
      </c>
      <c r="R1184" s="20"/>
      <c r="S1184" s="234">
        <f>COUNTIFS(INP_DATA!$R$5:$R$3027,S$4,INP_DATA!$D$5:$D$3027,$D1184,INP_DATA!$B$5:$B$3027,$B1184)</f>
        <v>0</v>
      </c>
      <c r="T1184" s="235">
        <f>COUNTIFS(INP_DATA!$R$5:$R$3027,T$4,INP_DATA!$D$5:$D$3027,$D1184,INP_DATA!$B$5:$B$3027,$B1184)</f>
        <v>0</v>
      </c>
    </row>
    <row r="1185" spans="1:20" x14ac:dyDescent="0.35">
      <c r="A1185" s="3" t="str">
        <f>IF(D1185="","",(VLOOKUP($D1185,KEY!$B$5:$D$74,3,FALSE)))</f>
        <v>Texas</v>
      </c>
      <c r="B1185" s="165">
        <f t="shared" si="0"/>
        <v>45566</v>
      </c>
      <c r="C1185" s="57" t="str">
        <f>IF($B1185="","",YEAR($B1185)&amp;"-"&amp;IFERROR(VLOOKUP(MONTH(B1185),KEY!$AE$5:$AF$16,2,FALSE),""))</f>
        <v>2024-Q4</v>
      </c>
      <c r="D1185" s="3" t="s">
        <v>198</v>
      </c>
      <c r="E1185" s="219">
        <v>3</v>
      </c>
      <c r="F1185" s="166">
        <v>66</v>
      </c>
      <c r="G1185" s="166">
        <v>27</v>
      </c>
      <c r="H1185" s="21">
        <v>193</v>
      </c>
      <c r="I1185" s="21">
        <v>24</v>
      </c>
      <c r="J1185" s="21">
        <v>70</v>
      </c>
      <c r="K1185" s="21">
        <v>13</v>
      </c>
      <c r="L1185" s="21">
        <v>94</v>
      </c>
      <c r="M1185" s="21">
        <v>24</v>
      </c>
      <c r="N1185" s="21">
        <v>66</v>
      </c>
      <c r="O1185" s="19">
        <v>154</v>
      </c>
      <c r="P1185" s="22">
        <v>1</v>
      </c>
      <c r="Q1185" s="22">
        <v>0</v>
      </c>
      <c r="R1185" s="20"/>
      <c r="S1185" s="234">
        <f>COUNTIFS(INP_DATA!$R$5:$R$3027,S$4,INP_DATA!$D$5:$D$3027,$D1185,INP_DATA!$B$5:$B$3027,$B1185)</f>
        <v>0</v>
      </c>
      <c r="T1185" s="235">
        <f>COUNTIFS(INP_DATA!$R$5:$R$3027,T$4,INP_DATA!$D$5:$D$3027,$D1185,INP_DATA!$B$5:$B$3027,$B1185)</f>
        <v>0</v>
      </c>
    </row>
    <row r="1186" spans="1:20" x14ac:dyDescent="0.35">
      <c r="A1186" s="3" t="str">
        <f>IF(D1186="","",(VLOOKUP($D1186,KEY!$B$5:$D$74,3,FALSE)))</f>
        <v>Texas</v>
      </c>
      <c r="B1186" s="165">
        <f t="shared" si="0"/>
        <v>45566</v>
      </c>
      <c r="C1186" s="57" t="str">
        <f>IF($B1186="","",YEAR($B1186)&amp;"-"&amp;IFERROR(VLOOKUP(MONTH(B1186),KEY!$AE$5:$AF$16,2,FALSE),""))</f>
        <v>2024-Q4</v>
      </c>
      <c r="D1186" s="3" t="s">
        <v>128</v>
      </c>
      <c r="E1186" s="219">
        <v>9</v>
      </c>
      <c r="F1186" s="166">
        <v>207</v>
      </c>
      <c r="G1186" s="166">
        <v>243</v>
      </c>
      <c r="H1186" s="21">
        <v>533</v>
      </c>
      <c r="I1186" s="21">
        <v>71</v>
      </c>
      <c r="J1186" s="21">
        <v>267</v>
      </c>
      <c r="K1186" s="21">
        <v>51</v>
      </c>
      <c r="L1186" s="21">
        <v>393</v>
      </c>
      <c r="M1186" s="21">
        <v>132</v>
      </c>
      <c r="N1186" s="21">
        <v>210</v>
      </c>
      <c r="O1186" s="19">
        <v>286</v>
      </c>
      <c r="P1186" s="22">
        <v>0</v>
      </c>
      <c r="Q1186" s="22">
        <v>0</v>
      </c>
      <c r="R1186" s="20"/>
      <c r="S1186" s="234">
        <f>COUNTIFS(INP_DATA!$R$5:$R$3027,S$4,INP_DATA!$D$5:$D$3027,$D1186,INP_DATA!$B$5:$B$3027,$B1186)</f>
        <v>0</v>
      </c>
      <c r="T1186" s="235">
        <f>COUNTIFS(INP_DATA!$R$5:$R$3027,T$4,INP_DATA!$D$5:$D$3027,$D1186,INP_DATA!$B$5:$B$3027,$B1186)</f>
        <v>0</v>
      </c>
    </row>
    <row r="1187" spans="1:20" x14ac:dyDescent="0.35">
      <c r="A1187" s="3" t="str">
        <f>IF(D1187="","",(VLOOKUP($D1187,KEY!$B$5:$D$74,3,FALSE)))</f>
        <v>Northern California</v>
      </c>
      <c r="B1187" s="165">
        <f t="shared" si="0"/>
        <v>45566</v>
      </c>
      <c r="C1187" s="57" t="str">
        <f>IF($B1187="","",YEAR($B1187)&amp;"-"&amp;IFERROR(VLOOKUP(MONTH(B1187),KEY!$AE$5:$AF$16,2,FALSE),""))</f>
        <v>2024-Q4</v>
      </c>
      <c r="D1187" s="3" t="s">
        <v>129</v>
      </c>
      <c r="E1187" s="219">
        <v>16</v>
      </c>
      <c r="F1187" s="166">
        <v>153</v>
      </c>
      <c r="G1187" s="166">
        <v>146</v>
      </c>
      <c r="H1187" s="21">
        <v>296</v>
      </c>
      <c r="I1187" s="21">
        <v>35</v>
      </c>
      <c r="J1187" s="21">
        <v>183</v>
      </c>
      <c r="K1187" s="21">
        <v>29</v>
      </c>
      <c r="L1187" s="21">
        <v>261</v>
      </c>
      <c r="M1187" s="21">
        <v>69</v>
      </c>
      <c r="N1187" s="21">
        <v>155</v>
      </c>
      <c r="O1187" s="19">
        <v>352</v>
      </c>
      <c r="P1187" s="22">
        <v>20</v>
      </c>
      <c r="Q1187" s="22">
        <v>16</v>
      </c>
      <c r="R1187" s="20"/>
      <c r="S1187" s="234">
        <f>COUNTIFS(INP_DATA!$R$5:$R$3027,S$4,INP_DATA!$D$5:$D$3027,$D1187,INP_DATA!$B$5:$B$3027,$B1187)</f>
        <v>0</v>
      </c>
      <c r="T1187" s="235">
        <f>COUNTIFS(INP_DATA!$R$5:$R$3027,T$4,INP_DATA!$D$5:$D$3027,$D1187,INP_DATA!$B$5:$B$3027,$B1187)</f>
        <v>0</v>
      </c>
    </row>
    <row r="1188" spans="1:20" x14ac:dyDescent="0.35">
      <c r="A1188" s="3" t="str">
        <f>IF(D1188="","",(VLOOKUP($D1188,KEY!$B$5:$D$74,3,FALSE)))</f>
        <v>Southern California</v>
      </c>
      <c r="B1188" s="165">
        <f t="shared" si="0"/>
        <v>45566</v>
      </c>
      <c r="C1188" s="57" t="str">
        <f>IF($B1188="","",YEAR($B1188)&amp;"-"&amp;IFERROR(VLOOKUP(MONTH(B1188),KEY!$AE$5:$AF$16,2,FALSE),""))</f>
        <v>2024-Q4</v>
      </c>
      <c r="D1188" s="3" t="s">
        <v>130</v>
      </c>
      <c r="E1188" s="219">
        <v>37</v>
      </c>
      <c r="F1188" s="166">
        <v>147</v>
      </c>
      <c r="G1188" s="166">
        <v>136</v>
      </c>
      <c r="H1188" s="21">
        <v>236</v>
      </c>
      <c r="I1188" s="21">
        <v>35</v>
      </c>
      <c r="J1188" s="21">
        <v>89</v>
      </c>
      <c r="K1188" s="21">
        <v>28</v>
      </c>
      <c r="L1188" s="21">
        <v>156</v>
      </c>
      <c r="M1188" s="21">
        <v>76</v>
      </c>
      <c r="N1188" s="21">
        <v>148</v>
      </c>
      <c r="O1188" s="19">
        <v>198</v>
      </c>
      <c r="P1188" s="22">
        <v>30</v>
      </c>
      <c r="Q1188" s="22">
        <v>18</v>
      </c>
      <c r="R1188" s="20"/>
      <c r="S1188" s="234">
        <f>COUNTIFS(INP_DATA!$R$5:$R$3027,S$4,INP_DATA!$D$5:$D$3027,$D1188,INP_DATA!$B$5:$B$3027,$B1188)</f>
        <v>0</v>
      </c>
      <c r="T1188" s="235">
        <f>COUNTIFS(INP_DATA!$R$5:$R$3027,T$4,INP_DATA!$D$5:$D$3027,$D1188,INP_DATA!$B$5:$B$3027,$B1188)</f>
        <v>0</v>
      </c>
    </row>
    <row r="1189" spans="1:20" x14ac:dyDescent="0.35">
      <c r="A1189" s="3" t="e">
        <f>IF(D1189="","",(VLOOKUP($D1189,KEY!$B$5:$D$74,3,FALSE)))</f>
        <v>#N/A</v>
      </c>
      <c r="B1189" s="165">
        <f t="shared" si="0"/>
        <v>45566</v>
      </c>
      <c r="C1189" s="57" t="str">
        <f>IF($B1189="","",YEAR($B1189)&amp;"-"&amp;IFERROR(VLOOKUP(MONTH(B1189),KEY!$AE$5:$AF$16,2,FALSE),""))</f>
        <v>2024-Q4</v>
      </c>
      <c r="D1189" s="3" t="s">
        <v>203</v>
      </c>
      <c r="E1189" s="219">
        <v>11</v>
      </c>
      <c r="F1189" s="166">
        <v>117</v>
      </c>
      <c r="G1189" s="166">
        <v>80</v>
      </c>
      <c r="H1189" s="21">
        <v>128</v>
      </c>
      <c r="I1189" s="21">
        <v>29</v>
      </c>
      <c r="J1189" s="21">
        <v>54</v>
      </c>
      <c r="K1189" s="21">
        <v>19</v>
      </c>
      <c r="L1189" s="21">
        <v>100</v>
      </c>
      <c r="M1189" s="21">
        <v>54</v>
      </c>
      <c r="N1189" s="21">
        <v>113</v>
      </c>
      <c r="O1189" s="19">
        <v>198</v>
      </c>
      <c r="P1189" s="22">
        <v>16</v>
      </c>
      <c r="Q1189" s="22">
        <v>9</v>
      </c>
      <c r="R1189" s="20"/>
      <c r="S1189" s="234">
        <f>COUNTIFS(INP_DATA!$R$5:$R$3027,S$4,INP_DATA!$D$5:$D$3027,$D1189,INP_DATA!$B$5:$B$3027,$B1189)</f>
        <v>0</v>
      </c>
      <c r="T1189" s="235">
        <f>COUNTIFS(INP_DATA!$R$5:$R$3027,T$4,INP_DATA!$D$5:$D$3027,$D1189,INP_DATA!$B$5:$B$3027,$B1189)</f>
        <v>0</v>
      </c>
    </row>
    <row r="1190" spans="1:20" x14ac:dyDescent="0.35">
      <c r="A1190" s="3">
        <f>IF(D1190="","",(VLOOKUP($D1190,KEY!$B$5:$D$74,3,FALSE)))</f>
        <v>0</v>
      </c>
      <c r="B1190" s="165">
        <f t="shared" si="0"/>
        <v>45566</v>
      </c>
      <c r="C1190" s="57" t="str">
        <f>IF($B1190="","",YEAR($B1190)&amp;"-"&amp;IFERROR(VLOOKUP(MONTH(B1190),KEY!$AE$5:$AF$16,2,FALSE),""))</f>
        <v>2024-Q4</v>
      </c>
      <c r="D1190" s="3" t="s">
        <v>131</v>
      </c>
      <c r="E1190" s="219">
        <v>48</v>
      </c>
      <c r="F1190" s="166">
        <v>145</v>
      </c>
      <c r="G1190" s="166">
        <v>150</v>
      </c>
      <c r="H1190" s="21">
        <v>187</v>
      </c>
      <c r="I1190" s="21">
        <v>10</v>
      </c>
      <c r="J1190" s="21">
        <v>135</v>
      </c>
      <c r="K1190" s="21">
        <v>22</v>
      </c>
      <c r="L1190" s="21">
        <v>301</v>
      </c>
      <c r="M1190" s="21">
        <v>51</v>
      </c>
      <c r="N1190" s="21">
        <v>151</v>
      </c>
      <c r="O1190" s="19">
        <v>308</v>
      </c>
      <c r="P1190" s="22">
        <v>2</v>
      </c>
      <c r="Q1190" s="22">
        <v>1</v>
      </c>
      <c r="R1190" s="20"/>
      <c r="S1190" s="234">
        <f>COUNTIFS(INP_DATA!$R$5:$R$3027,S$4,INP_DATA!$D$5:$D$3027,$D1190,INP_DATA!$B$5:$B$3027,$B1190)</f>
        <v>0</v>
      </c>
      <c r="T1190" s="235">
        <f>COUNTIFS(INP_DATA!$R$5:$R$3027,T$4,INP_DATA!$D$5:$D$3027,$D1190,INP_DATA!$B$5:$B$3027,$B1190)</f>
        <v>0</v>
      </c>
    </row>
    <row r="1191" spans="1:20" x14ac:dyDescent="0.35">
      <c r="A1191" s="3" t="e">
        <f>IF(D1191="","",(VLOOKUP($D1191,KEY!$B$5:$D$74,3,FALSE)))</f>
        <v>#N/A</v>
      </c>
      <c r="B1191" s="165">
        <f t="shared" si="0"/>
        <v>45566</v>
      </c>
      <c r="C1191" s="57" t="str">
        <f>IF($B1191="","",YEAR($B1191)&amp;"-"&amp;IFERROR(VLOOKUP(MONTH(B1191),KEY!$AE$5:$AF$16,2,FALSE),""))</f>
        <v>2024-Q4</v>
      </c>
      <c r="D1191" s="3" t="s">
        <v>134</v>
      </c>
      <c r="E1191" s="219">
        <v>8</v>
      </c>
      <c r="F1191" s="166">
        <v>32</v>
      </c>
      <c r="G1191" s="166">
        <v>34</v>
      </c>
      <c r="H1191" s="21">
        <v>47</v>
      </c>
      <c r="I1191" s="21">
        <v>8</v>
      </c>
      <c r="J1191" s="21">
        <v>27</v>
      </c>
      <c r="K1191" s="21">
        <v>8</v>
      </c>
      <c r="L1191" s="21">
        <v>42</v>
      </c>
      <c r="M1191" s="21">
        <v>20</v>
      </c>
      <c r="N1191" s="21">
        <v>32</v>
      </c>
      <c r="O1191" s="19">
        <v>88</v>
      </c>
      <c r="P1191" s="22">
        <v>8</v>
      </c>
      <c r="Q1191" s="22">
        <v>6</v>
      </c>
      <c r="R1191" s="20"/>
      <c r="S1191" s="234">
        <f>COUNTIFS(INP_DATA!$R$5:$R$3027,S$4,INP_DATA!$D$5:$D$3027,$D1191,INP_DATA!$B$5:$B$3027,$B1191)</f>
        <v>0</v>
      </c>
      <c r="T1191" s="235">
        <f>COUNTIFS(INP_DATA!$R$5:$R$3027,T$4,INP_DATA!$D$5:$D$3027,$D1191,INP_DATA!$B$5:$B$3027,$B1191)</f>
        <v>0</v>
      </c>
    </row>
    <row r="1192" spans="1:20" x14ac:dyDescent="0.35">
      <c r="A1192" s="3" t="str">
        <f>IF(D1192="","",(VLOOKUP($D1192,KEY!$B$5:$D$74,3,FALSE)))</f>
        <v>Southern California</v>
      </c>
      <c r="B1192" s="165">
        <f t="shared" si="0"/>
        <v>45566</v>
      </c>
      <c r="C1192" s="57" t="str">
        <f>IF($B1192="","",YEAR($B1192)&amp;"-"&amp;IFERROR(VLOOKUP(MONTH(B1192),KEY!$AE$5:$AF$16,2,FALSE),""))</f>
        <v>2024-Q4</v>
      </c>
      <c r="D1192" s="3" t="s">
        <v>135</v>
      </c>
      <c r="E1192" s="219">
        <v>38</v>
      </c>
      <c r="F1192" s="166">
        <v>189</v>
      </c>
      <c r="G1192" s="166">
        <v>218</v>
      </c>
      <c r="H1192" s="21">
        <v>458</v>
      </c>
      <c r="I1192" s="21">
        <v>49</v>
      </c>
      <c r="J1192" s="21">
        <v>353</v>
      </c>
      <c r="K1192" s="21">
        <v>28</v>
      </c>
      <c r="L1192" s="21">
        <v>493</v>
      </c>
      <c r="M1192" s="21">
        <v>103</v>
      </c>
      <c r="N1192" s="21">
        <v>196</v>
      </c>
      <c r="O1192" s="19">
        <v>352</v>
      </c>
      <c r="P1192" s="22">
        <v>9</v>
      </c>
      <c r="Q1192" s="22">
        <v>7</v>
      </c>
      <c r="R1192" s="20"/>
      <c r="S1192" s="234">
        <f>COUNTIFS(INP_DATA!$R$5:$R$3027,S$4,INP_DATA!$D$5:$D$3027,$D1192,INP_DATA!$B$5:$B$3027,$B1192)</f>
        <v>0</v>
      </c>
      <c r="T1192" s="235">
        <f>COUNTIFS(INP_DATA!$R$5:$R$3027,T$4,INP_DATA!$D$5:$D$3027,$D1192,INP_DATA!$B$5:$B$3027,$B1192)</f>
        <v>0</v>
      </c>
    </row>
    <row r="1193" spans="1:20" x14ac:dyDescent="0.35">
      <c r="A1193" s="3" t="str">
        <f>IF(D1193="","",(VLOOKUP($D1193,KEY!$B$5:$D$74,3,FALSE)))</f>
        <v>Arizona</v>
      </c>
      <c r="B1193" s="165">
        <f t="shared" si="0"/>
        <v>45566</v>
      </c>
      <c r="C1193" s="57" t="str">
        <f>IF($B1193="","",YEAR($B1193)&amp;"-"&amp;IFERROR(VLOOKUP(MONTH(B1193),KEY!$AE$5:$AF$16,2,FALSE),""))</f>
        <v>2024-Q4</v>
      </c>
      <c r="D1193" s="3" t="s">
        <v>204</v>
      </c>
      <c r="E1193" s="219">
        <v>4</v>
      </c>
      <c r="F1193" s="166">
        <v>17</v>
      </c>
      <c r="G1193" s="166">
        <v>11</v>
      </c>
      <c r="H1193" s="21">
        <v>36</v>
      </c>
      <c r="I1193" s="21">
        <v>1</v>
      </c>
      <c r="J1193" s="21">
        <v>20</v>
      </c>
      <c r="K1193" s="21">
        <v>4</v>
      </c>
      <c r="L1193" s="21">
        <v>28</v>
      </c>
      <c r="M1193" s="21">
        <v>5</v>
      </c>
      <c r="N1193" s="21">
        <v>20</v>
      </c>
      <c r="O1193" s="19">
        <v>22</v>
      </c>
      <c r="P1193" s="22">
        <v>0</v>
      </c>
      <c r="Q1193" s="22">
        <v>0</v>
      </c>
      <c r="R1193" s="20"/>
      <c r="S1193" s="234">
        <f>COUNTIFS(INP_DATA!$R$5:$R$3027,S$4,INP_DATA!$D$5:$D$3027,$D1193,INP_DATA!$B$5:$B$3027,$B1193)</f>
        <v>0</v>
      </c>
      <c r="T1193" s="235">
        <f>COUNTIFS(INP_DATA!$R$5:$R$3027,T$4,INP_DATA!$D$5:$D$3027,$D1193,INP_DATA!$B$5:$B$3027,$B1193)</f>
        <v>0</v>
      </c>
    </row>
    <row r="1194" spans="1:20" x14ac:dyDescent="0.35">
      <c r="A1194" s="3" t="str">
        <f>IF(D1194="","",(VLOOKUP($D1194,KEY!$B$5:$D$74,3,FALSE)))</f>
        <v>Arizona</v>
      </c>
      <c r="B1194" s="165">
        <f t="shared" si="0"/>
        <v>45566</v>
      </c>
      <c r="C1194" s="57" t="str">
        <f>IF($B1194="","",YEAR($B1194)&amp;"-"&amp;IFERROR(VLOOKUP(MONTH(B1194),KEY!$AE$5:$AF$16,2,FALSE),""))</f>
        <v>2024-Q4</v>
      </c>
      <c r="D1194" s="3" t="s">
        <v>196</v>
      </c>
      <c r="E1194" s="219">
        <v>15</v>
      </c>
      <c r="F1194" s="166">
        <v>85</v>
      </c>
      <c r="G1194" s="166">
        <v>81</v>
      </c>
      <c r="H1194" s="21">
        <v>90</v>
      </c>
      <c r="I1194" s="21">
        <v>17</v>
      </c>
      <c r="J1194" s="21">
        <v>57</v>
      </c>
      <c r="K1194" s="21">
        <v>11</v>
      </c>
      <c r="L1194" s="21">
        <v>111</v>
      </c>
      <c r="M1194" s="21">
        <v>44</v>
      </c>
      <c r="N1194" s="21">
        <v>56</v>
      </c>
      <c r="O1194" s="19">
        <v>110</v>
      </c>
      <c r="P1194" s="22">
        <v>2</v>
      </c>
      <c r="Q1194" s="22">
        <v>1</v>
      </c>
      <c r="R1194" s="20"/>
      <c r="S1194" s="234">
        <f>COUNTIFS(INP_DATA!$R$5:$R$3027,S$4,INP_DATA!$D$5:$D$3027,$D1194,INP_DATA!$B$5:$B$3027,$B1194)</f>
        <v>0</v>
      </c>
      <c r="T1194" s="235">
        <f>COUNTIFS(INP_DATA!$R$5:$R$3027,T$4,INP_DATA!$D$5:$D$3027,$D1194,INP_DATA!$B$5:$B$3027,$B1194)</f>
        <v>0</v>
      </c>
    </row>
    <row r="1195" spans="1:20" x14ac:dyDescent="0.35">
      <c r="A1195" s="3" t="str">
        <f>IF(D1195="","",(VLOOKUP($D1195,KEY!$B$5:$D$74,3,FALSE)))</f>
        <v>Arizona</v>
      </c>
      <c r="B1195" s="165">
        <f t="shared" si="0"/>
        <v>45566</v>
      </c>
      <c r="C1195" s="57" t="str">
        <f>IF($B1195="","",YEAR($B1195)&amp;"-"&amp;IFERROR(VLOOKUP(MONTH(B1195),KEY!$AE$5:$AF$16,2,FALSE),""))</f>
        <v>2024-Q4</v>
      </c>
      <c r="D1195" s="3" t="s">
        <v>197</v>
      </c>
      <c r="E1195" s="219">
        <v>23</v>
      </c>
      <c r="F1195" s="166">
        <v>114</v>
      </c>
      <c r="G1195" s="166">
        <v>73</v>
      </c>
      <c r="H1195" s="21">
        <v>149</v>
      </c>
      <c r="I1195" s="21">
        <v>21</v>
      </c>
      <c r="J1195" s="21">
        <v>103</v>
      </c>
      <c r="K1195" s="21">
        <v>26</v>
      </c>
      <c r="L1195" s="21">
        <v>201</v>
      </c>
      <c r="M1195" s="21">
        <v>84</v>
      </c>
      <c r="N1195" s="21">
        <v>117</v>
      </c>
      <c r="O1195" s="19">
        <v>220</v>
      </c>
      <c r="P1195" s="22">
        <v>18</v>
      </c>
      <c r="Q1195" s="22">
        <v>12</v>
      </c>
      <c r="R1195" s="20"/>
      <c r="S1195" s="234">
        <f>COUNTIFS(INP_DATA!$R$5:$R$3027,S$4,INP_DATA!$D$5:$D$3027,$D1195,INP_DATA!$B$5:$B$3027,$B1195)</f>
        <v>0</v>
      </c>
      <c r="T1195" s="235">
        <f>COUNTIFS(INP_DATA!$R$5:$R$3027,T$4,INP_DATA!$D$5:$D$3027,$D1195,INP_DATA!$B$5:$B$3027,$B1195)</f>
        <v>0</v>
      </c>
    </row>
    <row r="1196" spans="1:20" x14ac:dyDescent="0.35">
      <c r="A1196" s="3" t="str">
        <f>IF(D1196="","",(VLOOKUP($D1196,KEY!$B$5:$D$74,3,FALSE)))</f>
        <v>Texas</v>
      </c>
      <c r="B1196" s="165">
        <f t="shared" si="0"/>
        <v>45566</v>
      </c>
      <c r="C1196" s="57" t="str">
        <f>IF($B1196="","",YEAR($B1196)&amp;"-"&amp;IFERROR(VLOOKUP(MONTH(B1196),KEY!$AE$5:$AF$16,2,FALSE),""))</f>
        <v>2024-Q4</v>
      </c>
      <c r="D1196" s="3" t="s">
        <v>136</v>
      </c>
      <c r="E1196" s="219">
        <v>59</v>
      </c>
      <c r="F1196" s="166">
        <v>237</v>
      </c>
      <c r="G1196" s="166">
        <v>245</v>
      </c>
      <c r="H1196" s="21">
        <v>374</v>
      </c>
      <c r="I1196" s="21">
        <v>54</v>
      </c>
      <c r="J1196" s="21">
        <v>243</v>
      </c>
      <c r="K1196" s="21">
        <v>25</v>
      </c>
      <c r="L1196" s="21">
        <v>365</v>
      </c>
      <c r="M1196" s="21">
        <v>149</v>
      </c>
      <c r="N1196" s="21">
        <v>248</v>
      </c>
      <c r="O1196" s="19">
        <v>352</v>
      </c>
      <c r="P1196" s="22">
        <v>10</v>
      </c>
      <c r="Q1196" s="22">
        <v>8</v>
      </c>
      <c r="R1196" s="20"/>
      <c r="S1196" s="234">
        <f>COUNTIFS(INP_DATA!$R$5:$R$3027,S$4,INP_DATA!$D$5:$D$3027,$D1196,INP_DATA!$B$5:$B$3027,$B1196)</f>
        <v>0</v>
      </c>
      <c r="T1196" s="235">
        <f>COUNTIFS(INP_DATA!$R$5:$R$3027,T$4,INP_DATA!$D$5:$D$3027,$D1196,INP_DATA!$B$5:$B$3027,$B1196)</f>
        <v>0</v>
      </c>
    </row>
    <row r="1197" spans="1:20" x14ac:dyDescent="0.35">
      <c r="A1197" s="3" t="str">
        <f>IF(D1197="","",(VLOOKUP($D1197,KEY!$B$5:$D$74,3,FALSE)))</f>
        <v>Arizona</v>
      </c>
      <c r="B1197" s="165">
        <f t="shared" si="0"/>
        <v>45566</v>
      </c>
      <c r="C1197" s="57" t="str">
        <f>IF($B1197="","",YEAR($B1197)&amp;"-"&amp;IFERROR(VLOOKUP(MONTH(B1197),KEY!$AE$5:$AF$16,2,FALSE),""))</f>
        <v>2024-Q4</v>
      </c>
      <c r="D1197" s="3" t="s">
        <v>137</v>
      </c>
      <c r="E1197" s="219">
        <v>10</v>
      </c>
      <c r="F1197" s="166">
        <v>53</v>
      </c>
      <c r="G1197" s="166">
        <v>39</v>
      </c>
      <c r="H1197" s="21">
        <v>147</v>
      </c>
      <c r="I1197" s="21">
        <v>23</v>
      </c>
      <c r="J1197" s="21">
        <v>173</v>
      </c>
      <c r="K1197" s="21">
        <v>42</v>
      </c>
      <c r="L1197" s="21">
        <v>129</v>
      </c>
      <c r="M1197" s="21">
        <v>67</v>
      </c>
      <c r="N1197" s="21">
        <v>87</v>
      </c>
      <c r="O1197" s="19">
        <v>154</v>
      </c>
      <c r="P1197" s="22">
        <v>13</v>
      </c>
      <c r="Q1197" s="22">
        <v>3</v>
      </c>
      <c r="R1197" s="20"/>
      <c r="S1197" s="234">
        <f>COUNTIFS(INP_DATA!$R$5:$R$3027,S$4,INP_DATA!$D$5:$D$3027,$D1197,INP_DATA!$B$5:$B$3027,$B1197)</f>
        <v>0</v>
      </c>
      <c r="T1197" s="235">
        <f>COUNTIFS(INP_DATA!$R$5:$R$3027,T$4,INP_DATA!$D$5:$D$3027,$D1197,INP_DATA!$B$5:$B$3027,$B1197)</f>
        <v>0</v>
      </c>
    </row>
    <row r="1198" spans="1:20" x14ac:dyDescent="0.35">
      <c r="A1198" s="3" t="str">
        <f>IF(D1198="","",(VLOOKUP($D1198,KEY!$B$5:$D$74,3,FALSE)))</f>
        <v>Texas</v>
      </c>
      <c r="B1198" s="165">
        <f t="shared" si="0"/>
        <v>45566</v>
      </c>
      <c r="C1198" s="57" t="str">
        <f>IF($B1198="","",YEAR($B1198)&amp;"-"&amp;IFERROR(VLOOKUP(MONTH(B1198),KEY!$AE$5:$AF$16,2,FALSE),""))</f>
        <v>2024-Q4</v>
      </c>
      <c r="D1198" s="3" t="s">
        <v>138</v>
      </c>
      <c r="E1198" s="219">
        <v>31</v>
      </c>
      <c r="F1198" s="166">
        <v>121</v>
      </c>
      <c r="G1198" s="166">
        <v>109</v>
      </c>
      <c r="H1198" s="21">
        <v>130</v>
      </c>
      <c r="I1198" s="21">
        <v>27</v>
      </c>
      <c r="J1198" s="21">
        <v>90</v>
      </c>
      <c r="K1198" s="21">
        <v>26</v>
      </c>
      <c r="L1198" s="21">
        <v>244</v>
      </c>
      <c r="M1198" s="21">
        <v>87</v>
      </c>
      <c r="N1198" s="21">
        <v>121</v>
      </c>
      <c r="O1198" s="19">
        <v>198</v>
      </c>
      <c r="P1198" s="22">
        <v>13</v>
      </c>
      <c r="Q1198" s="22">
        <v>12</v>
      </c>
      <c r="R1198" s="20"/>
      <c r="S1198" s="234">
        <f>COUNTIFS(INP_DATA!$R$5:$R$3027,S$4,INP_DATA!$D$5:$D$3027,$D1198,INP_DATA!$B$5:$B$3027,$B1198)</f>
        <v>0</v>
      </c>
      <c r="T1198" s="235">
        <f>COUNTIFS(INP_DATA!$R$5:$R$3027,T$4,INP_DATA!$D$5:$D$3027,$D1198,INP_DATA!$B$5:$B$3027,$B1198)</f>
        <v>0</v>
      </c>
    </row>
    <row r="1199" spans="1:20" x14ac:dyDescent="0.35">
      <c r="A1199" s="3" t="e">
        <f>IF(D1199="","",(VLOOKUP($D1199,KEY!$B$5:$D$74,3,FALSE)))</f>
        <v>#N/A</v>
      </c>
      <c r="B1199" s="165">
        <f t="shared" si="0"/>
        <v>45566</v>
      </c>
      <c r="C1199" s="57" t="str">
        <f>IF($B1199="","",YEAR($B1199)&amp;"-"&amp;IFERROR(VLOOKUP(MONTH(B1199),KEY!$AE$5:$AF$16,2,FALSE),""))</f>
        <v>2024-Q4</v>
      </c>
      <c r="D1199" s="3" t="s">
        <v>205</v>
      </c>
      <c r="E1199" s="219">
        <v>11</v>
      </c>
      <c r="F1199" s="166">
        <v>100</v>
      </c>
      <c r="G1199" s="166">
        <v>108</v>
      </c>
      <c r="H1199" s="21">
        <v>129</v>
      </c>
      <c r="I1199" s="21">
        <v>19</v>
      </c>
      <c r="J1199" s="21">
        <v>111</v>
      </c>
      <c r="K1199" s="21">
        <v>15</v>
      </c>
      <c r="L1199" s="21">
        <v>103</v>
      </c>
      <c r="M1199" s="21">
        <v>52</v>
      </c>
      <c r="N1199" s="21">
        <v>100</v>
      </c>
      <c r="O1199" s="19">
        <v>154</v>
      </c>
      <c r="P1199" s="22">
        <v>13</v>
      </c>
      <c r="Q1199" s="22">
        <v>10</v>
      </c>
      <c r="R1199" s="20"/>
      <c r="S1199" s="234">
        <f>COUNTIFS(INP_DATA!$R$5:$R$3027,S$4,INP_DATA!$D$5:$D$3027,$D1199,INP_DATA!$B$5:$B$3027,$B1199)</f>
        <v>0</v>
      </c>
      <c r="T1199" s="235">
        <f>COUNTIFS(INP_DATA!$R$5:$R$3027,T$4,INP_DATA!$D$5:$D$3027,$D1199,INP_DATA!$B$5:$B$3027,$B1199)</f>
        <v>0</v>
      </c>
    </row>
    <row r="1200" spans="1:20" x14ac:dyDescent="0.35">
      <c r="A1200" s="3" t="str">
        <f>IF(D1200="","",(VLOOKUP($D1200,KEY!$B$5:$D$74,3,FALSE)))</f>
        <v>Southern California</v>
      </c>
      <c r="B1200" s="165">
        <f t="shared" si="0"/>
        <v>45566</v>
      </c>
      <c r="C1200" s="57" t="str">
        <f>IF($B1200="","",YEAR($B1200)&amp;"-"&amp;IFERROR(VLOOKUP(MONTH(B1200),KEY!$AE$5:$AF$16,2,FALSE),""))</f>
        <v>2024-Q4</v>
      </c>
      <c r="D1200" s="3" t="s">
        <v>139</v>
      </c>
      <c r="E1200" s="219">
        <v>41</v>
      </c>
      <c r="F1200" s="166">
        <v>177</v>
      </c>
      <c r="G1200" s="166">
        <v>178</v>
      </c>
      <c r="H1200" s="21">
        <v>220</v>
      </c>
      <c r="I1200" s="21">
        <v>40</v>
      </c>
      <c r="J1200" s="21">
        <v>110</v>
      </c>
      <c r="K1200" s="21">
        <v>31</v>
      </c>
      <c r="L1200" s="21">
        <v>428</v>
      </c>
      <c r="M1200" s="21">
        <v>109</v>
      </c>
      <c r="N1200" s="21">
        <v>181</v>
      </c>
      <c r="O1200" s="19">
        <v>308</v>
      </c>
      <c r="P1200" s="22">
        <v>23</v>
      </c>
      <c r="Q1200" s="22">
        <v>16</v>
      </c>
      <c r="R1200" s="20"/>
      <c r="S1200" s="234">
        <f>COUNTIFS(INP_DATA!$R$5:$R$3027,S$4,INP_DATA!$D$5:$D$3027,$D1200,INP_DATA!$B$5:$B$3027,$B1200)</f>
        <v>0</v>
      </c>
      <c r="T1200" s="235">
        <f>COUNTIFS(INP_DATA!$R$5:$R$3027,T$4,INP_DATA!$D$5:$D$3027,$D1200,INP_DATA!$B$5:$B$3027,$B1200)</f>
        <v>0</v>
      </c>
    </row>
    <row r="1201" spans="1:20" x14ac:dyDescent="0.35">
      <c r="A1201" s="3" t="str">
        <f>IF(D1201="","",(VLOOKUP($D1201,KEY!$B$5:$D$74,3,FALSE)))</f>
        <v>Orange County</v>
      </c>
      <c r="B1201" s="165">
        <f t="shared" si="0"/>
        <v>45566</v>
      </c>
      <c r="C1201" s="57" t="str">
        <f>IF($B1201="","",YEAR($B1201)&amp;"-"&amp;IFERROR(VLOOKUP(MONTH(B1201),KEY!$AE$5:$AF$16,2,FALSE),""))</f>
        <v>2024-Q4</v>
      </c>
      <c r="D1201" s="3" t="s">
        <v>140</v>
      </c>
      <c r="E1201" s="219">
        <v>2</v>
      </c>
      <c r="F1201" s="166">
        <v>30</v>
      </c>
      <c r="G1201" s="166">
        <v>47</v>
      </c>
      <c r="H1201" s="21">
        <v>76</v>
      </c>
      <c r="I1201" s="21">
        <v>12</v>
      </c>
      <c r="J1201" s="21">
        <v>37</v>
      </c>
      <c r="K1201" s="21">
        <v>8</v>
      </c>
      <c r="L1201" s="21">
        <v>71</v>
      </c>
      <c r="M1201" s="21">
        <v>25</v>
      </c>
      <c r="N1201" s="21">
        <v>30</v>
      </c>
      <c r="O1201" s="19">
        <v>66</v>
      </c>
      <c r="P1201" s="22">
        <v>7</v>
      </c>
      <c r="Q1201" s="22">
        <v>0</v>
      </c>
      <c r="R1201" s="20"/>
      <c r="S1201" s="234">
        <f>COUNTIFS(INP_DATA!$R$5:$R$3027,S$4,INP_DATA!$D$5:$D$3027,$D1201,INP_DATA!$B$5:$B$3027,$B1201)</f>
        <v>0</v>
      </c>
      <c r="T1201" s="235">
        <f>COUNTIFS(INP_DATA!$R$5:$R$3027,T$4,INP_DATA!$D$5:$D$3027,$D1201,INP_DATA!$B$5:$B$3027,$B1201)</f>
        <v>0</v>
      </c>
    </row>
    <row r="1202" spans="1:20" x14ac:dyDescent="0.35">
      <c r="A1202" s="3" t="str">
        <f>IF(D1202="","",(VLOOKUP($D1202,KEY!$B$5:$D$74,3,FALSE)))</f>
        <v>Southern California</v>
      </c>
      <c r="B1202" s="165">
        <f t="shared" si="0"/>
        <v>45566</v>
      </c>
      <c r="C1202" s="57" t="str">
        <f>IF($B1202="","",YEAR($B1202)&amp;"-"&amp;IFERROR(VLOOKUP(MONTH(B1202),KEY!$AE$5:$AF$16,2,FALSE),""))</f>
        <v>2024-Q4</v>
      </c>
      <c r="D1202" s="3" t="s">
        <v>142</v>
      </c>
      <c r="E1202" s="219">
        <v>20</v>
      </c>
      <c r="F1202" s="166">
        <v>95</v>
      </c>
      <c r="G1202" s="166">
        <v>66</v>
      </c>
      <c r="H1202" s="21">
        <v>155</v>
      </c>
      <c r="I1202" s="21">
        <v>30</v>
      </c>
      <c r="J1202" s="21">
        <v>59</v>
      </c>
      <c r="K1202" s="21">
        <v>10</v>
      </c>
      <c r="L1202" s="21">
        <v>139</v>
      </c>
      <c r="M1202" s="21">
        <v>60</v>
      </c>
      <c r="N1202" s="21">
        <v>95</v>
      </c>
      <c r="O1202" s="19">
        <v>132</v>
      </c>
      <c r="P1202" s="22">
        <v>22</v>
      </c>
      <c r="Q1202" s="22">
        <v>9</v>
      </c>
      <c r="R1202" s="20"/>
      <c r="S1202" s="234">
        <f>COUNTIFS(INP_DATA!$R$5:$R$3027,S$4,INP_DATA!$D$5:$D$3027,$D1202,INP_DATA!$B$5:$B$3027,$B1202)</f>
        <v>0</v>
      </c>
      <c r="T1202" s="235">
        <f>COUNTIFS(INP_DATA!$R$5:$R$3027,T$4,INP_DATA!$D$5:$D$3027,$D1202,INP_DATA!$B$5:$B$3027,$B1202)</f>
        <v>0</v>
      </c>
    </row>
    <row r="1203" spans="1:20" x14ac:dyDescent="0.35">
      <c r="A1203" s="3" t="str">
        <f>IF(D1203="","",(VLOOKUP($D1203,KEY!$B$5:$D$74,3,FALSE)))</f>
        <v>Arizona</v>
      </c>
      <c r="B1203" s="165">
        <f t="shared" si="0"/>
        <v>45566</v>
      </c>
      <c r="C1203" s="57" t="str">
        <f>IF($B1203="","",YEAR($B1203)&amp;"-"&amp;IFERROR(VLOOKUP(MONTH(B1203),KEY!$AE$5:$AF$16,2,FALSE),""))</f>
        <v>2024-Q4</v>
      </c>
      <c r="D1203" s="3" t="s">
        <v>143</v>
      </c>
      <c r="E1203" s="219">
        <v>17</v>
      </c>
      <c r="F1203" s="166">
        <v>71</v>
      </c>
      <c r="G1203" s="166">
        <v>56</v>
      </c>
      <c r="H1203" s="21">
        <v>157</v>
      </c>
      <c r="I1203" s="21">
        <v>21</v>
      </c>
      <c r="J1203" s="21">
        <v>65</v>
      </c>
      <c r="K1203" s="21">
        <v>16</v>
      </c>
      <c r="L1203" s="21">
        <v>151</v>
      </c>
      <c r="M1203" s="21">
        <v>48</v>
      </c>
      <c r="N1203" s="21">
        <v>73</v>
      </c>
      <c r="O1203" s="19">
        <v>154</v>
      </c>
      <c r="P1203" s="22">
        <v>2</v>
      </c>
      <c r="Q1203" s="22">
        <v>0</v>
      </c>
      <c r="R1203" s="20"/>
      <c r="S1203" s="234">
        <f>COUNTIFS(INP_DATA!$R$5:$R$3027,S$4,INP_DATA!$D$5:$D$3027,$D1203,INP_DATA!$B$5:$B$3027,$B1203)</f>
        <v>0</v>
      </c>
      <c r="T1203" s="235">
        <f>COUNTIFS(INP_DATA!$R$5:$R$3027,T$4,INP_DATA!$D$5:$D$3027,$D1203,INP_DATA!$B$5:$B$3027,$B1203)</f>
        <v>0</v>
      </c>
    </row>
    <row r="1204" spans="1:20" x14ac:dyDescent="0.35">
      <c r="A1204" s="3" t="str">
        <f>IF(D1204="","",(VLOOKUP($D1204,KEY!$B$5:$D$74,3,FALSE)))</f>
        <v>Arizona</v>
      </c>
      <c r="B1204" s="165">
        <f t="shared" si="0"/>
        <v>45566</v>
      </c>
      <c r="C1204" s="57" t="str">
        <f>IF($B1204="","",YEAR($B1204)&amp;"-"&amp;IFERROR(VLOOKUP(MONTH(B1204),KEY!$AE$5:$AF$16,2,FALSE),""))</f>
        <v>2024-Q4</v>
      </c>
      <c r="D1204" s="3" t="s">
        <v>144</v>
      </c>
      <c r="E1204" s="219">
        <v>34</v>
      </c>
      <c r="F1204" s="166">
        <v>225</v>
      </c>
      <c r="G1204" s="166">
        <v>166</v>
      </c>
      <c r="H1204" s="21">
        <v>217</v>
      </c>
      <c r="I1204" s="21">
        <v>52</v>
      </c>
      <c r="J1204" s="21">
        <v>192</v>
      </c>
      <c r="K1204" s="21">
        <v>39</v>
      </c>
      <c r="L1204" s="21">
        <v>372</v>
      </c>
      <c r="M1204" s="21">
        <v>128</v>
      </c>
      <c r="N1204" s="21">
        <v>241</v>
      </c>
      <c r="O1204" s="19">
        <v>396</v>
      </c>
      <c r="P1204" s="22">
        <v>7</v>
      </c>
      <c r="Q1204" s="22">
        <v>6</v>
      </c>
      <c r="R1204" s="20"/>
      <c r="S1204" s="234">
        <f>COUNTIFS(INP_DATA!$R$5:$R$3027,S$4,INP_DATA!$D$5:$D$3027,$D1204,INP_DATA!$B$5:$B$3027,$B1204)</f>
        <v>0</v>
      </c>
      <c r="T1204" s="235">
        <f>COUNTIFS(INP_DATA!$R$5:$R$3027,T$4,INP_DATA!$D$5:$D$3027,$D1204,INP_DATA!$B$5:$B$3027,$B1204)</f>
        <v>0</v>
      </c>
    </row>
    <row r="1205" spans="1:20" x14ac:dyDescent="0.35">
      <c r="A1205" s="3" t="str">
        <f>IF(D1205="","",(VLOOKUP($D1205,KEY!$B$5:$D$74,3,FALSE)))</f>
        <v>Southern California</v>
      </c>
      <c r="B1205" s="165">
        <f t="shared" si="0"/>
        <v>45566</v>
      </c>
      <c r="C1205" s="57" t="str">
        <f>IF($B1205="","",YEAR($B1205)&amp;"-"&amp;IFERROR(VLOOKUP(MONTH(B1205),KEY!$AE$5:$AF$16,2,FALSE),""))</f>
        <v>2024-Q4</v>
      </c>
      <c r="D1205" s="3" t="s">
        <v>145</v>
      </c>
      <c r="E1205" s="219">
        <v>51</v>
      </c>
      <c r="F1205" s="166">
        <v>151</v>
      </c>
      <c r="G1205" s="166">
        <v>130</v>
      </c>
      <c r="H1205" s="21">
        <v>287</v>
      </c>
      <c r="I1205" s="21">
        <v>37</v>
      </c>
      <c r="J1205" s="21">
        <v>153</v>
      </c>
      <c r="K1205" s="21">
        <v>28</v>
      </c>
      <c r="L1205" s="21">
        <v>413</v>
      </c>
      <c r="M1205" s="21">
        <v>88</v>
      </c>
      <c r="N1205" s="21">
        <v>152</v>
      </c>
      <c r="O1205" s="19">
        <v>308</v>
      </c>
      <c r="P1205" s="22">
        <v>37</v>
      </c>
      <c r="Q1205" s="22">
        <v>25</v>
      </c>
      <c r="R1205" s="20"/>
      <c r="S1205" s="234">
        <f>COUNTIFS(INP_DATA!$R$5:$R$3027,S$4,INP_DATA!$D$5:$D$3027,$D1205,INP_DATA!$B$5:$B$3027,$B1205)</f>
        <v>0</v>
      </c>
      <c r="T1205" s="235">
        <f>COUNTIFS(INP_DATA!$R$5:$R$3027,T$4,INP_DATA!$D$5:$D$3027,$D1205,INP_DATA!$B$5:$B$3027,$B1205)</f>
        <v>0</v>
      </c>
    </row>
    <row r="1206" spans="1:20" x14ac:dyDescent="0.35">
      <c r="A1206" s="3" t="str">
        <f>IF(D1206="","",(VLOOKUP($D1206,KEY!$B$5:$D$74,3,FALSE)))</f>
        <v>Arizona</v>
      </c>
      <c r="B1206" s="165">
        <f t="shared" si="0"/>
        <v>45566</v>
      </c>
      <c r="C1206" s="57" t="str">
        <f>IF($B1206="","",YEAR($B1206)&amp;"-"&amp;IFERROR(VLOOKUP(MONTH(B1206),KEY!$AE$5:$AF$16,2,FALSE),""))</f>
        <v>2024-Q4</v>
      </c>
      <c r="D1206" s="3" t="s">
        <v>146</v>
      </c>
      <c r="E1206" s="219">
        <v>9</v>
      </c>
      <c r="F1206" s="166">
        <v>39</v>
      </c>
      <c r="G1206" s="166">
        <v>38</v>
      </c>
      <c r="H1206" s="21">
        <v>86</v>
      </c>
      <c r="I1206" s="21">
        <v>15</v>
      </c>
      <c r="J1206" s="21">
        <v>33</v>
      </c>
      <c r="K1206" s="21">
        <v>4</v>
      </c>
      <c r="L1206" s="21">
        <v>57</v>
      </c>
      <c r="M1206" s="21">
        <v>24</v>
      </c>
      <c r="N1206" s="21">
        <v>39</v>
      </c>
      <c r="O1206" s="19">
        <v>88</v>
      </c>
      <c r="P1206" s="22">
        <v>2</v>
      </c>
      <c r="Q1206" s="22">
        <v>0</v>
      </c>
      <c r="R1206" s="20"/>
      <c r="S1206" s="234">
        <f>COUNTIFS(INP_DATA!$R$5:$R$3027,S$4,INP_DATA!$D$5:$D$3027,$D1206,INP_DATA!$B$5:$B$3027,$B1206)</f>
        <v>0</v>
      </c>
      <c r="T1206" s="235">
        <f>COUNTIFS(INP_DATA!$R$5:$R$3027,T$4,INP_DATA!$D$5:$D$3027,$D1206,INP_DATA!$B$5:$B$3027,$B1206)</f>
        <v>0</v>
      </c>
    </row>
    <row r="1207" spans="1:20" x14ac:dyDescent="0.35">
      <c r="A1207" s="3" t="str">
        <f>IF(D1207="","",(VLOOKUP($D1207,KEY!$B$5:$D$74,3,FALSE)))</f>
        <v>Texas</v>
      </c>
      <c r="B1207" s="165">
        <f t="shared" si="0"/>
        <v>45566</v>
      </c>
      <c r="C1207" s="57" t="str">
        <f>IF($B1207="","",YEAR($B1207)&amp;"-"&amp;IFERROR(VLOOKUP(MONTH(B1207),KEY!$AE$5:$AF$16,2,FALSE),""))</f>
        <v>2024-Q4</v>
      </c>
      <c r="D1207" s="3" t="s">
        <v>147</v>
      </c>
      <c r="E1207" s="219">
        <v>9</v>
      </c>
      <c r="F1207" s="166">
        <v>53</v>
      </c>
      <c r="G1207" s="166">
        <v>59</v>
      </c>
      <c r="H1207" s="21">
        <v>70</v>
      </c>
      <c r="I1207" s="21">
        <v>21</v>
      </c>
      <c r="J1207" s="21">
        <v>40</v>
      </c>
      <c r="K1207" s="21">
        <v>5</v>
      </c>
      <c r="L1207" s="21">
        <v>69</v>
      </c>
      <c r="M1207" s="21">
        <v>39</v>
      </c>
      <c r="N1207" s="21">
        <v>54</v>
      </c>
      <c r="O1207" s="19">
        <v>66</v>
      </c>
      <c r="P1207" s="22">
        <v>10</v>
      </c>
      <c r="Q1207" s="22">
        <v>9</v>
      </c>
      <c r="R1207" s="20"/>
      <c r="S1207" s="234"/>
      <c r="T1207" s="235"/>
    </row>
    <row r="1208" spans="1:20" x14ac:dyDescent="0.35">
      <c r="A1208" s="3" t="str">
        <f>IF(D1208="","",(VLOOKUP($D1208,KEY!$B$5:$D$74,3,FALSE)))</f>
        <v>Northern California</v>
      </c>
      <c r="B1208" s="165">
        <f t="shared" si="0"/>
        <v>45566</v>
      </c>
      <c r="C1208" s="57" t="str">
        <f>IF($B1208="","",YEAR($B1208)&amp;"-"&amp;IFERROR(VLOOKUP(MONTH(B1208),KEY!$AE$5:$AF$16,2,FALSE),""))</f>
        <v>2024-Q4</v>
      </c>
      <c r="D1208" s="3" t="s">
        <v>148</v>
      </c>
      <c r="E1208" s="219">
        <v>15</v>
      </c>
      <c r="F1208" s="166">
        <v>43</v>
      </c>
      <c r="G1208" s="166">
        <v>47</v>
      </c>
      <c r="H1208" s="21">
        <v>66</v>
      </c>
      <c r="I1208" s="21">
        <v>14</v>
      </c>
      <c r="J1208" s="21">
        <v>67</v>
      </c>
      <c r="K1208" s="21">
        <v>5</v>
      </c>
      <c r="L1208" s="21">
        <v>71</v>
      </c>
      <c r="M1208" s="21">
        <v>32</v>
      </c>
      <c r="N1208" s="21">
        <v>46</v>
      </c>
      <c r="O1208" s="19">
        <v>44</v>
      </c>
      <c r="P1208" s="22">
        <v>3</v>
      </c>
      <c r="Q1208" s="22">
        <v>0</v>
      </c>
      <c r="R1208" s="20"/>
      <c r="S1208" s="234"/>
      <c r="T1208" s="235"/>
    </row>
    <row r="1209" spans="1:20" x14ac:dyDescent="0.35">
      <c r="A1209" s="3" t="str">
        <f>IF(D1209="","",(VLOOKUP($D1209,KEY!$B$5:$D$74,3,FALSE)))</f>
        <v>Orange County</v>
      </c>
      <c r="B1209" s="165">
        <f t="shared" si="0"/>
        <v>45566</v>
      </c>
      <c r="C1209" s="57" t="str">
        <f>IF($B1209="","",YEAR($B1209)&amp;"-"&amp;IFERROR(VLOOKUP(MONTH(B1209),KEY!$AE$5:$AF$16,2,FALSE),""))</f>
        <v>2024-Q4</v>
      </c>
      <c r="D1209" s="3" t="s">
        <v>149</v>
      </c>
      <c r="E1209" s="219">
        <v>9</v>
      </c>
      <c r="F1209" s="166">
        <v>32</v>
      </c>
      <c r="G1209" s="166">
        <v>23</v>
      </c>
      <c r="H1209" s="21">
        <v>48</v>
      </c>
      <c r="I1209" s="21">
        <v>13</v>
      </c>
      <c r="J1209" s="21">
        <v>30</v>
      </c>
      <c r="K1209" s="21">
        <v>5</v>
      </c>
      <c r="L1209" s="21">
        <v>101</v>
      </c>
      <c r="M1209" s="21">
        <v>45</v>
      </c>
      <c r="N1209" s="21">
        <v>34</v>
      </c>
      <c r="O1209" s="19">
        <v>66</v>
      </c>
      <c r="P1209" s="22">
        <v>0</v>
      </c>
      <c r="Q1209" s="22">
        <v>0</v>
      </c>
      <c r="R1209" s="20"/>
      <c r="S1209" s="234"/>
      <c r="T1209" s="235"/>
    </row>
    <row r="1210" spans="1:20" x14ac:dyDescent="0.35">
      <c r="A1210" s="3" t="str">
        <f>IF(D1210="","",(VLOOKUP($D1210,KEY!$B$5:$D$74,3,FALSE)))</f>
        <v>Southern California</v>
      </c>
      <c r="B1210" s="165">
        <f t="shared" si="0"/>
        <v>45566</v>
      </c>
      <c r="C1210" s="57" t="str">
        <f>IF($B1210="","",YEAR($B1210)&amp;"-"&amp;IFERROR(VLOOKUP(MONTH(B1210),KEY!$AE$5:$AF$16,2,FALSE),""))</f>
        <v>2024-Q4</v>
      </c>
      <c r="D1210" s="3" t="s">
        <v>150</v>
      </c>
      <c r="E1210" s="219">
        <v>9</v>
      </c>
      <c r="F1210" s="166">
        <v>45</v>
      </c>
      <c r="G1210" s="166">
        <v>37</v>
      </c>
      <c r="H1210" s="21">
        <v>59</v>
      </c>
      <c r="I1210" s="21">
        <v>20</v>
      </c>
      <c r="J1210" s="21">
        <v>13</v>
      </c>
      <c r="K1210" s="21">
        <v>3</v>
      </c>
      <c r="L1210" s="21">
        <v>81</v>
      </c>
      <c r="M1210" s="21">
        <v>36</v>
      </c>
      <c r="N1210" s="21">
        <v>45</v>
      </c>
      <c r="O1210" s="19">
        <v>66</v>
      </c>
      <c r="P1210" s="22">
        <v>3</v>
      </c>
      <c r="Q1210" s="22">
        <v>1</v>
      </c>
      <c r="R1210" s="20"/>
      <c r="S1210" s="234"/>
      <c r="T1210" s="235"/>
    </row>
    <row r="1211" spans="1:20" x14ac:dyDescent="0.35">
      <c r="A1211" s="3" t="str">
        <f>IF(D1211="","",(VLOOKUP($D1211,KEY!$B$5:$D$74,3,FALSE)))</f>
        <v>Arizona</v>
      </c>
      <c r="B1211" s="165">
        <f t="shared" si="0"/>
        <v>45566</v>
      </c>
      <c r="C1211" s="57" t="str">
        <f>IF($B1211="","",YEAR($B1211)&amp;"-"&amp;IFERROR(VLOOKUP(MONTH(B1211),KEY!$AE$5:$AF$16,2,FALSE),""))</f>
        <v>2024-Q4</v>
      </c>
      <c r="D1211" s="3" t="s">
        <v>151</v>
      </c>
      <c r="E1211" s="219">
        <v>7</v>
      </c>
      <c r="F1211" s="166">
        <v>27</v>
      </c>
      <c r="G1211" s="166">
        <v>39</v>
      </c>
      <c r="H1211" s="21">
        <v>46</v>
      </c>
      <c r="I1211" s="21">
        <v>8</v>
      </c>
      <c r="J1211" s="21">
        <v>18</v>
      </c>
      <c r="K1211" s="21">
        <v>6</v>
      </c>
      <c r="L1211" s="21">
        <v>52</v>
      </c>
      <c r="M1211" s="21">
        <v>21</v>
      </c>
      <c r="N1211" s="21">
        <v>27</v>
      </c>
      <c r="O1211" s="19">
        <v>88</v>
      </c>
      <c r="P1211" s="22">
        <v>0</v>
      </c>
      <c r="Q1211" s="22">
        <v>0</v>
      </c>
      <c r="R1211" s="20"/>
      <c r="S1211" s="234"/>
      <c r="T1211" s="235"/>
    </row>
    <row r="1212" spans="1:20" x14ac:dyDescent="0.35">
      <c r="A1212" s="3" t="str">
        <f>IF(D1212="","",(VLOOKUP($D1212,KEY!$B$5:$D$74,3,FALSE)))</f>
        <v>Michigan &amp; Minnesota</v>
      </c>
      <c r="B1212" s="165">
        <f t="shared" si="0"/>
        <v>45566</v>
      </c>
      <c r="C1212" s="57" t="str">
        <f>IF($B1212="","",YEAR($B1212)&amp;"-"&amp;IFERROR(VLOOKUP(MONTH(B1212),KEY!$AE$5:$AF$16,2,FALSE),""))</f>
        <v>2024-Q4</v>
      </c>
      <c r="D1212" s="3" t="s">
        <v>206</v>
      </c>
      <c r="E1212" s="219">
        <v>7</v>
      </c>
      <c r="F1212" s="166">
        <v>256</v>
      </c>
      <c r="G1212" s="166">
        <v>257</v>
      </c>
      <c r="H1212" s="21">
        <v>322</v>
      </c>
      <c r="I1212" s="21">
        <v>72</v>
      </c>
      <c r="J1212" s="21">
        <v>196</v>
      </c>
      <c r="K1212" s="21">
        <v>32</v>
      </c>
      <c r="L1212" s="21">
        <v>497</v>
      </c>
      <c r="M1212" s="21">
        <v>177</v>
      </c>
      <c r="N1212" s="21">
        <v>255</v>
      </c>
      <c r="O1212" s="19">
        <v>330</v>
      </c>
      <c r="P1212" s="22">
        <v>23</v>
      </c>
      <c r="Q1212" s="22">
        <v>14</v>
      </c>
      <c r="R1212" s="20"/>
      <c r="S1212" s="234"/>
      <c r="T1212" s="235"/>
    </row>
    <row r="1213" spans="1:20" x14ac:dyDescent="0.35">
      <c r="A1213" s="3" t="str">
        <f>IF(D1213="","",(VLOOKUP($D1213,KEY!$B$5:$D$74,3,FALSE)))</f>
        <v>Michigan &amp; Minnesota</v>
      </c>
      <c r="B1213" s="165">
        <f t="shared" si="0"/>
        <v>45566</v>
      </c>
      <c r="C1213" s="57" t="str">
        <f>IF($B1213="","",YEAR($B1213)&amp;"-"&amp;IFERROR(VLOOKUP(MONTH(B1213),KEY!$AE$5:$AF$16,2,FALSE),""))</f>
        <v>2024-Q4</v>
      </c>
      <c r="D1213" s="3" t="s">
        <v>207</v>
      </c>
      <c r="E1213" s="219">
        <v>5</v>
      </c>
      <c r="F1213" s="166">
        <v>51</v>
      </c>
      <c r="G1213" s="166">
        <v>48</v>
      </c>
      <c r="H1213" s="21">
        <v>71</v>
      </c>
      <c r="I1213" s="21">
        <v>17</v>
      </c>
      <c r="J1213" s="21">
        <v>22</v>
      </c>
      <c r="K1213" s="21">
        <v>9</v>
      </c>
      <c r="L1213" s="21">
        <v>43</v>
      </c>
      <c r="M1213" s="21">
        <v>17</v>
      </c>
      <c r="N1213" s="21">
        <v>51</v>
      </c>
      <c r="O1213" s="19">
        <v>132</v>
      </c>
      <c r="P1213" s="22">
        <v>9</v>
      </c>
      <c r="Q1213" s="22">
        <v>4</v>
      </c>
      <c r="R1213" s="20"/>
      <c r="S1213" s="234"/>
      <c r="T1213" s="235"/>
    </row>
    <row r="1214" spans="1:20" x14ac:dyDescent="0.35">
      <c r="A1214" s="3" t="str">
        <f>IF(D1214="","",(VLOOKUP($D1214,KEY!$B$5:$D$74,3,FALSE)))</f>
        <v>Indiana</v>
      </c>
      <c r="B1214" s="165">
        <f t="shared" si="0"/>
        <v>45566</v>
      </c>
      <c r="C1214" s="57" t="str">
        <f>IF($B1214="","",YEAR($B1214)&amp;"-"&amp;IFERROR(VLOOKUP(MONTH(B1214),KEY!$AE$5:$AF$16,2,FALSE),""))</f>
        <v>2024-Q4</v>
      </c>
      <c r="D1214" s="3" t="s">
        <v>208</v>
      </c>
      <c r="E1214" s="219">
        <v>0</v>
      </c>
      <c r="F1214" s="166">
        <v>125</v>
      </c>
      <c r="G1214" s="166">
        <v>108</v>
      </c>
      <c r="H1214" s="21">
        <v>304</v>
      </c>
      <c r="I1214" s="21">
        <v>37</v>
      </c>
      <c r="J1214" s="21">
        <v>99</v>
      </c>
      <c r="K1214" s="21">
        <v>9</v>
      </c>
      <c r="L1214" s="21">
        <v>148</v>
      </c>
      <c r="M1214" s="21">
        <v>56</v>
      </c>
      <c r="N1214" s="21">
        <v>126</v>
      </c>
      <c r="O1214" s="19">
        <v>198</v>
      </c>
      <c r="P1214" s="22">
        <v>12</v>
      </c>
      <c r="Q1214" s="22">
        <v>5</v>
      </c>
      <c r="R1214" s="20"/>
      <c r="S1214" s="234"/>
      <c r="T1214" s="235"/>
    </row>
    <row r="1215" spans="1:20" x14ac:dyDescent="0.35">
      <c r="A1215" s="3" t="str">
        <f>IF(D1215="","",(VLOOKUP($D1215,KEY!$B$5:$D$74,3,FALSE)))</f>
        <v>Indiana</v>
      </c>
      <c r="B1215" s="165">
        <f t="shared" si="0"/>
        <v>45566</v>
      </c>
      <c r="C1215" s="57" t="str">
        <f>IF($B1215="","",YEAR($B1215)&amp;"-"&amp;IFERROR(VLOOKUP(MONTH(B1215),KEY!$AE$5:$AF$16,2,FALSE),""))</f>
        <v>2024-Q4</v>
      </c>
      <c r="D1215" s="3" t="s">
        <v>209</v>
      </c>
      <c r="E1215" s="219">
        <v>6</v>
      </c>
      <c r="F1215" s="166">
        <v>450</v>
      </c>
      <c r="G1215" s="166">
        <v>518</v>
      </c>
      <c r="H1215" s="21">
        <v>609</v>
      </c>
      <c r="I1215" s="21">
        <v>119</v>
      </c>
      <c r="J1215" s="21">
        <v>207</v>
      </c>
      <c r="K1215" s="21">
        <v>53</v>
      </c>
      <c r="L1215" s="21">
        <v>381</v>
      </c>
      <c r="M1215" s="21">
        <v>177</v>
      </c>
      <c r="N1215" s="21">
        <v>455</v>
      </c>
      <c r="O1215" s="19">
        <v>550</v>
      </c>
      <c r="P1215" s="22">
        <v>61</v>
      </c>
      <c r="Q1215" s="22">
        <v>29</v>
      </c>
      <c r="R1215" s="20"/>
      <c r="S1215" s="234"/>
      <c r="T1215" s="235"/>
    </row>
    <row r="1216" spans="1:20" x14ac:dyDescent="0.35">
      <c r="A1216" s="3" t="str">
        <f>IF(D1216="","",(VLOOKUP($D1216,KEY!$B$5:$D$74,3,FALSE)))</f>
        <v>Northern California</v>
      </c>
      <c r="B1216" s="165">
        <f t="shared" si="0"/>
        <v>45566</v>
      </c>
      <c r="C1216" s="57" t="str">
        <f>IF($B1216="","",YEAR($B1216)&amp;"-"&amp;IFERROR(VLOOKUP(MONTH(B1216),KEY!$AE$5:$AF$16,2,FALSE),""))</f>
        <v>2024-Q4</v>
      </c>
      <c r="D1216" s="3" t="s">
        <v>152</v>
      </c>
      <c r="E1216" s="219">
        <v>55</v>
      </c>
      <c r="F1216" s="166">
        <v>175</v>
      </c>
      <c r="G1216" s="166">
        <v>200</v>
      </c>
      <c r="H1216" s="21">
        <v>419</v>
      </c>
      <c r="I1216" s="21">
        <v>76</v>
      </c>
      <c r="J1216" s="21">
        <v>123</v>
      </c>
      <c r="K1216" s="21">
        <v>33</v>
      </c>
      <c r="L1216" s="21">
        <v>371</v>
      </c>
      <c r="M1216" s="21">
        <v>135</v>
      </c>
      <c r="N1216" s="21">
        <v>174</v>
      </c>
      <c r="O1216" s="19">
        <v>286</v>
      </c>
      <c r="P1216" s="22">
        <v>63</v>
      </c>
      <c r="Q1216" s="22">
        <v>41</v>
      </c>
      <c r="R1216" s="20"/>
      <c r="S1216" s="234"/>
      <c r="T1216" s="235"/>
    </row>
    <row r="1217" spans="1:20" x14ac:dyDescent="0.35">
      <c r="A1217" s="3" t="str">
        <f>IF(D1217="","",(VLOOKUP($D1217,KEY!$B$5:$D$74,3,FALSE)))</f>
        <v>Arizona</v>
      </c>
      <c r="B1217" s="165">
        <f t="shared" si="0"/>
        <v>45566</v>
      </c>
      <c r="C1217" s="57" t="str">
        <f>IF($B1217="","",YEAR($B1217)&amp;"-"&amp;IFERROR(VLOOKUP(MONTH(B1217),KEY!$AE$5:$AF$16,2,FALSE),""))</f>
        <v>2024-Q4</v>
      </c>
      <c r="D1217" s="3" t="s">
        <v>153</v>
      </c>
      <c r="E1217" s="219">
        <v>42</v>
      </c>
      <c r="F1217" s="166">
        <v>109</v>
      </c>
      <c r="G1217" s="166">
        <v>92</v>
      </c>
      <c r="H1217" s="21">
        <v>135</v>
      </c>
      <c r="I1217" s="21">
        <v>23</v>
      </c>
      <c r="J1217" s="21">
        <v>71</v>
      </c>
      <c r="K1217" s="21">
        <v>9</v>
      </c>
      <c r="L1217" s="21">
        <v>361</v>
      </c>
      <c r="M1217" s="21">
        <v>68</v>
      </c>
      <c r="N1217" s="21">
        <v>107</v>
      </c>
      <c r="O1217" s="19">
        <v>286</v>
      </c>
      <c r="P1217" s="22">
        <v>5</v>
      </c>
      <c r="Q1217" s="22">
        <v>0</v>
      </c>
      <c r="R1217" s="20"/>
      <c r="S1217" s="234"/>
      <c r="T1217" s="235"/>
    </row>
    <row r="1218" spans="1:20" x14ac:dyDescent="0.35">
      <c r="A1218" s="3" t="str">
        <f>IF(D1218="","",(VLOOKUP($D1218,KEY!$B$5:$D$74,3,FALSE)))</f>
        <v>Northern California</v>
      </c>
      <c r="B1218" s="165">
        <f t="shared" si="0"/>
        <v>45566</v>
      </c>
      <c r="C1218" s="57" t="str">
        <f>IF($B1218="","",YEAR($B1218)&amp;"-"&amp;IFERROR(VLOOKUP(MONTH(B1218),KEY!$AE$5:$AF$16,2,FALSE),""))</f>
        <v>2024-Q4</v>
      </c>
      <c r="D1218" s="3" t="s">
        <v>154</v>
      </c>
      <c r="E1218" s="219">
        <v>22</v>
      </c>
      <c r="F1218" s="166">
        <v>83</v>
      </c>
      <c r="G1218" s="166">
        <v>50</v>
      </c>
      <c r="H1218" s="21">
        <v>455</v>
      </c>
      <c r="I1218" s="21">
        <v>38</v>
      </c>
      <c r="J1218" s="21">
        <v>185</v>
      </c>
      <c r="K1218" s="21">
        <v>21</v>
      </c>
      <c r="L1218" s="21">
        <v>322</v>
      </c>
      <c r="M1218" s="21">
        <v>58</v>
      </c>
      <c r="N1218" s="21">
        <v>82</v>
      </c>
      <c r="O1218" s="19">
        <v>154</v>
      </c>
      <c r="P1218" s="22">
        <v>5</v>
      </c>
      <c r="Q1218" s="22">
        <v>4</v>
      </c>
      <c r="R1218" s="20"/>
      <c r="S1218" s="234"/>
      <c r="T1218" s="235"/>
    </row>
    <row r="1219" spans="1:20" x14ac:dyDescent="0.35">
      <c r="A1219" s="3" t="str">
        <f>IF(D1219="","",(VLOOKUP($D1219,KEY!$B$5:$D$74,3,FALSE)))</f>
        <v>Texas</v>
      </c>
      <c r="B1219" s="165">
        <f t="shared" si="0"/>
        <v>45566</v>
      </c>
      <c r="C1219" s="57" t="str">
        <f>IF($B1219="","",YEAR($B1219)&amp;"-"&amp;IFERROR(VLOOKUP(MONTH(B1219),KEY!$AE$5:$AF$16,2,FALSE),""))</f>
        <v>2024-Q4</v>
      </c>
      <c r="D1219" s="3" t="s">
        <v>155</v>
      </c>
      <c r="E1219" s="219">
        <v>50</v>
      </c>
      <c r="F1219" s="166">
        <v>283</v>
      </c>
      <c r="G1219" s="166">
        <v>297</v>
      </c>
      <c r="H1219" s="21">
        <v>643</v>
      </c>
      <c r="I1219" s="21">
        <v>94</v>
      </c>
      <c r="J1219" s="21">
        <v>217</v>
      </c>
      <c r="K1219" s="21">
        <v>36</v>
      </c>
      <c r="L1219" s="21">
        <v>394</v>
      </c>
      <c r="M1219" s="21">
        <v>131</v>
      </c>
      <c r="N1219" s="21">
        <v>285</v>
      </c>
      <c r="O1219" s="19">
        <v>528</v>
      </c>
      <c r="P1219" s="22">
        <v>22</v>
      </c>
      <c r="Q1219" s="22">
        <v>13</v>
      </c>
      <c r="R1219" s="20"/>
      <c r="S1219" s="234"/>
      <c r="T1219" s="235"/>
    </row>
    <row r="1220" spans="1:20" x14ac:dyDescent="0.35">
      <c r="A1220" s="3" t="str">
        <f>IF(D1220="","",(VLOOKUP($D1220,KEY!$B$5:$D$74,3,FALSE)))</f>
        <v>Texas</v>
      </c>
      <c r="B1220" s="165">
        <f t="shared" si="0"/>
        <v>45566</v>
      </c>
      <c r="C1220" s="57" t="str">
        <f>IF($B1220="","",YEAR($B1220)&amp;"-"&amp;IFERROR(VLOOKUP(MONTH(B1220),KEY!$AE$5:$AF$16,2,FALSE),""))</f>
        <v>2024-Q4</v>
      </c>
      <c r="D1220" s="3" t="s">
        <v>156</v>
      </c>
      <c r="E1220" s="219">
        <v>61</v>
      </c>
      <c r="F1220" s="166">
        <v>210</v>
      </c>
      <c r="G1220" s="166">
        <v>224</v>
      </c>
      <c r="H1220" s="21">
        <v>381</v>
      </c>
      <c r="I1220" s="21">
        <v>63</v>
      </c>
      <c r="J1220" s="21">
        <v>179</v>
      </c>
      <c r="K1220" s="21">
        <v>42</v>
      </c>
      <c r="L1220" s="21">
        <v>263</v>
      </c>
      <c r="M1220" s="21">
        <v>81</v>
      </c>
      <c r="N1220" s="21">
        <v>214</v>
      </c>
      <c r="O1220" s="19">
        <v>374</v>
      </c>
      <c r="P1220" s="22">
        <v>11</v>
      </c>
      <c r="Q1220" s="22">
        <v>5</v>
      </c>
      <c r="R1220" s="20"/>
      <c r="S1220" s="234">
        <f>COUNTIFS(INP_DATA!$R$5:$R$3027,S$4,INP_DATA!$D$5:$D$3027,$D1220,INP_DATA!$B$5:$B$3027,$B1220)</f>
        <v>0</v>
      </c>
      <c r="T1220" s="235">
        <f>COUNTIFS(INP_DATA!$R$5:$R$3027,T$4,INP_DATA!$D$5:$D$3027,$D1220,INP_DATA!$B$5:$B$3027,$B1220)</f>
        <v>0</v>
      </c>
    </row>
    <row r="1221" spans="1:20" x14ac:dyDescent="0.35">
      <c r="A1221" s="3" t="str">
        <f>IF(D1221="","",(VLOOKUP($D1221,KEY!$B$5:$D$74,3,FALSE)))</f>
        <v>Texas</v>
      </c>
      <c r="B1221" s="165">
        <f t="shared" si="0"/>
        <v>45566</v>
      </c>
      <c r="C1221" s="57" t="str">
        <f>IF($B1221="","",YEAR($B1221)&amp;"-"&amp;IFERROR(VLOOKUP(MONTH(B1221),KEY!$AE$5:$AF$16,2,FALSE),""))</f>
        <v>2024-Q4</v>
      </c>
      <c r="D1221" s="3" t="s">
        <v>157</v>
      </c>
      <c r="E1221" s="219">
        <v>9</v>
      </c>
      <c r="F1221" s="166">
        <v>380</v>
      </c>
      <c r="G1221" s="166">
        <v>318</v>
      </c>
      <c r="H1221" s="21">
        <v>711</v>
      </c>
      <c r="I1221" s="21">
        <v>81</v>
      </c>
      <c r="J1221" s="21">
        <v>337</v>
      </c>
      <c r="K1221" s="21">
        <v>55</v>
      </c>
      <c r="L1221" s="21">
        <v>915</v>
      </c>
      <c r="M1221" s="21">
        <v>185</v>
      </c>
      <c r="N1221" s="21">
        <v>389</v>
      </c>
      <c r="O1221" s="19">
        <v>726</v>
      </c>
      <c r="P1221" s="22">
        <v>7</v>
      </c>
      <c r="Q1221" s="22">
        <v>1</v>
      </c>
      <c r="R1221" s="20"/>
      <c r="S1221" s="234">
        <f>COUNTIFS(INP_DATA!$R$5:$R$3027,S$4,INP_DATA!$D$5:$D$3027,$D1221,INP_DATA!$B$5:$B$3027,$B1221)</f>
        <v>0</v>
      </c>
      <c r="T1221" s="235">
        <f>COUNTIFS(INP_DATA!$R$5:$R$3027,T$4,INP_DATA!$D$5:$D$3027,$D1221,INP_DATA!$B$5:$B$3027,$B1221)</f>
        <v>0</v>
      </c>
    </row>
    <row r="1222" spans="1:20" x14ac:dyDescent="0.35">
      <c r="A1222" s="3" t="str">
        <f>IF(D1222="","",(VLOOKUP($D1222,KEY!$B$5:$D$74,3,FALSE)))</f>
        <v>Arizona</v>
      </c>
      <c r="B1222" s="165">
        <f t="shared" si="0"/>
        <v>45566</v>
      </c>
      <c r="C1222" s="57" t="str">
        <f>IF($B1222="","",YEAR($B1222)&amp;"-"&amp;IFERROR(VLOOKUP(MONTH(B1222),KEY!$AE$5:$AF$16,2,FALSE),""))</f>
        <v>2024-Q4</v>
      </c>
      <c r="D1222" s="3" t="s">
        <v>158</v>
      </c>
      <c r="E1222" s="219">
        <v>2</v>
      </c>
      <c r="F1222" s="166">
        <v>23</v>
      </c>
      <c r="G1222" s="166">
        <v>24</v>
      </c>
      <c r="H1222" s="21">
        <v>98</v>
      </c>
      <c r="I1222" s="21">
        <v>5</v>
      </c>
      <c r="J1222" s="21">
        <v>32</v>
      </c>
      <c r="K1222" s="21">
        <v>5</v>
      </c>
      <c r="L1222" s="21">
        <v>58</v>
      </c>
      <c r="M1222" s="21">
        <v>20</v>
      </c>
      <c r="N1222" s="21">
        <v>23</v>
      </c>
      <c r="O1222" s="19">
        <v>132</v>
      </c>
      <c r="P1222" s="22">
        <v>0</v>
      </c>
      <c r="Q1222" s="22">
        <v>0</v>
      </c>
      <c r="R1222" s="20"/>
      <c r="S1222" s="234">
        <f>COUNTIFS(INP_DATA!$R$5:$R$3027,S$4,INP_DATA!$D$5:$D$3027,$D1222,INP_DATA!$B$5:$B$3027,$B1222)</f>
        <v>0</v>
      </c>
      <c r="T1222" s="235">
        <f>COUNTIFS(INP_DATA!$R$5:$R$3027,T$4,INP_DATA!$D$5:$D$3027,$D1222,INP_DATA!$B$5:$B$3027,$B1222)</f>
        <v>0</v>
      </c>
    </row>
    <row r="1223" spans="1:20" x14ac:dyDescent="0.35">
      <c r="A1223" s="3" t="str">
        <f>IF(D1223="","",(VLOOKUP($D1223,KEY!$B$5:$D$74,3,FALSE)))</f>
        <v>Orange County</v>
      </c>
      <c r="B1223" s="165">
        <f t="shared" si="0"/>
        <v>45566</v>
      </c>
      <c r="C1223" s="57" t="str">
        <f>IF($B1223="","",YEAR($B1223)&amp;"-"&amp;IFERROR(VLOOKUP(MONTH(B1223),KEY!$AE$5:$AF$16,2,FALSE),""))</f>
        <v>2024-Q4</v>
      </c>
      <c r="D1223" s="3" t="s">
        <v>159</v>
      </c>
      <c r="E1223" s="219">
        <v>19</v>
      </c>
      <c r="F1223" s="166">
        <v>100</v>
      </c>
      <c r="G1223" s="166">
        <v>88</v>
      </c>
      <c r="H1223" s="21">
        <v>186</v>
      </c>
      <c r="I1223" s="21">
        <v>33</v>
      </c>
      <c r="J1223" s="21">
        <v>71</v>
      </c>
      <c r="K1223" s="21">
        <v>19</v>
      </c>
      <c r="L1223" s="21">
        <v>176</v>
      </c>
      <c r="M1223" s="21">
        <v>64</v>
      </c>
      <c r="N1223" s="21">
        <v>101</v>
      </c>
      <c r="O1223" s="19">
        <v>198</v>
      </c>
      <c r="P1223" s="22">
        <v>4</v>
      </c>
      <c r="Q1223" s="22">
        <v>3</v>
      </c>
      <c r="R1223" s="20"/>
      <c r="S1223" s="234">
        <f>COUNTIFS(INP_DATA!$R$5:$R$3027,S$4,INP_DATA!$D$5:$D$3027,$D1223,INP_DATA!$B$5:$B$3027,$B1223)</f>
        <v>0</v>
      </c>
      <c r="T1223" s="235">
        <f>COUNTIFS(INP_DATA!$R$5:$R$3027,T$4,INP_DATA!$D$5:$D$3027,$D1223,INP_DATA!$B$5:$B$3027,$B1223)</f>
        <v>0</v>
      </c>
    </row>
    <row r="1224" spans="1:20" x14ac:dyDescent="0.35">
      <c r="A1224" s="3" t="str">
        <f>IF(D1224="","",(VLOOKUP($D1224,KEY!$B$5:$D$74,3,FALSE)))</f>
        <v>Arizona</v>
      </c>
      <c r="B1224" s="165">
        <f t="shared" si="0"/>
        <v>45566</v>
      </c>
      <c r="C1224" s="57" t="str">
        <f>IF($B1224="","",YEAR($B1224)&amp;"-"&amp;IFERROR(VLOOKUP(MONTH(B1224),KEY!$AE$5:$AF$16,2,FALSE),""))</f>
        <v>2024-Q4</v>
      </c>
      <c r="D1224" s="3" t="s">
        <v>160</v>
      </c>
      <c r="E1224" s="219">
        <v>63</v>
      </c>
      <c r="F1224" s="166">
        <v>330</v>
      </c>
      <c r="G1224" s="166">
        <v>331</v>
      </c>
      <c r="H1224" s="21">
        <v>711</v>
      </c>
      <c r="I1224" s="21">
        <v>106</v>
      </c>
      <c r="J1224" s="21">
        <v>212</v>
      </c>
      <c r="K1224" s="21">
        <v>46</v>
      </c>
      <c r="L1224" s="21">
        <v>507</v>
      </c>
      <c r="M1224" s="21">
        <v>220</v>
      </c>
      <c r="N1224" s="21">
        <v>342</v>
      </c>
      <c r="O1224" s="19">
        <v>528</v>
      </c>
      <c r="P1224" s="22">
        <v>32</v>
      </c>
      <c r="Q1224" s="22">
        <v>14</v>
      </c>
      <c r="R1224" s="20"/>
      <c r="S1224" s="234">
        <f>COUNTIFS(INP_DATA!$R$5:$R$3027,S$4,INP_DATA!$D$5:$D$3027,$D1224,INP_DATA!$B$5:$B$3027,$B1224)</f>
        <v>0</v>
      </c>
      <c r="T1224" s="235">
        <f>COUNTIFS(INP_DATA!$R$5:$R$3027,T$4,INP_DATA!$D$5:$D$3027,$D1224,INP_DATA!$B$5:$B$3027,$B1224)</f>
        <v>0</v>
      </c>
    </row>
    <row r="1225" spans="1:20" x14ac:dyDescent="0.35">
      <c r="A1225" s="3" t="str">
        <f>IF(D1225="","",(VLOOKUP($D1225,KEY!$B$5:$D$74,3,FALSE)))</f>
        <v>Northern California</v>
      </c>
      <c r="B1225" s="165">
        <f t="shared" si="0"/>
        <v>45566</v>
      </c>
      <c r="C1225" s="57" t="str">
        <f>IF($B1225="","",YEAR($B1225)&amp;"-"&amp;IFERROR(VLOOKUP(MONTH(B1225),KEY!$AE$5:$AF$16,2,FALSE),""))</f>
        <v>2024-Q4</v>
      </c>
      <c r="D1225" s="3" t="s">
        <v>161</v>
      </c>
      <c r="E1225" s="219">
        <v>41</v>
      </c>
      <c r="F1225" s="166">
        <v>242</v>
      </c>
      <c r="G1225" s="166">
        <v>296</v>
      </c>
      <c r="H1225" s="21">
        <v>449</v>
      </c>
      <c r="I1225" s="21">
        <v>71</v>
      </c>
      <c r="J1225" s="21">
        <v>187</v>
      </c>
      <c r="K1225" s="21">
        <v>44</v>
      </c>
      <c r="L1225" s="21">
        <v>346</v>
      </c>
      <c r="M1225" s="21">
        <v>110</v>
      </c>
      <c r="N1225" s="21">
        <v>260</v>
      </c>
      <c r="O1225" s="19">
        <v>462</v>
      </c>
      <c r="P1225" s="22">
        <v>9</v>
      </c>
      <c r="Q1225" s="22">
        <v>8</v>
      </c>
      <c r="R1225" s="20"/>
      <c r="S1225" s="234">
        <f>COUNTIFS(INP_DATA!$R$5:$R$3027,S$4,INP_DATA!$D$5:$D$3027,$D1225,INP_DATA!$B$5:$B$3027,$B1225)</f>
        <v>0</v>
      </c>
      <c r="T1225" s="235">
        <f>COUNTIFS(INP_DATA!$R$5:$R$3027,T$4,INP_DATA!$D$5:$D$3027,$D1225,INP_DATA!$B$5:$B$3027,$B1225)</f>
        <v>0</v>
      </c>
    </row>
    <row r="1226" spans="1:20" x14ac:dyDescent="0.35">
      <c r="A1226" s="3" t="e">
        <f>IF(D1226="","",(VLOOKUP($D1226,KEY!$B$5:$D$74,3,FALSE)))</f>
        <v>#N/A</v>
      </c>
      <c r="B1226" s="165">
        <f t="shared" si="0"/>
        <v>45566</v>
      </c>
      <c r="C1226" s="57" t="str">
        <f>IF($B1226="","",YEAR($B1226)&amp;"-"&amp;IFERROR(VLOOKUP(MONTH(B1226),KEY!$AE$5:$AF$16,2,FALSE),""))</f>
        <v>2024-Q4</v>
      </c>
      <c r="D1226" s="3" t="s">
        <v>162</v>
      </c>
      <c r="E1226" s="219">
        <v>110</v>
      </c>
      <c r="F1226" s="166">
        <v>341</v>
      </c>
      <c r="G1226" s="166">
        <v>426</v>
      </c>
      <c r="H1226" s="21">
        <v>241</v>
      </c>
      <c r="I1226" s="21">
        <v>69</v>
      </c>
      <c r="J1226" s="21">
        <v>158</v>
      </c>
      <c r="K1226" s="21">
        <v>70</v>
      </c>
      <c r="L1226" s="21">
        <v>874</v>
      </c>
      <c r="M1226" s="21">
        <v>211</v>
      </c>
      <c r="N1226" s="21">
        <v>345</v>
      </c>
      <c r="O1226" s="19">
        <v>660</v>
      </c>
      <c r="P1226" s="22">
        <v>33</v>
      </c>
      <c r="Q1226" s="22">
        <v>27</v>
      </c>
      <c r="R1226" s="20"/>
      <c r="S1226" s="234">
        <f>COUNTIFS(INP_DATA!$R$5:$R$3027,S$4,INP_DATA!$D$5:$D$3027,$D1226,INP_DATA!$B$5:$B$3027,$B1226)</f>
        <v>0</v>
      </c>
      <c r="T1226" s="235">
        <f>COUNTIFS(INP_DATA!$R$5:$R$3027,T$4,INP_DATA!$D$5:$D$3027,$D1226,INP_DATA!$B$5:$B$3027,$B1226)</f>
        <v>0</v>
      </c>
    </row>
    <row r="1227" spans="1:20" x14ac:dyDescent="0.35">
      <c r="A1227" s="3" t="str">
        <f>IF(D1227="","",(VLOOKUP($D1227,KEY!$B$5:$D$74,3,FALSE)))</f>
        <v>Arizona</v>
      </c>
      <c r="B1227" s="165">
        <f t="shared" si="0"/>
        <v>45566</v>
      </c>
      <c r="C1227" s="57" t="str">
        <f>IF($B1227="","",YEAR($B1227)&amp;"-"&amp;IFERROR(VLOOKUP(MONTH(B1227),KEY!$AE$5:$AF$16,2,FALSE),""))</f>
        <v>2024-Q4</v>
      </c>
      <c r="D1227" s="3" t="s">
        <v>163</v>
      </c>
      <c r="E1227" s="219">
        <v>65</v>
      </c>
      <c r="F1227" s="166">
        <v>273</v>
      </c>
      <c r="G1227" s="166">
        <v>282</v>
      </c>
      <c r="H1227" s="21">
        <v>424</v>
      </c>
      <c r="I1227" s="21">
        <v>69</v>
      </c>
      <c r="J1227" s="21">
        <v>180</v>
      </c>
      <c r="K1227" s="21">
        <v>39</v>
      </c>
      <c r="L1227" s="21">
        <v>395</v>
      </c>
      <c r="M1227" s="21">
        <v>173</v>
      </c>
      <c r="N1227" s="21">
        <v>274</v>
      </c>
      <c r="O1227" s="19">
        <v>396</v>
      </c>
      <c r="P1227" s="22">
        <v>12</v>
      </c>
      <c r="Q1227" s="22">
        <v>3</v>
      </c>
      <c r="R1227" s="20"/>
      <c r="S1227" s="234">
        <f>COUNTIFS(INP_DATA!$R$5:$R$3027,S$4,INP_DATA!$D$5:$D$3027,$D1227,INP_DATA!$B$5:$B$3027,$B1227)</f>
        <v>0</v>
      </c>
      <c r="T1227" s="235">
        <f>COUNTIFS(INP_DATA!$R$5:$R$3027,T$4,INP_DATA!$D$5:$D$3027,$D1227,INP_DATA!$B$5:$B$3027,$B1227)</f>
        <v>0</v>
      </c>
    </row>
    <row r="1228" spans="1:20" x14ac:dyDescent="0.35">
      <c r="A1228" s="3" t="str">
        <f>IF(D1228="","",(VLOOKUP($D1228,KEY!$B$5:$D$74,3,FALSE)))</f>
        <v>Arizona</v>
      </c>
      <c r="B1228" s="165">
        <f t="shared" si="0"/>
        <v>45566</v>
      </c>
      <c r="C1228" s="57" t="str">
        <f>IF($B1228="","",YEAR($B1228)&amp;"-"&amp;IFERROR(VLOOKUP(MONTH(B1228),KEY!$AE$5:$AF$16,2,FALSE),""))</f>
        <v>2024-Q4</v>
      </c>
      <c r="D1228" s="3" t="s">
        <v>164</v>
      </c>
      <c r="E1228" s="219">
        <v>9</v>
      </c>
      <c r="F1228" s="166">
        <v>66</v>
      </c>
      <c r="G1228" s="166">
        <v>87</v>
      </c>
      <c r="H1228" s="21">
        <v>92</v>
      </c>
      <c r="I1228" s="21">
        <v>18</v>
      </c>
      <c r="J1228" s="21">
        <v>32</v>
      </c>
      <c r="K1228" s="21">
        <v>11</v>
      </c>
      <c r="L1228" s="21">
        <v>103</v>
      </c>
      <c r="M1228" s="21">
        <v>49</v>
      </c>
      <c r="N1228" s="21">
        <v>73</v>
      </c>
      <c r="O1228" s="19">
        <v>132</v>
      </c>
      <c r="P1228" s="22">
        <v>17</v>
      </c>
      <c r="Q1228" s="22">
        <v>8</v>
      </c>
      <c r="R1228" s="20"/>
      <c r="S1228" s="234">
        <f>COUNTIFS(INP_DATA!$R$5:$R$3027,S$4,INP_DATA!$D$5:$D$3027,$D1228,INP_DATA!$B$5:$B$3027,$B1228)</f>
        <v>0</v>
      </c>
      <c r="T1228" s="235">
        <f>COUNTIFS(INP_DATA!$R$5:$R$3027,T$4,INP_DATA!$D$5:$D$3027,$D1228,INP_DATA!$B$5:$B$3027,$B1228)</f>
        <v>0</v>
      </c>
    </row>
    <row r="1229" spans="1:20" x14ac:dyDescent="0.35">
      <c r="A1229" s="3" t="str">
        <f>IF(D1229="","",(VLOOKUP($D1229,KEY!$B$5:$D$74,3,FALSE)))</f>
        <v>Orange County</v>
      </c>
      <c r="B1229" s="165">
        <f t="shared" ref="B1229:B1292" si="1">B1228</f>
        <v>45566</v>
      </c>
      <c r="C1229" s="57" t="str">
        <f>IF($B1229="","",YEAR($B1229)&amp;"-"&amp;IFERROR(VLOOKUP(MONTH(B1229),KEY!$AE$5:$AF$16,2,FALSE),""))</f>
        <v>2024-Q4</v>
      </c>
      <c r="D1229" s="3" t="s">
        <v>165</v>
      </c>
      <c r="E1229" s="219">
        <v>16</v>
      </c>
      <c r="F1229" s="166">
        <v>59</v>
      </c>
      <c r="G1229" s="166">
        <v>106</v>
      </c>
      <c r="H1229" s="21">
        <v>152</v>
      </c>
      <c r="I1229" s="21">
        <v>20</v>
      </c>
      <c r="J1229" s="21">
        <v>28</v>
      </c>
      <c r="K1229" s="21">
        <v>6</v>
      </c>
      <c r="L1229" s="21">
        <v>102</v>
      </c>
      <c r="M1229" s="21">
        <v>44</v>
      </c>
      <c r="N1229" s="21">
        <v>60</v>
      </c>
      <c r="O1229" s="19">
        <v>176</v>
      </c>
      <c r="P1229" s="22">
        <v>42</v>
      </c>
      <c r="Q1229" s="22">
        <v>23</v>
      </c>
      <c r="R1229" s="20"/>
      <c r="S1229" s="234">
        <f>COUNTIFS(INP_DATA!$R$5:$R$3027,S$4,INP_DATA!$D$5:$D$3027,$D1229,INP_DATA!$B$5:$B$3027,$B1229)</f>
        <v>0</v>
      </c>
      <c r="T1229" s="235">
        <f>COUNTIFS(INP_DATA!$R$5:$R$3027,T$4,INP_DATA!$D$5:$D$3027,$D1229,INP_DATA!$B$5:$B$3027,$B1229)</f>
        <v>0</v>
      </c>
    </row>
    <row r="1230" spans="1:20" x14ac:dyDescent="0.35">
      <c r="A1230" s="3" t="str">
        <f>IF(D1230="","",(VLOOKUP($D1230,KEY!$B$5:$D$74,3,FALSE)))</f>
        <v/>
      </c>
      <c r="B1230" s="165">
        <f t="shared" si="1"/>
        <v>45566</v>
      </c>
      <c r="C1230" s="57" t="str">
        <f>IF($B1230="","",YEAR($B1230)&amp;"-"&amp;IFERROR(VLOOKUP(MONTH(B1230),KEY!$AE$5:$AF$16,2,FALSE),""))</f>
        <v>2024-Q4</v>
      </c>
      <c r="D1230" s="3"/>
      <c r="E1230" s="219"/>
      <c r="F1230" s="166"/>
      <c r="G1230" s="166"/>
      <c r="H1230" s="21"/>
      <c r="I1230" s="21"/>
      <c r="J1230" s="21"/>
      <c r="K1230" s="21"/>
      <c r="L1230" s="21"/>
      <c r="M1230" s="21"/>
      <c r="N1230" s="21"/>
      <c r="O1230" s="19"/>
      <c r="P1230" s="22"/>
      <c r="Q1230" s="22"/>
      <c r="R1230" s="20"/>
      <c r="S1230" s="234">
        <f>COUNTIFS(INP_DATA!$R$5:$R$3027,S$4,INP_DATA!$D$5:$D$3027,$D1230,INP_DATA!$B$5:$B$3027,$B1230)</f>
        <v>0</v>
      </c>
      <c r="T1230" s="235">
        <f>COUNTIFS(INP_DATA!$R$5:$R$3027,T$4,INP_DATA!$D$5:$D$3027,$D1230,INP_DATA!$B$5:$B$3027,$B1230)</f>
        <v>0</v>
      </c>
    </row>
    <row r="1231" spans="1:20" x14ac:dyDescent="0.35">
      <c r="A1231" s="3" t="str">
        <f>IF(D1231="","",(VLOOKUP($D1231,KEY!$B$5:$D$74,3,FALSE)))</f>
        <v/>
      </c>
      <c r="B1231" s="165">
        <f t="shared" si="1"/>
        <v>45566</v>
      </c>
      <c r="C1231" s="57" t="str">
        <f>IF($B1231="","",YEAR($B1231)&amp;"-"&amp;IFERROR(VLOOKUP(MONTH(B1231),KEY!$AE$5:$AF$16,2,FALSE),""))</f>
        <v>2024-Q4</v>
      </c>
      <c r="D1231" s="3"/>
      <c r="E1231" s="219"/>
      <c r="F1231" s="166"/>
      <c r="G1231" s="166"/>
      <c r="H1231" s="21"/>
      <c r="I1231" s="21"/>
      <c r="J1231" s="21"/>
      <c r="K1231" s="21"/>
      <c r="L1231" s="21"/>
      <c r="M1231" s="21"/>
      <c r="N1231" s="21"/>
      <c r="O1231" s="19"/>
      <c r="P1231" s="22"/>
      <c r="Q1231" s="22"/>
      <c r="R1231" s="20"/>
      <c r="S1231" s="234">
        <f>COUNTIFS(INP_DATA!$R$5:$R$3027,S$4,INP_DATA!$D$5:$D$3027,$D1231,INP_DATA!$B$5:$B$3027,$B1231)</f>
        <v>0</v>
      </c>
      <c r="T1231" s="235">
        <f>COUNTIFS(INP_DATA!$R$5:$R$3027,T$4,INP_DATA!$D$5:$D$3027,$D1231,INP_DATA!$B$5:$B$3027,$B1231)</f>
        <v>0</v>
      </c>
    </row>
    <row r="1232" spans="1:20" x14ac:dyDescent="0.35">
      <c r="A1232" s="3" t="str">
        <f>IF(D1232="","",(VLOOKUP($D1232,KEY!$B$5:$D$74,3,FALSE)))</f>
        <v/>
      </c>
      <c r="B1232" s="426">
        <f t="shared" si="1"/>
        <v>45566</v>
      </c>
      <c r="C1232" s="427" t="str">
        <f>IF($B1232="","",YEAR($B1232)&amp;"-"&amp;IFERROR(VLOOKUP(MONTH(B1232),KEY!$AE$5:$AF$16,2,FALSE),""))</f>
        <v>2024-Q4</v>
      </c>
      <c r="D1232" s="428"/>
      <c r="E1232" s="429"/>
      <c r="F1232" s="430"/>
      <c r="G1232" s="430"/>
      <c r="H1232" s="431"/>
      <c r="I1232" s="431"/>
      <c r="J1232" s="431"/>
      <c r="K1232" s="431"/>
      <c r="L1232" s="431"/>
      <c r="M1232" s="431"/>
      <c r="N1232" s="431"/>
      <c r="O1232" s="432"/>
      <c r="P1232" s="433"/>
      <c r="Q1232" s="433"/>
      <c r="R1232" s="20"/>
      <c r="S1232" s="234">
        <f>COUNTIFS(INP_DATA!$R$5:$R$3027,S$4,INP_DATA!$D$5:$D$3027,$D1232,INP_DATA!$B$5:$B$3027,$B1232)</f>
        <v>0</v>
      </c>
      <c r="T1232" s="235">
        <f>COUNTIFS(INP_DATA!$R$5:$R$3027,T$4,INP_DATA!$D$5:$D$3027,$D1232,INP_DATA!$B$5:$B$3027,$B1232)</f>
        <v>0</v>
      </c>
    </row>
    <row r="1233" spans="1:20" x14ac:dyDescent="0.35">
      <c r="A1233" s="3" t="str">
        <f>IF(D1233="","",(VLOOKUP($D1233,KEY!$B$5:$D$74,3,FALSE)))</f>
        <v>Arizona</v>
      </c>
      <c r="B1233" s="165">
        <f>DATE(YEAR(B1232+31),MONTH(B1232+31),1)</f>
        <v>45597</v>
      </c>
      <c r="C1233" s="57" t="str">
        <f>IF($B1233="","",YEAR($B1233)&amp;"-"&amp;IFERROR(VLOOKUP(MONTH(B1233),KEY!$AE$5:$AF$16,2,FALSE),""))</f>
        <v>2024-Q4</v>
      </c>
      <c r="D1233" s="3" t="s">
        <v>111</v>
      </c>
      <c r="E1233" s="219">
        <v>15</v>
      </c>
      <c r="F1233" s="166">
        <v>69</v>
      </c>
      <c r="G1233" s="166">
        <v>76</v>
      </c>
      <c r="H1233" s="21">
        <v>123</v>
      </c>
      <c r="I1233" s="21">
        <v>25</v>
      </c>
      <c r="J1233" s="21">
        <v>60</v>
      </c>
      <c r="K1233" s="21">
        <v>5</v>
      </c>
      <c r="L1233" s="21">
        <v>120</v>
      </c>
      <c r="M1233" s="21">
        <v>46</v>
      </c>
      <c r="N1233" s="21">
        <v>70</v>
      </c>
      <c r="O1233" s="19">
        <v>154</v>
      </c>
      <c r="P1233" s="22">
        <v>7</v>
      </c>
      <c r="Q1233" s="22">
        <v>5</v>
      </c>
      <c r="R1233" s="20"/>
      <c r="S1233" s="234">
        <f>COUNTIFS(INP_DATA!$R$5:$R$3027,S$4,INP_DATA!$D$5:$D$3027,$D1233,INP_DATA!$B$5:$B$3027,$B1233)</f>
        <v>0</v>
      </c>
      <c r="T1233" s="235">
        <f>COUNTIFS(INP_DATA!$R$5:$R$3027,T$4,INP_DATA!$D$5:$D$3027,$D1233,INP_DATA!$B$5:$B$3027,$B1233)</f>
        <v>0</v>
      </c>
    </row>
    <row r="1234" spans="1:20" x14ac:dyDescent="0.35">
      <c r="A1234" s="3" t="str">
        <f>IF(D1234="","",(VLOOKUP($D1234,KEY!$B$5:$D$74,3,FALSE)))</f>
        <v>Southern California</v>
      </c>
      <c r="B1234" s="165">
        <f t="shared" si="1"/>
        <v>45597</v>
      </c>
      <c r="C1234" s="57" t="str">
        <f>IF($B1234="","",YEAR($B1234)&amp;"-"&amp;IFERROR(VLOOKUP(MONTH(B1234),KEY!$AE$5:$AF$16,2,FALSE),""))</f>
        <v>2024-Q4</v>
      </c>
      <c r="D1234" s="3" t="s">
        <v>112</v>
      </c>
      <c r="E1234" s="219">
        <v>7</v>
      </c>
      <c r="F1234" s="166">
        <v>44</v>
      </c>
      <c r="G1234" s="166">
        <v>32</v>
      </c>
      <c r="H1234" s="21">
        <v>54</v>
      </c>
      <c r="I1234" s="21">
        <v>8</v>
      </c>
      <c r="J1234" s="21">
        <v>32</v>
      </c>
      <c r="K1234" s="21">
        <v>8</v>
      </c>
      <c r="L1234" s="21">
        <v>86</v>
      </c>
      <c r="M1234" s="21">
        <v>32</v>
      </c>
      <c r="N1234" s="21">
        <v>44</v>
      </c>
      <c r="O1234" s="19">
        <v>88</v>
      </c>
      <c r="P1234" s="22">
        <v>7</v>
      </c>
      <c r="Q1234" s="22">
        <v>5</v>
      </c>
      <c r="R1234" s="20"/>
      <c r="S1234" s="234">
        <f>COUNTIFS(INP_DATA!$R$5:$R$3027,S$4,INP_DATA!$D$5:$D$3027,$D1234,INP_DATA!$B$5:$B$3027,$B1234)</f>
        <v>0</v>
      </c>
      <c r="T1234" s="235">
        <f>COUNTIFS(INP_DATA!$R$5:$R$3027,T$4,INP_DATA!$D$5:$D$3027,$D1234,INP_DATA!$B$5:$B$3027,$B1234)</f>
        <v>0</v>
      </c>
    </row>
    <row r="1235" spans="1:20" x14ac:dyDescent="0.35">
      <c r="A1235" s="3" t="str">
        <f>IF(D1235="","",(VLOOKUP($D1235,KEY!$B$5:$D$74,3,FALSE)))</f>
        <v>Arizona</v>
      </c>
      <c r="B1235" s="165">
        <f t="shared" si="1"/>
        <v>45597</v>
      </c>
      <c r="C1235" s="57" t="str">
        <f>IF($B1235="","",YEAR($B1235)&amp;"-"&amp;IFERROR(VLOOKUP(MONTH(B1235),KEY!$AE$5:$AF$16,2,FALSE),""))</f>
        <v>2024-Q4</v>
      </c>
      <c r="D1235" s="3" t="s">
        <v>113</v>
      </c>
      <c r="E1235" s="219">
        <v>14</v>
      </c>
      <c r="F1235" s="166">
        <v>89</v>
      </c>
      <c r="G1235" s="166">
        <v>72</v>
      </c>
      <c r="H1235" s="21">
        <v>172</v>
      </c>
      <c r="I1235" s="21">
        <v>33</v>
      </c>
      <c r="J1235" s="21">
        <v>58</v>
      </c>
      <c r="K1235" s="21">
        <v>21</v>
      </c>
      <c r="L1235" s="21">
        <v>185</v>
      </c>
      <c r="M1235" s="21">
        <v>74</v>
      </c>
      <c r="N1235" s="21">
        <v>89</v>
      </c>
      <c r="O1235" s="19">
        <v>154</v>
      </c>
      <c r="P1235" s="22">
        <v>4</v>
      </c>
      <c r="Q1235" s="22">
        <v>1</v>
      </c>
      <c r="R1235" s="20"/>
      <c r="S1235" s="234">
        <f>COUNTIFS(INP_DATA!$R$5:$R$3027,S$4,INP_DATA!$D$5:$D$3027,$D1235,INP_DATA!$B$5:$B$3027,$B1235)</f>
        <v>0</v>
      </c>
      <c r="T1235" s="235">
        <f>COUNTIFS(INP_DATA!$R$5:$R$3027,T$4,INP_DATA!$D$5:$D$3027,$D1235,INP_DATA!$B$5:$B$3027,$B1235)</f>
        <v>0</v>
      </c>
    </row>
    <row r="1236" spans="1:20" x14ac:dyDescent="0.35">
      <c r="A1236" s="3" t="str">
        <f>IF(D1236="","",(VLOOKUP($D1236,KEY!$B$5:$D$74,3,FALSE)))</f>
        <v>Southern California</v>
      </c>
      <c r="B1236" s="165">
        <f t="shared" si="1"/>
        <v>45597</v>
      </c>
      <c r="C1236" s="57" t="str">
        <f>IF($B1236="","",YEAR($B1236)&amp;"-"&amp;IFERROR(VLOOKUP(MONTH(B1236),KEY!$AE$5:$AF$16,2,FALSE),""))</f>
        <v>2024-Q4</v>
      </c>
      <c r="D1236" s="3" t="s">
        <v>114</v>
      </c>
      <c r="E1236" s="219">
        <v>15</v>
      </c>
      <c r="F1236" s="166">
        <v>56</v>
      </c>
      <c r="G1236" s="166">
        <v>66</v>
      </c>
      <c r="H1236" s="21">
        <v>79</v>
      </c>
      <c r="I1236" s="21">
        <v>14</v>
      </c>
      <c r="J1236" s="21">
        <v>27</v>
      </c>
      <c r="K1236" s="21">
        <v>7</v>
      </c>
      <c r="L1236" s="21">
        <v>65</v>
      </c>
      <c r="M1236" s="21">
        <v>33</v>
      </c>
      <c r="N1236" s="21">
        <v>60</v>
      </c>
      <c r="O1236" s="19">
        <v>110</v>
      </c>
      <c r="P1236" s="22">
        <v>14</v>
      </c>
      <c r="Q1236" s="22">
        <v>10</v>
      </c>
      <c r="R1236" s="20"/>
      <c r="S1236" s="234">
        <f>COUNTIFS(INP_DATA!$R$5:$R$3027,S$4,INP_DATA!$D$5:$D$3027,$D1236,INP_DATA!$B$5:$B$3027,$B1236)</f>
        <v>0</v>
      </c>
      <c r="T1236" s="235">
        <f>COUNTIFS(INP_DATA!$R$5:$R$3027,T$4,INP_DATA!$D$5:$D$3027,$D1236,INP_DATA!$B$5:$B$3027,$B1236)</f>
        <v>0</v>
      </c>
    </row>
    <row r="1237" spans="1:20" x14ac:dyDescent="0.35">
      <c r="A1237" s="3" t="str">
        <f>IF(D1237="","",(VLOOKUP($D1237,KEY!$B$5:$D$74,3,FALSE)))</f>
        <v>Orange County</v>
      </c>
      <c r="B1237" s="165">
        <f t="shared" si="1"/>
        <v>45597</v>
      </c>
      <c r="C1237" s="57" t="str">
        <f>IF($B1237="","",YEAR($B1237)&amp;"-"&amp;IFERROR(VLOOKUP(MONTH(B1237),KEY!$AE$5:$AF$16,2,FALSE),""))</f>
        <v>2024-Q4</v>
      </c>
      <c r="D1237" s="3" t="s">
        <v>115</v>
      </c>
      <c r="E1237" s="219">
        <v>4</v>
      </c>
      <c r="F1237" s="166">
        <v>45</v>
      </c>
      <c r="G1237" s="166">
        <v>46</v>
      </c>
      <c r="H1237" s="21">
        <v>76</v>
      </c>
      <c r="I1237" s="21">
        <v>15</v>
      </c>
      <c r="J1237" s="21">
        <v>36</v>
      </c>
      <c r="K1237" s="21">
        <v>11</v>
      </c>
      <c r="L1237" s="21">
        <v>104</v>
      </c>
      <c r="M1237" s="21">
        <v>33</v>
      </c>
      <c r="N1237" s="21">
        <v>51</v>
      </c>
      <c r="O1237" s="19">
        <v>110</v>
      </c>
      <c r="P1237" s="22">
        <v>2</v>
      </c>
      <c r="Q1237" s="22">
        <v>1</v>
      </c>
      <c r="R1237" s="20"/>
      <c r="S1237" s="234">
        <f>COUNTIFS(INP_DATA!$R$5:$R$3027,S$4,INP_DATA!$D$5:$D$3027,$D1237,INP_DATA!$B$5:$B$3027,$B1237)</f>
        <v>0</v>
      </c>
      <c r="T1237" s="235">
        <f>COUNTIFS(INP_DATA!$R$5:$R$3027,T$4,INP_DATA!$D$5:$D$3027,$D1237,INP_DATA!$B$5:$B$3027,$B1237)</f>
        <v>0</v>
      </c>
    </row>
    <row r="1238" spans="1:20" x14ac:dyDescent="0.35">
      <c r="A1238" s="3" t="str">
        <f>IF(D1238="","",(VLOOKUP($D1238,KEY!$B$5:$D$74,3,FALSE)))</f>
        <v>Arizona</v>
      </c>
      <c r="B1238" s="165">
        <f t="shared" si="1"/>
        <v>45597</v>
      </c>
      <c r="C1238" s="57" t="str">
        <f>IF($B1238="","",YEAR($B1238)&amp;"-"&amp;IFERROR(VLOOKUP(MONTH(B1238),KEY!$AE$5:$AF$16,2,FALSE),""))</f>
        <v>2024-Q4</v>
      </c>
      <c r="D1238" s="3" t="s">
        <v>116</v>
      </c>
      <c r="E1238" s="219">
        <v>18</v>
      </c>
      <c r="F1238" s="166">
        <v>126</v>
      </c>
      <c r="G1238" s="166">
        <v>141</v>
      </c>
      <c r="H1238" s="21">
        <v>256</v>
      </c>
      <c r="I1238" s="21">
        <v>40</v>
      </c>
      <c r="J1238" s="21">
        <v>103</v>
      </c>
      <c r="K1238" s="21">
        <v>10</v>
      </c>
      <c r="L1238" s="21">
        <v>190</v>
      </c>
      <c r="M1238" s="21">
        <v>73</v>
      </c>
      <c r="N1238" s="21">
        <v>132</v>
      </c>
      <c r="O1238" s="19">
        <v>220</v>
      </c>
      <c r="P1238" s="22">
        <v>17</v>
      </c>
      <c r="Q1238" s="22">
        <v>10</v>
      </c>
      <c r="R1238" s="20"/>
      <c r="S1238" s="234">
        <f>COUNTIFS(INP_DATA!$R$5:$R$3027,S$4,INP_DATA!$D$5:$D$3027,$D1238,INP_DATA!$B$5:$B$3027,$B1238)</f>
        <v>0</v>
      </c>
      <c r="T1238" s="235">
        <f>COUNTIFS(INP_DATA!$R$5:$R$3027,T$4,INP_DATA!$D$5:$D$3027,$D1238,INP_DATA!$B$5:$B$3027,$B1238)</f>
        <v>0</v>
      </c>
    </row>
    <row r="1239" spans="1:20" x14ac:dyDescent="0.35">
      <c r="A1239" s="3" t="str">
        <f>IF(D1239="","",(VLOOKUP($D1239,KEY!$B$5:$D$74,3,FALSE)))</f>
        <v>Northern California</v>
      </c>
      <c r="B1239" s="165">
        <f t="shared" si="1"/>
        <v>45597</v>
      </c>
      <c r="C1239" s="57" t="str">
        <f>IF($B1239="","",YEAR($B1239)&amp;"-"&amp;IFERROR(VLOOKUP(MONTH(B1239),KEY!$AE$5:$AF$16,2,FALSE),""))</f>
        <v>2024-Q4</v>
      </c>
      <c r="D1239" s="3" t="s">
        <v>118</v>
      </c>
      <c r="E1239" s="219">
        <v>30</v>
      </c>
      <c r="F1239" s="166">
        <v>178</v>
      </c>
      <c r="G1239" s="166">
        <v>172</v>
      </c>
      <c r="H1239" s="21">
        <v>474</v>
      </c>
      <c r="I1239" s="21">
        <v>53</v>
      </c>
      <c r="J1239" s="21">
        <v>125</v>
      </c>
      <c r="K1239" s="21">
        <v>30</v>
      </c>
      <c r="L1239" s="21">
        <v>310</v>
      </c>
      <c r="M1239" s="21">
        <v>97</v>
      </c>
      <c r="N1239" s="21">
        <v>178</v>
      </c>
      <c r="O1239" s="19">
        <v>264</v>
      </c>
      <c r="P1239" s="22">
        <v>44</v>
      </c>
      <c r="Q1239" s="22">
        <v>33</v>
      </c>
      <c r="R1239" s="20"/>
      <c r="S1239" s="234">
        <f>COUNTIFS(INP_DATA!$R$5:$R$3027,S$4,INP_DATA!$D$5:$D$3027,$D1239,INP_DATA!$B$5:$B$3027,$B1239)</f>
        <v>0</v>
      </c>
      <c r="T1239" s="235">
        <f>COUNTIFS(INP_DATA!$R$5:$R$3027,T$4,INP_DATA!$D$5:$D$3027,$D1239,INP_DATA!$B$5:$B$3027,$B1239)</f>
        <v>0</v>
      </c>
    </row>
    <row r="1240" spans="1:20" x14ac:dyDescent="0.35">
      <c r="A1240" s="3" t="str">
        <f>IF(D1240="","",(VLOOKUP($D1240,KEY!$B$5:$D$74,3,FALSE)))</f>
        <v>Orange County</v>
      </c>
      <c r="B1240" s="165">
        <f t="shared" si="1"/>
        <v>45597</v>
      </c>
      <c r="C1240" s="57" t="str">
        <f>IF($B1240="","",YEAR($B1240)&amp;"-"&amp;IFERROR(VLOOKUP(MONTH(B1240),KEY!$AE$5:$AF$16,2,FALSE),""))</f>
        <v>2024-Q4</v>
      </c>
      <c r="D1240" s="3" t="s">
        <v>117</v>
      </c>
      <c r="E1240" s="219">
        <v>15</v>
      </c>
      <c r="F1240" s="166">
        <v>69</v>
      </c>
      <c r="G1240" s="166">
        <v>100</v>
      </c>
      <c r="H1240" s="21">
        <v>117</v>
      </c>
      <c r="I1240" s="21">
        <v>14</v>
      </c>
      <c r="J1240" s="21">
        <v>58</v>
      </c>
      <c r="K1240" s="21">
        <v>14</v>
      </c>
      <c r="L1240" s="21">
        <v>137</v>
      </c>
      <c r="M1240" s="21">
        <v>48</v>
      </c>
      <c r="N1240" s="21">
        <v>69</v>
      </c>
      <c r="O1240" s="19">
        <v>132</v>
      </c>
      <c r="P1240" s="22">
        <v>30</v>
      </c>
      <c r="Q1240" s="22">
        <v>18</v>
      </c>
      <c r="R1240" s="20"/>
      <c r="S1240" s="234">
        <f>COUNTIFS(INP_DATA!$R$5:$R$3027,S$4,INP_DATA!$D$5:$D$3027,$D1240,INP_DATA!$B$5:$B$3027,$B1240)</f>
        <v>0</v>
      </c>
      <c r="T1240" s="235">
        <f>COUNTIFS(INP_DATA!$R$5:$R$3027,T$4,INP_DATA!$D$5:$D$3027,$D1240,INP_DATA!$B$5:$B$3027,$B1240)</f>
        <v>0</v>
      </c>
    </row>
    <row r="1241" spans="1:20" x14ac:dyDescent="0.35">
      <c r="A1241" s="3" t="str">
        <f>IF(D1241="","",(VLOOKUP($D1241,KEY!$B$5:$D$74,3,FALSE)))</f>
        <v>Arizona</v>
      </c>
      <c r="B1241" s="165">
        <f t="shared" si="1"/>
        <v>45597</v>
      </c>
      <c r="C1241" s="57" t="str">
        <f>IF($B1241="","",YEAR($B1241)&amp;"-"&amp;IFERROR(VLOOKUP(MONTH(B1241),KEY!$AE$5:$AF$16,2,FALSE),""))</f>
        <v>2024-Q4</v>
      </c>
      <c r="D1241" s="3" t="s">
        <v>119</v>
      </c>
      <c r="E1241" s="219">
        <v>11</v>
      </c>
      <c r="F1241" s="166">
        <v>30</v>
      </c>
      <c r="G1241" s="166">
        <v>18</v>
      </c>
      <c r="H1241" s="21">
        <v>20</v>
      </c>
      <c r="I1241" s="21">
        <v>7</v>
      </c>
      <c r="J1241" s="21">
        <v>21</v>
      </c>
      <c r="K1241" s="21">
        <v>10</v>
      </c>
      <c r="L1241" s="21">
        <v>115</v>
      </c>
      <c r="M1241" s="21">
        <v>14</v>
      </c>
      <c r="N1241" s="21">
        <v>30</v>
      </c>
      <c r="O1241" s="19">
        <v>88</v>
      </c>
      <c r="P1241" s="22">
        <v>1</v>
      </c>
      <c r="Q1241" s="22">
        <v>0</v>
      </c>
      <c r="R1241" s="20"/>
      <c r="S1241" s="234">
        <f>COUNTIFS(INP_DATA!$R$5:$R$3027,S$4,INP_DATA!$D$5:$D$3027,$D1241,INP_DATA!$B$5:$B$3027,$B1241)</f>
        <v>0</v>
      </c>
      <c r="T1241" s="235">
        <f>COUNTIFS(INP_DATA!$R$5:$R$3027,T$4,INP_DATA!$D$5:$D$3027,$D1241,INP_DATA!$B$5:$B$3027,$B1241)</f>
        <v>0</v>
      </c>
    </row>
    <row r="1242" spans="1:20" x14ac:dyDescent="0.35">
      <c r="A1242" s="3" t="str">
        <f>IF(D1242="","",(VLOOKUP($D1242,KEY!$B$5:$D$74,3,FALSE)))</f>
        <v>Michigan &amp; Minnesota</v>
      </c>
      <c r="B1242" s="165">
        <f t="shared" si="1"/>
        <v>45597</v>
      </c>
      <c r="C1242" s="57" t="str">
        <f>IF($B1242="","",YEAR($B1242)&amp;"-"&amp;IFERROR(VLOOKUP(MONTH(B1242),KEY!$AE$5:$AF$16,2,FALSE),""))</f>
        <v>2024-Q4</v>
      </c>
      <c r="D1242" s="3" t="s">
        <v>199</v>
      </c>
      <c r="E1242" s="219">
        <v>0</v>
      </c>
      <c r="F1242" s="166">
        <v>447</v>
      </c>
      <c r="G1242" s="166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19">
        <v>748</v>
      </c>
      <c r="P1242" s="22">
        <v>0</v>
      </c>
      <c r="Q1242" s="22">
        <v>0</v>
      </c>
      <c r="R1242" s="20"/>
      <c r="S1242" s="234">
        <f>COUNTIFS(INP_DATA!$R$5:$R$3027,S$4,INP_DATA!$D$5:$D$3027,$D1242,INP_DATA!$B$5:$B$3027,$B1242)</f>
        <v>0</v>
      </c>
      <c r="T1242" s="235">
        <f>COUNTIFS(INP_DATA!$R$5:$R$3027,T$4,INP_DATA!$D$5:$D$3027,$D1242,INP_DATA!$B$5:$B$3027,$B1242)</f>
        <v>0</v>
      </c>
    </row>
    <row r="1243" spans="1:20" x14ac:dyDescent="0.35">
      <c r="A1243" s="3" t="str">
        <f>IF(D1243="","",(VLOOKUP($D1243,KEY!$B$5:$D$74,3,FALSE)))</f>
        <v>Arizona</v>
      </c>
      <c r="B1243" s="165">
        <f t="shared" si="1"/>
        <v>45597</v>
      </c>
      <c r="C1243" s="57" t="str">
        <f>IF($B1243="","",YEAR($B1243)&amp;"-"&amp;IFERROR(VLOOKUP(MONTH(B1243),KEY!$AE$5:$AF$16,2,FALSE),""))</f>
        <v>2024-Q4</v>
      </c>
      <c r="D1243" s="3" t="s">
        <v>120</v>
      </c>
      <c r="E1243" s="219">
        <v>63</v>
      </c>
      <c r="F1243" s="166">
        <v>377</v>
      </c>
      <c r="G1243" s="166">
        <v>340</v>
      </c>
      <c r="H1243" s="21">
        <v>600</v>
      </c>
      <c r="I1243" s="21">
        <v>76</v>
      </c>
      <c r="J1243" s="21">
        <v>221</v>
      </c>
      <c r="K1243" s="21">
        <v>60</v>
      </c>
      <c r="L1243" s="21">
        <v>582</v>
      </c>
      <c r="M1243" s="21">
        <v>228</v>
      </c>
      <c r="N1243" s="21">
        <v>380</v>
      </c>
      <c r="O1243" s="19">
        <v>528</v>
      </c>
      <c r="P1243" s="22">
        <v>73</v>
      </c>
      <c r="Q1243" s="22">
        <v>40</v>
      </c>
      <c r="R1243" s="20"/>
      <c r="S1243" s="234">
        <f>COUNTIFS(INP_DATA!$R$5:$R$3027,S$4,INP_DATA!$D$5:$D$3027,$D1243,INP_DATA!$B$5:$B$3027,$B1243)</f>
        <v>0</v>
      </c>
      <c r="T1243" s="235">
        <f>COUNTIFS(INP_DATA!$R$5:$R$3027,T$4,INP_DATA!$D$5:$D$3027,$D1243,INP_DATA!$B$5:$B$3027,$B1243)</f>
        <v>0</v>
      </c>
    </row>
    <row r="1244" spans="1:20" x14ac:dyDescent="0.35">
      <c r="A1244" s="3" t="str">
        <f>IF(D1244="","",(VLOOKUP($D1244,KEY!$B$5:$D$74,3,FALSE)))</f>
        <v>Texas</v>
      </c>
      <c r="B1244" s="165">
        <f t="shared" si="1"/>
        <v>45597</v>
      </c>
      <c r="C1244" s="57" t="str">
        <f>IF($B1244="","",YEAR($B1244)&amp;"-"&amp;IFERROR(VLOOKUP(MONTH(B1244),KEY!$AE$5:$AF$16,2,FALSE),""))</f>
        <v>2024-Q4</v>
      </c>
      <c r="D1244" s="3" t="s">
        <v>121</v>
      </c>
      <c r="E1244" s="219">
        <v>62</v>
      </c>
      <c r="F1244" s="166">
        <v>267</v>
      </c>
      <c r="G1244" s="166">
        <v>225</v>
      </c>
      <c r="H1244" s="21">
        <v>741</v>
      </c>
      <c r="I1244" s="21">
        <v>86</v>
      </c>
      <c r="J1244" s="21">
        <v>217</v>
      </c>
      <c r="K1244" s="21">
        <v>28</v>
      </c>
      <c r="L1244" s="21">
        <v>515</v>
      </c>
      <c r="M1244" s="21">
        <v>160</v>
      </c>
      <c r="N1244" s="21">
        <v>270</v>
      </c>
      <c r="O1244" s="19">
        <v>528</v>
      </c>
      <c r="P1244" s="22">
        <v>35</v>
      </c>
      <c r="Q1244" s="22">
        <v>24</v>
      </c>
      <c r="R1244" s="20"/>
      <c r="S1244" s="234">
        <f>COUNTIFS(INP_DATA!$R$5:$R$3027,S$4,INP_DATA!$D$5:$D$3027,$D1244,INP_DATA!$B$5:$B$3027,$B1244)</f>
        <v>0</v>
      </c>
      <c r="T1244" s="235">
        <f>COUNTIFS(INP_DATA!$R$5:$R$3027,T$4,INP_DATA!$D$5:$D$3027,$D1244,INP_DATA!$B$5:$B$3027,$B1244)</f>
        <v>0</v>
      </c>
    </row>
    <row r="1245" spans="1:20" x14ac:dyDescent="0.35">
      <c r="A1245" s="3" t="str">
        <f>IF(D1245="","",(VLOOKUP($D1245,KEY!$B$5:$D$74,3,FALSE)))</f>
        <v>Michigan &amp; Minnesota</v>
      </c>
      <c r="B1245" s="165">
        <f t="shared" si="1"/>
        <v>45597</v>
      </c>
      <c r="C1245" s="57" t="str">
        <f>IF($B1245="","",YEAR($B1245)&amp;"-"&amp;IFERROR(VLOOKUP(MONTH(B1245),KEY!$AE$5:$AF$16,2,FALSE),""))</f>
        <v>2024-Q4</v>
      </c>
      <c r="D1245" s="3" t="s">
        <v>200</v>
      </c>
      <c r="E1245" s="219">
        <v>7</v>
      </c>
      <c r="F1245" s="166">
        <v>169</v>
      </c>
      <c r="G1245" s="166">
        <v>128</v>
      </c>
      <c r="H1245" s="21">
        <v>255</v>
      </c>
      <c r="I1245" s="21">
        <v>29</v>
      </c>
      <c r="J1245" s="21">
        <v>177</v>
      </c>
      <c r="K1245" s="21">
        <v>31</v>
      </c>
      <c r="L1245" s="21">
        <v>344</v>
      </c>
      <c r="M1245" s="21">
        <v>75</v>
      </c>
      <c r="N1245" s="21">
        <v>170</v>
      </c>
      <c r="O1245" s="19">
        <v>264</v>
      </c>
      <c r="P1245" s="22">
        <v>28</v>
      </c>
      <c r="Q1245" s="22">
        <v>0</v>
      </c>
      <c r="R1245" s="20"/>
      <c r="S1245" s="234">
        <f>COUNTIFS(INP_DATA!$R$5:$R$3027,S$4,INP_DATA!$D$5:$D$3027,$D1245,INP_DATA!$B$5:$B$3027,$B1245)</f>
        <v>0</v>
      </c>
      <c r="T1245" s="235">
        <f>COUNTIFS(INP_DATA!$R$5:$R$3027,T$4,INP_DATA!$D$5:$D$3027,$D1245,INP_DATA!$B$5:$B$3027,$B1245)</f>
        <v>0</v>
      </c>
    </row>
    <row r="1246" spans="1:20" x14ac:dyDescent="0.35">
      <c r="A1246" s="3" t="str">
        <f>IF(D1246="","",(VLOOKUP($D1246,KEY!$B$5:$D$74,3,FALSE)))</f>
        <v>Southern California</v>
      </c>
      <c r="B1246" s="165">
        <f t="shared" si="1"/>
        <v>45597</v>
      </c>
      <c r="C1246" s="57" t="str">
        <f>IF($B1246="","",YEAR($B1246)&amp;"-"&amp;IFERROR(VLOOKUP(MONTH(B1246),KEY!$AE$5:$AF$16,2,FALSE),""))</f>
        <v>2024-Q4</v>
      </c>
      <c r="D1246" s="3" t="s">
        <v>122</v>
      </c>
      <c r="E1246" s="219">
        <v>3</v>
      </c>
      <c r="F1246" s="166">
        <v>90</v>
      </c>
      <c r="G1246" s="166">
        <v>98</v>
      </c>
      <c r="H1246" s="21">
        <v>225</v>
      </c>
      <c r="I1246" s="21">
        <v>27</v>
      </c>
      <c r="J1246" s="21">
        <v>103</v>
      </c>
      <c r="K1246" s="21">
        <v>13</v>
      </c>
      <c r="L1246" s="21">
        <v>131</v>
      </c>
      <c r="M1246" s="21">
        <v>49</v>
      </c>
      <c r="N1246" s="21">
        <v>92</v>
      </c>
      <c r="O1246" s="19">
        <v>176</v>
      </c>
      <c r="P1246" s="22">
        <v>19</v>
      </c>
      <c r="Q1246" s="22">
        <v>6</v>
      </c>
      <c r="R1246" s="20"/>
      <c r="S1246" s="234">
        <f>COUNTIFS(INP_DATA!$R$5:$R$3027,S$4,INP_DATA!$D$5:$D$3027,$D1246,INP_DATA!$B$5:$B$3027,$B1246)</f>
        <v>0</v>
      </c>
      <c r="T1246" s="235">
        <f>COUNTIFS(INP_DATA!$R$5:$R$3027,T$4,INP_DATA!$D$5:$D$3027,$D1246,INP_DATA!$B$5:$B$3027,$B1246)</f>
        <v>0</v>
      </c>
    </row>
    <row r="1247" spans="1:20" x14ac:dyDescent="0.35">
      <c r="A1247" s="3" t="str">
        <f>IF(D1247="","",(VLOOKUP($D1247,KEY!$B$5:$D$74,3,FALSE)))</f>
        <v>Orange County</v>
      </c>
      <c r="B1247" s="165">
        <f t="shared" si="1"/>
        <v>45597</v>
      </c>
      <c r="C1247" s="57" t="str">
        <f>IF($B1247="","",YEAR($B1247)&amp;"-"&amp;IFERROR(VLOOKUP(MONTH(B1247),KEY!$AE$5:$AF$16,2,FALSE),""))</f>
        <v>2024-Q4</v>
      </c>
      <c r="D1247" s="3" t="s">
        <v>123</v>
      </c>
      <c r="E1247" s="219">
        <v>52</v>
      </c>
      <c r="F1247" s="166">
        <v>277</v>
      </c>
      <c r="G1247" s="166">
        <v>224</v>
      </c>
      <c r="H1247" s="21">
        <v>307</v>
      </c>
      <c r="I1247" s="21">
        <v>56</v>
      </c>
      <c r="J1247" s="21">
        <v>147</v>
      </c>
      <c r="K1247" s="21">
        <v>37</v>
      </c>
      <c r="L1247" s="21">
        <v>406</v>
      </c>
      <c r="M1247" s="21">
        <v>202</v>
      </c>
      <c r="N1247" s="21">
        <v>280</v>
      </c>
      <c r="O1247" s="19">
        <v>396</v>
      </c>
      <c r="P1247" s="22">
        <v>47</v>
      </c>
      <c r="Q1247" s="22">
        <v>26</v>
      </c>
      <c r="R1247" s="20"/>
      <c r="S1247" s="234">
        <f>COUNTIFS(INP_DATA!$R$5:$R$3027,S$4,INP_DATA!$D$5:$D$3027,$D1247,INP_DATA!$B$5:$B$3027,$B1247)</f>
        <v>0</v>
      </c>
      <c r="T1247" s="235">
        <f>COUNTIFS(INP_DATA!$R$5:$R$3027,T$4,INP_DATA!$D$5:$D$3027,$D1247,INP_DATA!$B$5:$B$3027,$B1247)</f>
        <v>0</v>
      </c>
    </row>
    <row r="1248" spans="1:20" x14ac:dyDescent="0.35">
      <c r="A1248" s="3" t="str">
        <f>IF(D1248="","",(VLOOKUP($D1248,KEY!$B$5:$D$74,3,FALSE)))</f>
        <v>Southern California</v>
      </c>
      <c r="B1248" s="165">
        <f t="shared" si="1"/>
        <v>45597</v>
      </c>
      <c r="C1248" s="57" t="str">
        <f>IF($B1248="","",YEAR($B1248)&amp;"-"&amp;IFERROR(VLOOKUP(MONTH(B1248),KEY!$AE$5:$AF$16,2,FALSE),""))</f>
        <v>2024-Q4</v>
      </c>
      <c r="D1248" s="3" t="s">
        <v>124</v>
      </c>
      <c r="E1248" s="219">
        <v>67</v>
      </c>
      <c r="F1248" s="166">
        <v>276</v>
      </c>
      <c r="G1248" s="166">
        <v>221</v>
      </c>
      <c r="H1248" s="21">
        <v>374</v>
      </c>
      <c r="I1248" s="21">
        <v>70</v>
      </c>
      <c r="J1248" s="21">
        <v>200</v>
      </c>
      <c r="K1248" s="21">
        <v>40</v>
      </c>
      <c r="L1248" s="21">
        <v>442</v>
      </c>
      <c r="M1248" s="21">
        <v>160</v>
      </c>
      <c r="N1248" s="21">
        <v>277</v>
      </c>
      <c r="O1248" s="19">
        <v>462</v>
      </c>
      <c r="P1248" s="22">
        <v>59</v>
      </c>
      <c r="Q1248" s="22">
        <v>45</v>
      </c>
      <c r="R1248" s="20"/>
      <c r="S1248" s="234">
        <f>COUNTIFS(INP_DATA!$R$5:$R$3027,S$4,INP_DATA!$D$5:$D$3027,$D1248,INP_DATA!$B$5:$B$3027,$B1248)</f>
        <v>0</v>
      </c>
      <c r="T1248" s="235">
        <f>COUNTIFS(INP_DATA!$R$5:$R$3027,T$4,INP_DATA!$D$5:$D$3027,$D1248,INP_DATA!$B$5:$B$3027,$B1248)</f>
        <v>0</v>
      </c>
    </row>
    <row r="1249" spans="1:20" x14ac:dyDescent="0.35">
      <c r="A1249" s="3" t="str">
        <f>IF(D1249="","",(VLOOKUP($D1249,KEY!$B$5:$D$74,3,FALSE)))</f>
        <v>Northern California</v>
      </c>
      <c r="B1249" s="165">
        <f t="shared" si="1"/>
        <v>45597</v>
      </c>
      <c r="C1249" s="57" t="str">
        <f>IF($B1249="","",YEAR($B1249)&amp;"-"&amp;IFERROR(VLOOKUP(MONTH(B1249),KEY!$AE$5:$AF$16,2,FALSE),""))</f>
        <v>2024-Q4</v>
      </c>
      <c r="D1249" s="3" t="s">
        <v>195</v>
      </c>
      <c r="E1249" s="219">
        <v>6</v>
      </c>
      <c r="F1249" s="166">
        <v>53</v>
      </c>
      <c r="G1249" s="166">
        <v>37</v>
      </c>
      <c r="H1249" s="21">
        <v>86</v>
      </c>
      <c r="I1249" s="21">
        <v>18</v>
      </c>
      <c r="J1249" s="21">
        <v>32</v>
      </c>
      <c r="K1249" s="21">
        <v>10</v>
      </c>
      <c r="L1249" s="21">
        <v>132</v>
      </c>
      <c r="M1249" s="21">
        <v>40</v>
      </c>
      <c r="N1249" s="21">
        <v>53</v>
      </c>
      <c r="O1249" s="19">
        <v>132</v>
      </c>
      <c r="P1249" s="22">
        <v>3</v>
      </c>
      <c r="Q1249" s="22">
        <v>3</v>
      </c>
      <c r="R1249" s="20"/>
      <c r="S1249" s="234">
        <f>COUNTIFS(INP_DATA!$R$5:$R$3027,S$4,INP_DATA!$D$5:$D$3027,$D1249,INP_DATA!$B$5:$B$3027,$B1249)</f>
        <v>0</v>
      </c>
      <c r="T1249" s="235">
        <f>COUNTIFS(INP_DATA!$R$5:$R$3027,T$4,INP_DATA!$D$5:$D$3027,$D1249,INP_DATA!$B$5:$B$3027,$B1249)</f>
        <v>0</v>
      </c>
    </row>
    <row r="1250" spans="1:20" x14ac:dyDescent="0.35">
      <c r="A1250" s="3" t="str">
        <f>IF(D1250="","",(VLOOKUP($D1250,KEY!$B$5:$D$74,3,FALSE)))</f>
        <v>Northern California</v>
      </c>
      <c r="B1250" s="165">
        <f t="shared" si="1"/>
        <v>45597</v>
      </c>
      <c r="C1250" s="57" t="str">
        <f>IF($B1250="","",YEAR($B1250)&amp;"-"&amp;IFERROR(VLOOKUP(MONTH(B1250),KEY!$AE$5:$AF$16,2,FALSE),""))</f>
        <v>2024-Q4</v>
      </c>
      <c r="D1250" s="3" t="s">
        <v>125</v>
      </c>
      <c r="E1250" s="219">
        <v>53</v>
      </c>
      <c r="F1250" s="166">
        <v>262</v>
      </c>
      <c r="G1250" s="166">
        <v>227</v>
      </c>
      <c r="H1250" s="21">
        <v>450</v>
      </c>
      <c r="I1250" s="21">
        <v>63</v>
      </c>
      <c r="J1250" s="21">
        <v>119</v>
      </c>
      <c r="K1250" s="21">
        <v>28</v>
      </c>
      <c r="L1250" s="21">
        <v>493</v>
      </c>
      <c r="M1250" s="21">
        <v>107</v>
      </c>
      <c r="N1250" s="21">
        <v>270</v>
      </c>
      <c r="O1250" s="19">
        <v>418</v>
      </c>
      <c r="P1250" s="22">
        <v>14</v>
      </c>
      <c r="Q1250" s="22">
        <v>11</v>
      </c>
      <c r="R1250" s="20"/>
      <c r="S1250" s="234">
        <f>COUNTIFS(INP_DATA!$R$5:$R$3027,S$4,INP_DATA!$D$5:$D$3027,$D1250,INP_DATA!$B$5:$B$3027,$B1250)</f>
        <v>0</v>
      </c>
      <c r="T1250" s="235">
        <f>COUNTIFS(INP_DATA!$R$5:$R$3027,T$4,INP_DATA!$D$5:$D$3027,$D1250,INP_DATA!$B$5:$B$3027,$B1250)</f>
        <v>0</v>
      </c>
    </row>
    <row r="1251" spans="1:20" x14ac:dyDescent="0.35">
      <c r="A1251" s="3" t="str">
        <f>IF(D1251="","",(VLOOKUP($D1251,KEY!$B$5:$D$74,3,FALSE)))</f>
        <v>Orange County</v>
      </c>
      <c r="B1251" s="165">
        <f t="shared" si="1"/>
        <v>45597</v>
      </c>
      <c r="C1251" s="57" t="str">
        <f>IF($B1251="","",YEAR($B1251)&amp;"-"&amp;IFERROR(VLOOKUP(MONTH(B1251),KEY!$AE$5:$AF$16,2,FALSE),""))</f>
        <v>2024-Q4</v>
      </c>
      <c r="D1251" s="3" t="s">
        <v>126</v>
      </c>
      <c r="E1251" s="219">
        <v>87</v>
      </c>
      <c r="F1251" s="166">
        <v>526</v>
      </c>
      <c r="G1251" s="166">
        <v>554</v>
      </c>
      <c r="H1251" s="21">
        <v>606</v>
      </c>
      <c r="I1251" s="21">
        <v>106</v>
      </c>
      <c r="J1251" s="21">
        <v>425</v>
      </c>
      <c r="K1251" s="21">
        <v>129</v>
      </c>
      <c r="L1251" s="21">
        <v>733</v>
      </c>
      <c r="M1251" s="21">
        <v>313</v>
      </c>
      <c r="N1251" s="21">
        <v>530</v>
      </c>
      <c r="O1251" s="19">
        <v>572</v>
      </c>
      <c r="P1251" s="22">
        <v>137</v>
      </c>
      <c r="Q1251" s="22">
        <v>87</v>
      </c>
      <c r="R1251" s="20"/>
      <c r="S1251" s="234">
        <f>COUNTIFS(INP_DATA!$R$5:$R$3027,S$4,INP_DATA!$D$5:$D$3027,$D1251,INP_DATA!$B$5:$B$3027,$B1251)</f>
        <v>0</v>
      </c>
      <c r="T1251" s="235">
        <f>COUNTIFS(INP_DATA!$R$5:$R$3027,T$4,INP_DATA!$D$5:$D$3027,$D1251,INP_DATA!$B$5:$B$3027,$B1251)</f>
        <v>0</v>
      </c>
    </row>
    <row r="1252" spans="1:20" x14ac:dyDescent="0.35">
      <c r="A1252" s="3" t="str">
        <f>IF(D1252="","",(VLOOKUP($D1252,KEY!$B$5:$D$74,3,FALSE)))</f>
        <v>Orange County</v>
      </c>
      <c r="B1252" s="165">
        <f t="shared" si="1"/>
        <v>45597</v>
      </c>
      <c r="C1252" s="57" t="str">
        <f>IF($B1252="","",YEAR($B1252)&amp;"-"&amp;IFERROR(VLOOKUP(MONTH(B1252),KEY!$AE$5:$AF$16,2,FALSE),""))</f>
        <v>2024-Q4</v>
      </c>
      <c r="D1252" s="3" t="s">
        <v>127</v>
      </c>
      <c r="E1252" s="219">
        <v>16</v>
      </c>
      <c r="F1252" s="166">
        <v>55</v>
      </c>
      <c r="G1252" s="166">
        <v>60</v>
      </c>
      <c r="H1252" s="21">
        <v>65</v>
      </c>
      <c r="I1252" s="21">
        <v>18</v>
      </c>
      <c r="J1252" s="21">
        <v>25</v>
      </c>
      <c r="K1252" s="21">
        <v>7</v>
      </c>
      <c r="L1252" s="21">
        <v>83</v>
      </c>
      <c r="M1252" s="21">
        <v>47</v>
      </c>
      <c r="N1252" s="21">
        <v>56</v>
      </c>
      <c r="O1252" s="19">
        <v>88</v>
      </c>
      <c r="P1252" s="22">
        <v>5</v>
      </c>
      <c r="Q1252" s="22">
        <v>5</v>
      </c>
      <c r="R1252" s="20"/>
      <c r="S1252" s="234">
        <f>COUNTIFS(INP_DATA!$R$5:$R$3027,S$4,INP_DATA!$D$5:$D$3027,$D1252,INP_DATA!$B$5:$B$3027,$B1252)</f>
        <v>0</v>
      </c>
      <c r="T1252" s="235">
        <f>COUNTIFS(INP_DATA!$R$5:$R$3027,T$4,INP_DATA!$D$5:$D$3027,$D1252,INP_DATA!$B$5:$B$3027,$B1252)</f>
        <v>0</v>
      </c>
    </row>
    <row r="1253" spans="1:20" x14ac:dyDescent="0.35">
      <c r="A1253" s="3" t="str">
        <f>IF(D1253="","",(VLOOKUP($D1253,KEY!$B$5:$D$74,3,FALSE)))</f>
        <v>Wisconsin</v>
      </c>
      <c r="B1253" s="165">
        <f t="shared" si="1"/>
        <v>45597</v>
      </c>
      <c r="C1253" s="57" t="str">
        <f>IF($B1253="","",YEAR($B1253)&amp;"-"&amp;IFERROR(VLOOKUP(MONTH(B1253),KEY!$AE$5:$AF$16,2,FALSE),""))</f>
        <v>2024-Q4</v>
      </c>
      <c r="D1253" s="3" t="s">
        <v>201</v>
      </c>
      <c r="E1253" s="219">
        <v>15</v>
      </c>
      <c r="F1253" s="166">
        <v>233</v>
      </c>
      <c r="G1253" s="166">
        <v>199</v>
      </c>
      <c r="H1253" s="21">
        <v>303</v>
      </c>
      <c r="I1253" s="21">
        <v>75</v>
      </c>
      <c r="J1253" s="21">
        <v>153</v>
      </c>
      <c r="K1253" s="21">
        <v>28</v>
      </c>
      <c r="L1253" s="21">
        <v>208</v>
      </c>
      <c r="M1253" s="21">
        <v>83</v>
      </c>
      <c r="N1253" s="21">
        <v>235</v>
      </c>
      <c r="O1253" s="19">
        <v>308</v>
      </c>
      <c r="P1253" s="22">
        <v>7</v>
      </c>
      <c r="Q1253" s="22">
        <v>5</v>
      </c>
      <c r="R1253" s="20"/>
      <c r="S1253" s="234">
        <f>COUNTIFS(INP_DATA!$R$5:$R$3027,S$4,INP_DATA!$D$5:$D$3027,$D1253,INP_DATA!$B$5:$B$3027,$B1253)</f>
        <v>0</v>
      </c>
      <c r="T1253" s="235">
        <f>COUNTIFS(INP_DATA!$R$5:$R$3027,T$4,INP_DATA!$D$5:$D$3027,$D1253,INP_DATA!$B$5:$B$3027,$B1253)</f>
        <v>0</v>
      </c>
    </row>
    <row r="1254" spans="1:20" x14ac:dyDescent="0.35">
      <c r="A1254" s="3" t="e">
        <f>IF(D1254="","",(VLOOKUP($D1254,KEY!$B$5:$D$74,3,FALSE)))</f>
        <v>#N/A</v>
      </c>
      <c r="B1254" s="165">
        <f t="shared" si="1"/>
        <v>45597</v>
      </c>
      <c r="C1254" s="57" t="str">
        <f>IF($B1254="","",YEAR($B1254)&amp;"-"&amp;IFERROR(VLOOKUP(MONTH(B1254),KEY!$AE$5:$AF$16,2,FALSE),""))</f>
        <v>2024-Q4</v>
      </c>
      <c r="D1254" s="3" t="s">
        <v>202</v>
      </c>
      <c r="E1254" s="219">
        <v>2</v>
      </c>
      <c r="F1254" s="166">
        <v>30</v>
      </c>
      <c r="G1254" s="166">
        <v>36</v>
      </c>
      <c r="H1254" s="21">
        <v>68</v>
      </c>
      <c r="I1254" s="21">
        <v>14</v>
      </c>
      <c r="J1254" s="21">
        <v>24</v>
      </c>
      <c r="K1254" s="21">
        <v>3</v>
      </c>
      <c r="L1254" s="21">
        <v>43</v>
      </c>
      <c r="M1254" s="21">
        <v>21</v>
      </c>
      <c r="N1254" s="21">
        <v>31</v>
      </c>
      <c r="O1254" s="19">
        <v>66</v>
      </c>
      <c r="P1254" s="22">
        <v>12</v>
      </c>
      <c r="Q1254" s="22">
        <v>1</v>
      </c>
      <c r="R1254" s="20"/>
      <c r="S1254" s="234">
        <f>COUNTIFS(INP_DATA!$R$5:$R$3027,S$4,INP_DATA!$D$5:$D$3027,$D1254,INP_DATA!$B$5:$B$3027,$B1254)</f>
        <v>0</v>
      </c>
      <c r="T1254" s="235">
        <f>COUNTIFS(INP_DATA!$R$5:$R$3027,T$4,INP_DATA!$D$5:$D$3027,$D1254,INP_DATA!$B$5:$B$3027,$B1254)</f>
        <v>0</v>
      </c>
    </row>
    <row r="1255" spans="1:20" x14ac:dyDescent="0.35">
      <c r="A1255" s="3" t="str">
        <f>IF(D1255="","",(VLOOKUP($D1255,KEY!$B$5:$D$74,3,FALSE)))</f>
        <v>Texas</v>
      </c>
      <c r="B1255" s="165">
        <f t="shared" si="1"/>
        <v>45597</v>
      </c>
      <c r="C1255" s="57" t="str">
        <f>IF($B1255="","",YEAR($B1255)&amp;"-"&amp;IFERROR(VLOOKUP(MONTH(B1255),KEY!$AE$5:$AF$16,2,FALSE),""))</f>
        <v>2024-Q4</v>
      </c>
      <c r="D1255" s="3" t="s">
        <v>198</v>
      </c>
      <c r="E1255" s="219">
        <v>4</v>
      </c>
      <c r="F1255" s="166">
        <v>67</v>
      </c>
      <c r="G1255" s="166">
        <v>75</v>
      </c>
      <c r="H1255" s="21">
        <v>201</v>
      </c>
      <c r="I1255" s="21">
        <v>25</v>
      </c>
      <c r="J1255" s="21">
        <v>93</v>
      </c>
      <c r="K1255" s="21">
        <v>11</v>
      </c>
      <c r="L1255" s="21">
        <v>92</v>
      </c>
      <c r="M1255" s="21">
        <v>36</v>
      </c>
      <c r="N1255" s="21">
        <v>68</v>
      </c>
      <c r="O1255" s="19">
        <v>154</v>
      </c>
      <c r="P1255" s="22">
        <v>0</v>
      </c>
      <c r="Q1255" s="22">
        <v>0</v>
      </c>
      <c r="R1255" s="20"/>
      <c r="S1255" s="234">
        <f>COUNTIFS(INP_DATA!$R$5:$R$3027,S$4,INP_DATA!$D$5:$D$3027,$D1255,INP_DATA!$B$5:$B$3027,$B1255)</f>
        <v>0</v>
      </c>
      <c r="T1255" s="235">
        <f>COUNTIFS(INP_DATA!$R$5:$R$3027,T$4,INP_DATA!$D$5:$D$3027,$D1255,INP_DATA!$B$5:$B$3027,$B1255)</f>
        <v>0</v>
      </c>
    </row>
    <row r="1256" spans="1:20" x14ac:dyDescent="0.35">
      <c r="A1256" s="3" t="str">
        <f>IF(D1256="","",(VLOOKUP($D1256,KEY!$B$5:$D$74,3,FALSE)))</f>
        <v>Texas</v>
      </c>
      <c r="B1256" s="165">
        <f t="shared" si="1"/>
        <v>45597</v>
      </c>
      <c r="C1256" s="57" t="str">
        <f>IF($B1256="","",YEAR($B1256)&amp;"-"&amp;IFERROR(VLOOKUP(MONTH(B1256),KEY!$AE$5:$AF$16,2,FALSE),""))</f>
        <v>2024-Q4</v>
      </c>
      <c r="D1256" s="3" t="s">
        <v>128</v>
      </c>
      <c r="E1256" s="219">
        <v>7</v>
      </c>
      <c r="F1256" s="166">
        <v>186</v>
      </c>
      <c r="G1256" s="166">
        <v>235</v>
      </c>
      <c r="H1256" s="21">
        <v>461</v>
      </c>
      <c r="I1256" s="21">
        <v>48</v>
      </c>
      <c r="J1256" s="21">
        <v>201</v>
      </c>
      <c r="K1256" s="21">
        <v>42</v>
      </c>
      <c r="L1256" s="21">
        <v>312</v>
      </c>
      <c r="M1256" s="21">
        <v>106</v>
      </c>
      <c r="N1256" s="21">
        <v>186</v>
      </c>
      <c r="O1256" s="19">
        <v>286</v>
      </c>
      <c r="P1256" s="22">
        <v>0</v>
      </c>
      <c r="Q1256" s="22">
        <v>0</v>
      </c>
      <c r="R1256" s="20"/>
      <c r="S1256" s="234">
        <f>COUNTIFS(INP_DATA!$R$5:$R$3027,S$4,INP_DATA!$D$5:$D$3027,$D1256,INP_DATA!$B$5:$B$3027,$B1256)</f>
        <v>0</v>
      </c>
      <c r="T1256" s="235">
        <f>COUNTIFS(INP_DATA!$R$5:$R$3027,T$4,INP_DATA!$D$5:$D$3027,$D1256,INP_DATA!$B$5:$B$3027,$B1256)</f>
        <v>0</v>
      </c>
    </row>
    <row r="1257" spans="1:20" x14ac:dyDescent="0.35">
      <c r="A1257" s="3" t="str">
        <f>IF(D1257="","",(VLOOKUP($D1257,KEY!$B$5:$D$74,3,FALSE)))</f>
        <v>Northern California</v>
      </c>
      <c r="B1257" s="165">
        <f t="shared" si="1"/>
        <v>45597</v>
      </c>
      <c r="C1257" s="57" t="str">
        <f>IF($B1257="","",YEAR($B1257)&amp;"-"&amp;IFERROR(VLOOKUP(MONTH(B1257),KEY!$AE$5:$AF$16,2,FALSE),""))</f>
        <v>2024-Q4</v>
      </c>
      <c r="D1257" s="3" t="s">
        <v>129</v>
      </c>
      <c r="E1257" s="219">
        <v>16</v>
      </c>
      <c r="F1257" s="166">
        <v>202</v>
      </c>
      <c r="G1257" s="166">
        <v>165</v>
      </c>
      <c r="H1257" s="21">
        <v>271</v>
      </c>
      <c r="I1257" s="21">
        <v>42</v>
      </c>
      <c r="J1257" s="21">
        <v>214</v>
      </c>
      <c r="K1257" s="21">
        <v>41</v>
      </c>
      <c r="L1257" s="21">
        <v>281</v>
      </c>
      <c r="M1257" s="21">
        <v>85</v>
      </c>
      <c r="N1257" s="21">
        <v>205</v>
      </c>
      <c r="O1257" s="19">
        <v>352</v>
      </c>
      <c r="P1257" s="22">
        <v>13</v>
      </c>
      <c r="Q1257" s="22">
        <v>7</v>
      </c>
      <c r="R1257" s="20"/>
      <c r="S1257" s="234">
        <f>COUNTIFS(INP_DATA!$R$5:$R$3027,S$4,INP_DATA!$D$5:$D$3027,$D1257,INP_DATA!$B$5:$B$3027,$B1257)</f>
        <v>0</v>
      </c>
      <c r="T1257" s="235">
        <f>COUNTIFS(INP_DATA!$R$5:$R$3027,T$4,INP_DATA!$D$5:$D$3027,$D1257,INP_DATA!$B$5:$B$3027,$B1257)</f>
        <v>0</v>
      </c>
    </row>
    <row r="1258" spans="1:20" x14ac:dyDescent="0.35">
      <c r="A1258" s="3" t="str">
        <f>IF(D1258="","",(VLOOKUP($D1258,KEY!$B$5:$D$74,3,FALSE)))</f>
        <v>Southern California</v>
      </c>
      <c r="B1258" s="165">
        <f t="shared" si="1"/>
        <v>45597</v>
      </c>
      <c r="C1258" s="57" t="str">
        <f>IF($B1258="","",YEAR($B1258)&amp;"-"&amp;IFERROR(VLOOKUP(MONTH(B1258),KEY!$AE$5:$AF$16,2,FALSE),""))</f>
        <v>2024-Q4</v>
      </c>
      <c r="D1258" s="3" t="s">
        <v>130</v>
      </c>
      <c r="E1258" s="219">
        <v>30</v>
      </c>
      <c r="F1258" s="166">
        <v>152</v>
      </c>
      <c r="G1258" s="166">
        <v>168</v>
      </c>
      <c r="H1258" s="21">
        <v>226</v>
      </c>
      <c r="I1258" s="21">
        <v>42</v>
      </c>
      <c r="J1258" s="21">
        <v>101</v>
      </c>
      <c r="K1258" s="21">
        <v>24</v>
      </c>
      <c r="L1258" s="21">
        <v>164</v>
      </c>
      <c r="M1258" s="21">
        <v>79</v>
      </c>
      <c r="N1258" s="21">
        <v>156</v>
      </c>
      <c r="O1258" s="19">
        <v>198</v>
      </c>
      <c r="P1258" s="22">
        <v>15</v>
      </c>
      <c r="Q1258" s="22">
        <v>10</v>
      </c>
      <c r="R1258" s="20"/>
      <c r="S1258" s="234"/>
      <c r="T1258" s="235"/>
    </row>
    <row r="1259" spans="1:20" x14ac:dyDescent="0.35">
      <c r="A1259" s="3" t="e">
        <f>IF(D1259="","",(VLOOKUP($D1259,KEY!$B$5:$D$74,3,FALSE)))</f>
        <v>#N/A</v>
      </c>
      <c r="B1259" s="165">
        <f t="shared" si="1"/>
        <v>45597</v>
      </c>
      <c r="C1259" s="57" t="str">
        <f>IF($B1259="","",YEAR($B1259)&amp;"-"&amp;IFERROR(VLOOKUP(MONTH(B1259),KEY!$AE$5:$AF$16,2,FALSE),""))</f>
        <v>2024-Q4</v>
      </c>
      <c r="D1259" s="3" t="s">
        <v>203</v>
      </c>
      <c r="E1259" s="219">
        <v>4</v>
      </c>
      <c r="F1259" s="166">
        <v>107</v>
      </c>
      <c r="G1259" s="166">
        <v>93</v>
      </c>
      <c r="H1259" s="21">
        <v>120</v>
      </c>
      <c r="I1259" s="21">
        <v>31</v>
      </c>
      <c r="J1259" s="21">
        <v>61</v>
      </c>
      <c r="K1259" s="21">
        <v>11</v>
      </c>
      <c r="L1259" s="21">
        <v>104</v>
      </c>
      <c r="M1259" s="21">
        <v>58</v>
      </c>
      <c r="N1259" s="21">
        <v>105</v>
      </c>
      <c r="O1259" s="19">
        <v>198</v>
      </c>
      <c r="P1259" s="22">
        <v>12</v>
      </c>
      <c r="Q1259" s="22">
        <v>6</v>
      </c>
      <c r="R1259" s="20"/>
      <c r="S1259" s="234">
        <f>COUNTIFS(INP_DATA!$R$5:$R$3027,S$4,INP_DATA!$D$5:$D$3027,$D1259,INP_DATA!$B$5:$B$3027,$B1259)</f>
        <v>0</v>
      </c>
      <c r="T1259" s="235">
        <f>COUNTIFS(INP_DATA!$R$5:$R$3027,T$4,INP_DATA!$D$5:$D$3027,$D1259,INP_DATA!$B$5:$B$3027,$B1259)</f>
        <v>0</v>
      </c>
    </row>
    <row r="1260" spans="1:20" x14ac:dyDescent="0.35">
      <c r="A1260" s="3">
        <f>IF(D1260="","",(VLOOKUP($D1260,KEY!$B$5:$D$74,3,FALSE)))</f>
        <v>0</v>
      </c>
      <c r="B1260" s="165">
        <f t="shared" si="1"/>
        <v>45597</v>
      </c>
      <c r="C1260" s="57" t="str">
        <f>IF($B1260="","",YEAR($B1260)&amp;"-"&amp;IFERROR(VLOOKUP(MONTH(B1260),KEY!$AE$5:$AF$16,2,FALSE),""))</f>
        <v>2024-Q4</v>
      </c>
      <c r="D1260" s="3" t="s">
        <v>131</v>
      </c>
      <c r="E1260" s="219">
        <v>38</v>
      </c>
      <c r="F1260" s="166">
        <v>154</v>
      </c>
      <c r="G1260" s="166">
        <v>147</v>
      </c>
      <c r="H1260" s="21">
        <v>135</v>
      </c>
      <c r="I1260" s="21">
        <v>20</v>
      </c>
      <c r="J1260" s="21">
        <v>112</v>
      </c>
      <c r="K1260" s="21">
        <v>26</v>
      </c>
      <c r="L1260" s="21">
        <v>264</v>
      </c>
      <c r="M1260" s="21">
        <v>63</v>
      </c>
      <c r="N1260" s="21">
        <v>159</v>
      </c>
      <c r="O1260" s="19">
        <v>286</v>
      </c>
      <c r="P1260" s="22">
        <v>4</v>
      </c>
      <c r="Q1260" s="22">
        <v>1</v>
      </c>
      <c r="R1260" s="20"/>
      <c r="S1260" s="234">
        <f>COUNTIFS(INP_DATA!$R$5:$R$3027,S$4,INP_DATA!$D$5:$D$3027,$D1260,INP_DATA!$B$5:$B$3027,$B1260)</f>
        <v>0</v>
      </c>
      <c r="T1260" s="235">
        <f>COUNTIFS(INP_DATA!$R$5:$R$3027,T$4,INP_DATA!$D$5:$D$3027,$D1260,INP_DATA!$B$5:$B$3027,$B1260)</f>
        <v>0</v>
      </c>
    </row>
    <row r="1261" spans="1:20" x14ac:dyDescent="0.35">
      <c r="A1261" s="3" t="e">
        <f>IF(D1261="","",(VLOOKUP($D1261,KEY!$B$5:$D$74,3,FALSE)))</f>
        <v>#N/A</v>
      </c>
      <c r="B1261" s="165">
        <f t="shared" si="1"/>
        <v>45597</v>
      </c>
      <c r="C1261" s="57" t="str">
        <f>IF($B1261="","",YEAR($B1261)&amp;"-"&amp;IFERROR(VLOOKUP(MONTH(B1261),KEY!$AE$5:$AF$16,2,FALSE),""))</f>
        <v>2024-Q4</v>
      </c>
      <c r="D1261" s="3" t="s">
        <v>134</v>
      </c>
      <c r="E1261" s="219">
        <v>9</v>
      </c>
      <c r="F1261" s="166">
        <v>39</v>
      </c>
      <c r="G1261" s="166">
        <v>34</v>
      </c>
      <c r="H1261" s="21">
        <v>38</v>
      </c>
      <c r="I1261" s="21">
        <v>11</v>
      </c>
      <c r="J1261" s="21">
        <v>20</v>
      </c>
      <c r="K1261" s="21">
        <v>6</v>
      </c>
      <c r="L1261" s="21">
        <v>57</v>
      </c>
      <c r="M1261" s="21">
        <v>29</v>
      </c>
      <c r="N1261" s="21">
        <v>39</v>
      </c>
      <c r="O1261" s="19">
        <v>88</v>
      </c>
      <c r="P1261" s="22">
        <v>3</v>
      </c>
      <c r="Q1261" s="22">
        <v>2</v>
      </c>
      <c r="R1261" s="20"/>
      <c r="S1261" s="234">
        <f>COUNTIFS(INP_DATA!$R$5:$R$3027,S$4,INP_DATA!$D$5:$D$3027,$D1261,INP_DATA!$B$5:$B$3027,$B1261)</f>
        <v>0</v>
      </c>
      <c r="T1261" s="235">
        <f>COUNTIFS(INP_DATA!$R$5:$R$3027,T$4,INP_DATA!$D$5:$D$3027,$D1261,INP_DATA!$B$5:$B$3027,$B1261)</f>
        <v>0</v>
      </c>
    </row>
    <row r="1262" spans="1:20" x14ac:dyDescent="0.35">
      <c r="A1262" s="3" t="str">
        <f>IF(D1262="","",(VLOOKUP($D1262,KEY!$B$5:$D$74,3,FALSE)))</f>
        <v>Southern California</v>
      </c>
      <c r="B1262" s="165">
        <f t="shared" si="1"/>
        <v>45597</v>
      </c>
      <c r="C1262" s="57" t="str">
        <f>IF($B1262="","",YEAR($B1262)&amp;"-"&amp;IFERROR(VLOOKUP(MONTH(B1262),KEY!$AE$5:$AF$16,2,FALSE),""))</f>
        <v>2024-Q4</v>
      </c>
      <c r="D1262" s="3" t="s">
        <v>135</v>
      </c>
      <c r="E1262" s="219">
        <v>36</v>
      </c>
      <c r="F1262" s="166">
        <v>240</v>
      </c>
      <c r="G1262" s="166">
        <v>259</v>
      </c>
      <c r="H1262" s="21">
        <v>502</v>
      </c>
      <c r="I1262" s="21">
        <v>66</v>
      </c>
      <c r="J1262" s="21">
        <v>238</v>
      </c>
      <c r="K1262" s="21">
        <v>57</v>
      </c>
      <c r="L1262" s="21">
        <v>500</v>
      </c>
      <c r="M1262" s="21">
        <v>133</v>
      </c>
      <c r="N1262" s="21">
        <v>243</v>
      </c>
      <c r="O1262" s="19">
        <v>330</v>
      </c>
      <c r="P1262" s="22">
        <v>7</v>
      </c>
      <c r="Q1262" s="22">
        <v>5</v>
      </c>
      <c r="R1262" s="20"/>
      <c r="S1262" s="234">
        <f>COUNTIFS(INP_DATA!$R$5:$R$3027,S$4,INP_DATA!$D$5:$D$3027,$D1262,INP_DATA!$B$5:$B$3027,$B1262)</f>
        <v>0</v>
      </c>
      <c r="T1262" s="235">
        <f>COUNTIFS(INP_DATA!$R$5:$R$3027,T$4,INP_DATA!$D$5:$D$3027,$D1262,INP_DATA!$B$5:$B$3027,$B1262)</f>
        <v>0</v>
      </c>
    </row>
    <row r="1263" spans="1:20" x14ac:dyDescent="0.35">
      <c r="A1263" s="3" t="str">
        <f>IF(D1263="","",(VLOOKUP($D1263,KEY!$B$5:$D$74,3,FALSE)))</f>
        <v>Arizona</v>
      </c>
      <c r="B1263" s="165">
        <f t="shared" si="1"/>
        <v>45597</v>
      </c>
      <c r="C1263" s="57" t="str">
        <f>IF($B1263="","",YEAR($B1263)&amp;"-"&amp;IFERROR(VLOOKUP(MONTH(B1263),KEY!$AE$5:$AF$16,2,FALSE),""))</f>
        <v>2024-Q4</v>
      </c>
      <c r="D1263" s="3" t="s">
        <v>204</v>
      </c>
      <c r="E1263" s="219">
        <v>4</v>
      </c>
      <c r="F1263" s="166">
        <v>10</v>
      </c>
      <c r="G1263" s="166">
        <v>0</v>
      </c>
      <c r="H1263" s="21">
        <v>55</v>
      </c>
      <c r="I1263" s="21">
        <v>1</v>
      </c>
      <c r="J1263" s="21">
        <v>35</v>
      </c>
      <c r="K1263" s="21">
        <v>2</v>
      </c>
      <c r="L1263" s="21">
        <v>23</v>
      </c>
      <c r="M1263" s="21">
        <v>6</v>
      </c>
      <c r="N1263" s="21">
        <v>10</v>
      </c>
      <c r="O1263" s="19">
        <v>22</v>
      </c>
      <c r="P1263" s="22">
        <v>1</v>
      </c>
      <c r="Q1263" s="22">
        <v>0</v>
      </c>
      <c r="R1263" s="20"/>
      <c r="S1263" s="234">
        <f>COUNTIFS(INP_DATA!$R$5:$R$3027,S$4,INP_DATA!$D$5:$D$3027,$D1263,INP_DATA!$B$5:$B$3027,$B1263)</f>
        <v>0</v>
      </c>
      <c r="T1263" s="235">
        <f>COUNTIFS(INP_DATA!$R$5:$R$3027,T$4,INP_DATA!$D$5:$D$3027,$D1263,INP_DATA!$B$5:$B$3027,$B1263)</f>
        <v>0</v>
      </c>
    </row>
    <row r="1264" spans="1:20" x14ac:dyDescent="0.35">
      <c r="A1264" s="3" t="str">
        <f>IF(D1264="","",(VLOOKUP($D1264,KEY!$B$5:$D$74,3,FALSE)))</f>
        <v>Arizona</v>
      </c>
      <c r="B1264" s="165">
        <f t="shared" si="1"/>
        <v>45597</v>
      </c>
      <c r="C1264" s="57" t="str">
        <f>IF($B1264="","",YEAR($B1264)&amp;"-"&amp;IFERROR(VLOOKUP(MONTH(B1264),KEY!$AE$5:$AF$16,2,FALSE),""))</f>
        <v>2024-Q4</v>
      </c>
      <c r="D1264" s="3" t="s">
        <v>196</v>
      </c>
      <c r="E1264" s="219">
        <v>15</v>
      </c>
      <c r="F1264" s="166">
        <v>51</v>
      </c>
      <c r="G1264" s="166">
        <v>25</v>
      </c>
      <c r="H1264" s="21">
        <v>66</v>
      </c>
      <c r="I1264" s="21">
        <v>9</v>
      </c>
      <c r="J1264" s="21">
        <v>74</v>
      </c>
      <c r="K1264" s="21">
        <v>15</v>
      </c>
      <c r="L1264" s="21">
        <v>94</v>
      </c>
      <c r="M1264" s="21">
        <v>47</v>
      </c>
      <c r="N1264" s="21">
        <v>51</v>
      </c>
      <c r="O1264" s="19">
        <v>110</v>
      </c>
      <c r="P1264" s="22">
        <v>4</v>
      </c>
      <c r="Q1264" s="22">
        <v>2</v>
      </c>
      <c r="R1264" s="20"/>
      <c r="S1264" s="234">
        <f>COUNTIFS(INP_DATA!$R$5:$R$3027,S$4,INP_DATA!$D$5:$D$3027,$D1264,INP_DATA!$B$5:$B$3027,$B1264)</f>
        <v>0</v>
      </c>
      <c r="T1264" s="235">
        <f>COUNTIFS(INP_DATA!$R$5:$R$3027,T$4,INP_DATA!$D$5:$D$3027,$D1264,INP_DATA!$B$5:$B$3027,$B1264)</f>
        <v>0</v>
      </c>
    </row>
    <row r="1265" spans="1:20" x14ac:dyDescent="0.35">
      <c r="A1265" s="3" t="str">
        <f>IF(D1265="","",(VLOOKUP($D1265,KEY!$B$5:$D$74,3,FALSE)))</f>
        <v>Arizona</v>
      </c>
      <c r="B1265" s="165">
        <f t="shared" si="1"/>
        <v>45597</v>
      </c>
      <c r="C1265" s="57" t="str">
        <f>IF($B1265="","",YEAR($B1265)&amp;"-"&amp;IFERROR(VLOOKUP(MONTH(B1265),KEY!$AE$5:$AF$16,2,FALSE),""))</f>
        <v>2024-Q4</v>
      </c>
      <c r="D1265" s="3" t="s">
        <v>197</v>
      </c>
      <c r="E1265" s="219">
        <v>20</v>
      </c>
      <c r="F1265" s="166">
        <v>108</v>
      </c>
      <c r="G1265" s="166">
        <v>86</v>
      </c>
      <c r="H1265" s="21">
        <v>145</v>
      </c>
      <c r="I1265" s="21">
        <v>22</v>
      </c>
      <c r="J1265" s="21">
        <v>65</v>
      </c>
      <c r="K1265" s="21">
        <v>17</v>
      </c>
      <c r="L1265" s="21">
        <v>195</v>
      </c>
      <c r="M1265" s="21">
        <v>90</v>
      </c>
      <c r="N1265" s="21">
        <v>114</v>
      </c>
      <c r="O1265" s="19">
        <v>176</v>
      </c>
      <c r="P1265" s="22">
        <v>1</v>
      </c>
      <c r="Q1265" s="22">
        <v>1</v>
      </c>
      <c r="R1265" s="20"/>
      <c r="S1265" s="234">
        <f>COUNTIFS(INP_DATA!$R$5:$R$3027,S$4,INP_DATA!$D$5:$D$3027,$D1265,INP_DATA!$B$5:$B$3027,$B1265)</f>
        <v>0</v>
      </c>
      <c r="T1265" s="235">
        <f>COUNTIFS(INP_DATA!$R$5:$R$3027,T$4,INP_DATA!$D$5:$D$3027,$D1265,INP_DATA!$B$5:$B$3027,$B1265)</f>
        <v>0</v>
      </c>
    </row>
    <row r="1266" spans="1:20" x14ac:dyDescent="0.35">
      <c r="A1266" s="3" t="str">
        <f>IF(D1266="","",(VLOOKUP($D1266,KEY!$B$5:$D$74,3,FALSE)))</f>
        <v>Texas</v>
      </c>
      <c r="B1266" s="165">
        <f t="shared" si="1"/>
        <v>45597</v>
      </c>
      <c r="C1266" s="57" t="str">
        <f>IF($B1266="","",YEAR($B1266)&amp;"-"&amp;IFERROR(VLOOKUP(MONTH(B1266),KEY!$AE$5:$AF$16,2,FALSE),""))</f>
        <v>2024-Q4</v>
      </c>
      <c r="D1266" s="3" t="s">
        <v>136</v>
      </c>
      <c r="E1266" s="219">
        <v>98</v>
      </c>
      <c r="F1266" s="166">
        <v>294</v>
      </c>
      <c r="G1266" s="166">
        <v>253</v>
      </c>
      <c r="H1266" s="21">
        <v>467</v>
      </c>
      <c r="I1266" s="21">
        <v>62</v>
      </c>
      <c r="J1266" s="21">
        <v>282</v>
      </c>
      <c r="K1266" s="21">
        <v>31</v>
      </c>
      <c r="L1266" s="21">
        <v>482</v>
      </c>
      <c r="M1266" s="21">
        <v>190</v>
      </c>
      <c r="N1266" s="21">
        <v>298</v>
      </c>
      <c r="O1266" s="19">
        <v>352</v>
      </c>
      <c r="P1266" s="22">
        <v>14</v>
      </c>
      <c r="Q1266" s="22">
        <v>12</v>
      </c>
      <c r="R1266" s="20"/>
      <c r="S1266" s="234">
        <f>COUNTIFS(INP_DATA!$R$5:$R$3027,S$4,INP_DATA!$D$5:$D$3027,$D1266,INP_DATA!$B$5:$B$3027,$B1266)</f>
        <v>0</v>
      </c>
      <c r="T1266" s="235">
        <f>COUNTIFS(INP_DATA!$R$5:$R$3027,T$4,INP_DATA!$D$5:$D$3027,$D1266,INP_DATA!$B$5:$B$3027,$B1266)</f>
        <v>0</v>
      </c>
    </row>
    <row r="1267" spans="1:20" x14ac:dyDescent="0.35">
      <c r="A1267" s="3" t="str">
        <f>IF(D1267="","",(VLOOKUP($D1267,KEY!$B$5:$D$74,3,FALSE)))</f>
        <v>Arizona</v>
      </c>
      <c r="B1267" s="165">
        <f t="shared" si="1"/>
        <v>45597</v>
      </c>
      <c r="C1267" s="57" t="str">
        <f>IF($B1267="","",YEAR($B1267)&amp;"-"&amp;IFERROR(VLOOKUP(MONTH(B1267),KEY!$AE$5:$AF$16,2,FALSE),""))</f>
        <v>2024-Q4</v>
      </c>
      <c r="D1267" s="3" t="s">
        <v>137</v>
      </c>
      <c r="E1267" s="219">
        <v>12</v>
      </c>
      <c r="F1267" s="166">
        <v>92</v>
      </c>
      <c r="G1267" s="166">
        <v>95</v>
      </c>
      <c r="H1267" s="21">
        <v>194</v>
      </c>
      <c r="I1267" s="21">
        <v>28</v>
      </c>
      <c r="J1267" s="21">
        <v>214</v>
      </c>
      <c r="K1267" s="21">
        <v>49</v>
      </c>
      <c r="L1267" s="21">
        <v>143</v>
      </c>
      <c r="M1267" s="21">
        <v>71</v>
      </c>
      <c r="N1267" s="21">
        <v>94</v>
      </c>
      <c r="O1267" s="19">
        <v>154</v>
      </c>
      <c r="P1267" s="22">
        <v>1</v>
      </c>
      <c r="Q1267" s="22">
        <v>0</v>
      </c>
      <c r="R1267" s="20"/>
      <c r="S1267" s="234">
        <f>COUNTIFS(INP_DATA!$R$5:$R$3027,S$4,INP_DATA!$D$5:$D$3027,$D1267,INP_DATA!$B$5:$B$3027,$B1267)</f>
        <v>0</v>
      </c>
      <c r="T1267" s="235">
        <f>COUNTIFS(INP_DATA!$R$5:$R$3027,T$4,INP_DATA!$D$5:$D$3027,$D1267,INP_DATA!$B$5:$B$3027,$B1267)</f>
        <v>0</v>
      </c>
    </row>
    <row r="1268" spans="1:20" x14ac:dyDescent="0.35">
      <c r="A1268" s="3" t="str">
        <f>IF(D1268="","",(VLOOKUP($D1268,KEY!$B$5:$D$74,3,FALSE)))</f>
        <v>Texas</v>
      </c>
      <c r="B1268" s="165">
        <f t="shared" si="1"/>
        <v>45597</v>
      </c>
      <c r="C1268" s="57" t="str">
        <f>IF($B1268="","",YEAR($B1268)&amp;"-"&amp;IFERROR(VLOOKUP(MONTH(B1268),KEY!$AE$5:$AF$16,2,FALSE),""))</f>
        <v>2024-Q4</v>
      </c>
      <c r="D1268" s="3" t="s">
        <v>138</v>
      </c>
      <c r="E1268" s="219">
        <v>30</v>
      </c>
      <c r="F1268" s="166">
        <v>164</v>
      </c>
      <c r="G1268" s="166">
        <v>150</v>
      </c>
      <c r="H1268" s="21">
        <v>220</v>
      </c>
      <c r="I1268" s="21">
        <v>36</v>
      </c>
      <c r="J1268" s="21">
        <v>146</v>
      </c>
      <c r="K1268" s="21">
        <v>43</v>
      </c>
      <c r="L1268" s="21">
        <v>318</v>
      </c>
      <c r="M1268" s="21">
        <v>111</v>
      </c>
      <c r="N1268" s="21">
        <v>164</v>
      </c>
      <c r="O1268" s="19">
        <v>198</v>
      </c>
      <c r="P1268" s="22">
        <v>11</v>
      </c>
      <c r="Q1268" s="22">
        <v>10</v>
      </c>
      <c r="R1268" s="20"/>
      <c r="S1268" s="234">
        <f>COUNTIFS(INP_DATA!$R$5:$R$3027,S$4,INP_DATA!$D$5:$D$3027,$D1268,INP_DATA!$B$5:$B$3027,$B1268)</f>
        <v>0</v>
      </c>
      <c r="T1268" s="235">
        <f>COUNTIFS(INP_DATA!$R$5:$R$3027,T$4,INP_DATA!$D$5:$D$3027,$D1268,INP_DATA!$B$5:$B$3027,$B1268)</f>
        <v>0</v>
      </c>
    </row>
    <row r="1269" spans="1:20" x14ac:dyDescent="0.35">
      <c r="A1269" s="3" t="e">
        <f>IF(D1269="","",(VLOOKUP($D1269,KEY!$B$5:$D$74,3,FALSE)))</f>
        <v>#N/A</v>
      </c>
      <c r="B1269" s="165">
        <f t="shared" si="1"/>
        <v>45597</v>
      </c>
      <c r="C1269" s="57" t="str">
        <f>IF($B1269="","",YEAR($B1269)&amp;"-"&amp;IFERROR(VLOOKUP(MONTH(B1269),KEY!$AE$5:$AF$16,2,FALSE),""))</f>
        <v>2024-Q4</v>
      </c>
      <c r="D1269" s="3" t="s">
        <v>205</v>
      </c>
      <c r="E1269" s="219">
        <v>10</v>
      </c>
      <c r="F1269" s="166">
        <v>105</v>
      </c>
      <c r="G1269" s="166">
        <v>110</v>
      </c>
      <c r="H1269" s="21">
        <v>114</v>
      </c>
      <c r="I1269" s="21">
        <v>28</v>
      </c>
      <c r="J1269" s="21">
        <v>92</v>
      </c>
      <c r="K1269" s="21">
        <v>32</v>
      </c>
      <c r="L1269" s="21">
        <v>109</v>
      </c>
      <c r="M1269" s="21">
        <v>47</v>
      </c>
      <c r="N1269" s="21">
        <v>105</v>
      </c>
      <c r="O1269" s="19">
        <v>154</v>
      </c>
      <c r="P1269" s="22">
        <v>7</v>
      </c>
      <c r="Q1269" s="22">
        <v>5</v>
      </c>
      <c r="R1269" s="20"/>
      <c r="S1269" s="234">
        <f>COUNTIFS(INP_DATA!$R$5:$R$3027,S$4,INP_DATA!$D$5:$D$3027,$D1269,INP_DATA!$B$5:$B$3027,$B1269)</f>
        <v>0</v>
      </c>
      <c r="T1269" s="235">
        <f>COUNTIFS(INP_DATA!$R$5:$R$3027,T$4,INP_DATA!$D$5:$D$3027,$D1269,INP_DATA!$B$5:$B$3027,$B1269)</f>
        <v>0</v>
      </c>
    </row>
    <row r="1270" spans="1:20" x14ac:dyDescent="0.35">
      <c r="A1270" s="3" t="str">
        <f>IF(D1270="","",(VLOOKUP($D1270,KEY!$B$5:$D$74,3,FALSE)))</f>
        <v>Southern California</v>
      </c>
      <c r="B1270" s="165">
        <f t="shared" si="1"/>
        <v>45597</v>
      </c>
      <c r="C1270" s="57" t="str">
        <f>IF($B1270="","",YEAR($B1270)&amp;"-"&amp;IFERROR(VLOOKUP(MONTH(B1270),KEY!$AE$5:$AF$16,2,FALSE),""))</f>
        <v>2024-Q4</v>
      </c>
      <c r="D1270" s="3" t="s">
        <v>139</v>
      </c>
      <c r="E1270" s="219">
        <v>40</v>
      </c>
      <c r="F1270" s="166">
        <v>226</v>
      </c>
      <c r="G1270" s="166">
        <v>185</v>
      </c>
      <c r="H1270" s="21">
        <v>275</v>
      </c>
      <c r="I1270" s="21">
        <v>43</v>
      </c>
      <c r="J1270" s="21">
        <v>139</v>
      </c>
      <c r="K1270" s="21">
        <v>36</v>
      </c>
      <c r="L1270" s="21">
        <v>555</v>
      </c>
      <c r="M1270" s="21">
        <v>151</v>
      </c>
      <c r="N1270" s="21">
        <v>230</v>
      </c>
      <c r="O1270" s="19">
        <v>330</v>
      </c>
      <c r="P1270" s="22">
        <v>31</v>
      </c>
      <c r="Q1270" s="22">
        <v>23</v>
      </c>
      <c r="R1270" s="20"/>
      <c r="S1270" s="234">
        <f>COUNTIFS(INP_DATA!$R$5:$R$3027,S$4,INP_DATA!$D$5:$D$3027,$D1270,INP_DATA!$B$5:$B$3027,$B1270)</f>
        <v>0</v>
      </c>
      <c r="T1270" s="235">
        <f>COUNTIFS(INP_DATA!$R$5:$R$3027,T$4,INP_DATA!$D$5:$D$3027,$D1270,INP_DATA!$B$5:$B$3027,$B1270)</f>
        <v>0</v>
      </c>
    </row>
    <row r="1271" spans="1:20" x14ac:dyDescent="0.35">
      <c r="A1271" s="3" t="str">
        <f>IF(D1271="","",(VLOOKUP($D1271,KEY!$B$5:$D$74,3,FALSE)))</f>
        <v>Orange County</v>
      </c>
      <c r="B1271" s="165">
        <f t="shared" si="1"/>
        <v>45597</v>
      </c>
      <c r="C1271" s="57" t="str">
        <f>IF($B1271="","",YEAR($B1271)&amp;"-"&amp;IFERROR(VLOOKUP(MONTH(B1271),KEY!$AE$5:$AF$16,2,FALSE),""))</f>
        <v>2024-Q4</v>
      </c>
      <c r="D1271" s="3" t="s">
        <v>140</v>
      </c>
      <c r="E1271" s="219">
        <v>4</v>
      </c>
      <c r="F1271" s="166">
        <v>30</v>
      </c>
      <c r="G1271" s="166">
        <v>24</v>
      </c>
      <c r="H1271" s="21">
        <v>65</v>
      </c>
      <c r="I1271" s="21">
        <v>10</v>
      </c>
      <c r="J1271" s="21">
        <v>21</v>
      </c>
      <c r="K1271" s="21">
        <v>7</v>
      </c>
      <c r="L1271" s="21">
        <v>67</v>
      </c>
      <c r="M1271" s="21">
        <v>24</v>
      </c>
      <c r="N1271" s="21">
        <v>30</v>
      </c>
      <c r="O1271" s="19">
        <v>88</v>
      </c>
      <c r="P1271" s="22">
        <v>3</v>
      </c>
      <c r="Q1271" s="22">
        <v>1</v>
      </c>
      <c r="R1271" s="20"/>
      <c r="S1271" s="234">
        <f>COUNTIFS(INP_DATA!$R$5:$R$3027,S$4,INP_DATA!$D$5:$D$3027,$D1271,INP_DATA!$B$5:$B$3027,$B1271)</f>
        <v>0</v>
      </c>
      <c r="T1271" s="235">
        <f>COUNTIFS(INP_DATA!$R$5:$R$3027,T$4,INP_DATA!$D$5:$D$3027,$D1271,INP_DATA!$B$5:$B$3027,$B1271)</f>
        <v>0</v>
      </c>
    </row>
    <row r="1272" spans="1:20" x14ac:dyDescent="0.35">
      <c r="A1272" s="3" t="str">
        <f>IF(D1272="","",(VLOOKUP($D1272,KEY!$B$5:$D$74,3,FALSE)))</f>
        <v>Southern California</v>
      </c>
      <c r="B1272" s="165">
        <f t="shared" si="1"/>
        <v>45597</v>
      </c>
      <c r="C1272" s="57" t="str">
        <f>IF($B1272="","",YEAR($B1272)&amp;"-"&amp;IFERROR(VLOOKUP(MONTH(B1272),KEY!$AE$5:$AF$16,2,FALSE),""))</f>
        <v>2024-Q4</v>
      </c>
      <c r="D1272" s="3" t="s">
        <v>142</v>
      </c>
      <c r="E1272" s="219">
        <v>9</v>
      </c>
      <c r="F1272" s="166">
        <v>85</v>
      </c>
      <c r="G1272" s="166">
        <v>47</v>
      </c>
      <c r="H1272" s="21">
        <v>163</v>
      </c>
      <c r="I1272" s="21">
        <v>22</v>
      </c>
      <c r="J1272" s="21">
        <v>56</v>
      </c>
      <c r="K1272" s="21">
        <v>10</v>
      </c>
      <c r="L1272" s="21">
        <v>104</v>
      </c>
      <c r="M1272" s="21">
        <v>34</v>
      </c>
      <c r="N1272" s="21">
        <v>87</v>
      </c>
      <c r="O1272" s="19">
        <v>132</v>
      </c>
      <c r="P1272" s="22">
        <v>23</v>
      </c>
      <c r="Q1272" s="22">
        <v>12</v>
      </c>
      <c r="R1272" s="20"/>
      <c r="S1272" s="234">
        <f>COUNTIFS(INP_DATA!$R$5:$R$3027,S$4,INP_DATA!$D$5:$D$3027,$D1272,INP_DATA!$B$5:$B$3027,$B1272)</f>
        <v>0</v>
      </c>
      <c r="T1272" s="235">
        <f>COUNTIFS(INP_DATA!$R$5:$R$3027,T$4,INP_DATA!$D$5:$D$3027,$D1272,INP_DATA!$B$5:$B$3027,$B1272)</f>
        <v>0</v>
      </c>
    </row>
    <row r="1273" spans="1:20" x14ac:dyDescent="0.35">
      <c r="A1273" s="3" t="str">
        <f>IF(D1273="","",(VLOOKUP($D1273,KEY!$B$5:$D$74,3,FALSE)))</f>
        <v>Arizona</v>
      </c>
      <c r="B1273" s="165">
        <f t="shared" si="1"/>
        <v>45597</v>
      </c>
      <c r="C1273" s="57" t="str">
        <f>IF($B1273="","",YEAR($B1273)&amp;"-"&amp;IFERROR(VLOOKUP(MONTH(B1273),KEY!$AE$5:$AF$16,2,FALSE),""))</f>
        <v>2024-Q4</v>
      </c>
      <c r="D1273" s="3" t="s">
        <v>143</v>
      </c>
      <c r="E1273" s="219">
        <v>17</v>
      </c>
      <c r="F1273" s="166">
        <v>78</v>
      </c>
      <c r="G1273" s="166">
        <v>63</v>
      </c>
      <c r="H1273" s="21">
        <v>128</v>
      </c>
      <c r="I1273" s="21">
        <v>18</v>
      </c>
      <c r="J1273" s="21">
        <v>69</v>
      </c>
      <c r="K1273" s="21">
        <v>17</v>
      </c>
      <c r="L1273" s="21">
        <v>128</v>
      </c>
      <c r="M1273" s="21">
        <v>46</v>
      </c>
      <c r="N1273" s="21">
        <v>85</v>
      </c>
      <c r="O1273" s="19">
        <v>176</v>
      </c>
      <c r="P1273" s="22">
        <v>8</v>
      </c>
      <c r="Q1273" s="22">
        <v>4</v>
      </c>
      <c r="R1273" s="20"/>
      <c r="S1273" s="234">
        <f>COUNTIFS(INP_DATA!$R$5:$R$3027,S$4,INP_DATA!$D$5:$D$3027,$D1273,INP_DATA!$B$5:$B$3027,$B1273)</f>
        <v>0</v>
      </c>
      <c r="T1273" s="235">
        <f>COUNTIFS(INP_DATA!$R$5:$R$3027,T$4,INP_DATA!$D$5:$D$3027,$D1273,INP_DATA!$B$5:$B$3027,$B1273)</f>
        <v>0</v>
      </c>
    </row>
    <row r="1274" spans="1:20" x14ac:dyDescent="0.35">
      <c r="A1274" s="3" t="str">
        <f>IF(D1274="","",(VLOOKUP($D1274,KEY!$B$5:$D$74,3,FALSE)))</f>
        <v>Arizona</v>
      </c>
      <c r="B1274" s="165">
        <f t="shared" si="1"/>
        <v>45597</v>
      </c>
      <c r="C1274" s="57" t="str">
        <f>IF($B1274="","",YEAR($B1274)&amp;"-"&amp;IFERROR(VLOOKUP(MONTH(B1274),KEY!$AE$5:$AF$16,2,FALSE),""))</f>
        <v>2024-Q4</v>
      </c>
      <c r="D1274" s="3" t="s">
        <v>144</v>
      </c>
      <c r="E1274" s="219">
        <v>50</v>
      </c>
      <c r="F1274" s="166">
        <v>267</v>
      </c>
      <c r="G1274" s="166">
        <v>186</v>
      </c>
      <c r="H1274" s="21">
        <v>264</v>
      </c>
      <c r="I1274" s="21">
        <v>48</v>
      </c>
      <c r="J1274" s="21">
        <v>190</v>
      </c>
      <c r="K1274" s="21">
        <v>47</v>
      </c>
      <c r="L1274" s="21">
        <v>425</v>
      </c>
      <c r="M1274" s="21">
        <v>156</v>
      </c>
      <c r="N1274" s="21">
        <v>275</v>
      </c>
      <c r="O1274" s="19">
        <v>462</v>
      </c>
      <c r="P1274" s="22">
        <v>17</v>
      </c>
      <c r="Q1274" s="22">
        <v>14</v>
      </c>
      <c r="R1274" s="20"/>
      <c r="S1274" s="234">
        <f>COUNTIFS(INP_DATA!$R$5:$R$3027,S$4,INP_DATA!$D$5:$D$3027,$D1274,INP_DATA!$B$5:$B$3027,$B1274)</f>
        <v>0</v>
      </c>
      <c r="T1274" s="235">
        <f>COUNTIFS(INP_DATA!$R$5:$R$3027,T$4,INP_DATA!$D$5:$D$3027,$D1274,INP_DATA!$B$5:$B$3027,$B1274)</f>
        <v>0</v>
      </c>
    </row>
    <row r="1275" spans="1:20" x14ac:dyDescent="0.35">
      <c r="A1275" s="3" t="str">
        <f>IF(D1275="","",(VLOOKUP($D1275,KEY!$B$5:$D$74,3,FALSE)))</f>
        <v>Southern California</v>
      </c>
      <c r="B1275" s="165">
        <f t="shared" si="1"/>
        <v>45597</v>
      </c>
      <c r="C1275" s="57" t="str">
        <f>IF($B1275="","",YEAR($B1275)&amp;"-"&amp;IFERROR(VLOOKUP(MONTH(B1275),KEY!$AE$5:$AF$16,2,FALSE),""))</f>
        <v>2024-Q4</v>
      </c>
      <c r="D1275" s="3" t="s">
        <v>145</v>
      </c>
      <c r="E1275" s="219">
        <v>65</v>
      </c>
      <c r="F1275" s="166">
        <v>199</v>
      </c>
      <c r="G1275" s="166">
        <v>136</v>
      </c>
      <c r="H1275" s="21">
        <v>311</v>
      </c>
      <c r="I1275" s="21">
        <v>37</v>
      </c>
      <c r="J1275" s="21">
        <v>159</v>
      </c>
      <c r="K1275" s="21">
        <v>37</v>
      </c>
      <c r="L1275" s="21">
        <v>433</v>
      </c>
      <c r="M1275" s="21">
        <v>103</v>
      </c>
      <c r="N1275" s="21">
        <v>201</v>
      </c>
      <c r="O1275" s="19">
        <v>308</v>
      </c>
      <c r="P1275" s="22">
        <v>40</v>
      </c>
      <c r="Q1275" s="22">
        <v>22</v>
      </c>
      <c r="R1275" s="20"/>
      <c r="S1275" s="234">
        <f>COUNTIFS(INP_DATA!$R$5:$R$3027,S$4,INP_DATA!$D$5:$D$3027,$D1275,INP_DATA!$B$5:$B$3027,$B1275)</f>
        <v>0</v>
      </c>
      <c r="T1275" s="235">
        <f>COUNTIFS(INP_DATA!$R$5:$R$3027,T$4,INP_DATA!$D$5:$D$3027,$D1275,INP_DATA!$B$5:$B$3027,$B1275)</f>
        <v>0</v>
      </c>
    </row>
    <row r="1276" spans="1:20" x14ac:dyDescent="0.35">
      <c r="A1276" s="3" t="str">
        <f>IF(D1276="","",(VLOOKUP($D1276,KEY!$B$5:$D$74,3,FALSE)))</f>
        <v>Arizona</v>
      </c>
      <c r="B1276" s="165">
        <f t="shared" si="1"/>
        <v>45597</v>
      </c>
      <c r="C1276" s="57" t="str">
        <f>IF($B1276="","",YEAR($B1276)&amp;"-"&amp;IFERROR(VLOOKUP(MONTH(B1276),KEY!$AE$5:$AF$16,2,FALSE),""))</f>
        <v>2024-Q4</v>
      </c>
      <c r="D1276" s="3" t="s">
        <v>146</v>
      </c>
      <c r="E1276" s="219">
        <v>16</v>
      </c>
      <c r="F1276" s="166">
        <v>49</v>
      </c>
      <c r="G1276" s="166">
        <v>34</v>
      </c>
      <c r="H1276" s="21">
        <v>69</v>
      </c>
      <c r="I1276" s="21">
        <v>14</v>
      </c>
      <c r="J1276" s="21">
        <v>20</v>
      </c>
      <c r="K1276" s="21">
        <v>3</v>
      </c>
      <c r="L1276" s="21">
        <v>59</v>
      </c>
      <c r="M1276" s="21">
        <v>32</v>
      </c>
      <c r="N1276" s="21">
        <v>50</v>
      </c>
      <c r="O1276" s="19">
        <v>88</v>
      </c>
      <c r="P1276" s="22">
        <v>4</v>
      </c>
      <c r="Q1276" s="22">
        <v>2</v>
      </c>
      <c r="R1276" s="20"/>
      <c r="S1276" s="234">
        <f>COUNTIFS(INP_DATA!$R$5:$R$3027,S$4,INP_DATA!$D$5:$D$3027,$D1276,INP_DATA!$B$5:$B$3027,$B1276)</f>
        <v>0</v>
      </c>
      <c r="T1276" s="235">
        <f>COUNTIFS(INP_DATA!$R$5:$R$3027,T$4,INP_DATA!$D$5:$D$3027,$D1276,INP_DATA!$B$5:$B$3027,$B1276)</f>
        <v>0</v>
      </c>
    </row>
    <row r="1277" spans="1:20" x14ac:dyDescent="0.35">
      <c r="A1277" s="3" t="str">
        <f>IF(D1277="","",(VLOOKUP($D1277,KEY!$B$5:$D$74,3,FALSE)))</f>
        <v>Texas</v>
      </c>
      <c r="B1277" s="165">
        <f t="shared" si="1"/>
        <v>45597</v>
      </c>
      <c r="C1277" s="57" t="str">
        <f>IF($B1277="","",YEAR($B1277)&amp;"-"&amp;IFERROR(VLOOKUP(MONTH(B1277),KEY!$AE$5:$AF$16,2,FALSE),""))</f>
        <v>2024-Q4</v>
      </c>
      <c r="D1277" s="3" t="s">
        <v>147</v>
      </c>
      <c r="E1277" s="219">
        <v>4</v>
      </c>
      <c r="F1277" s="166">
        <v>39</v>
      </c>
      <c r="G1277" s="166">
        <v>38</v>
      </c>
      <c r="H1277" s="21">
        <v>68</v>
      </c>
      <c r="I1277" s="21">
        <v>18</v>
      </c>
      <c r="J1277" s="21">
        <v>29</v>
      </c>
      <c r="K1277" s="21">
        <v>9</v>
      </c>
      <c r="L1277" s="21">
        <v>80</v>
      </c>
      <c r="M1277" s="21">
        <v>33</v>
      </c>
      <c r="N1277" s="21">
        <v>39</v>
      </c>
      <c r="O1277" s="19">
        <v>66</v>
      </c>
      <c r="P1277" s="22">
        <v>2</v>
      </c>
      <c r="Q1277" s="22">
        <v>1</v>
      </c>
      <c r="R1277" s="20"/>
      <c r="S1277" s="234">
        <f>COUNTIFS(INP_DATA!$R$5:$R$3027,S$4,INP_DATA!$D$5:$D$3027,$D1277,INP_DATA!$B$5:$B$3027,$B1277)</f>
        <v>0</v>
      </c>
      <c r="T1277" s="235">
        <f>COUNTIFS(INP_DATA!$R$5:$R$3027,T$4,INP_DATA!$D$5:$D$3027,$D1277,INP_DATA!$B$5:$B$3027,$B1277)</f>
        <v>0</v>
      </c>
    </row>
    <row r="1278" spans="1:20" x14ac:dyDescent="0.35">
      <c r="A1278" s="3" t="str">
        <f>IF(D1278="","",(VLOOKUP($D1278,KEY!$B$5:$D$74,3,FALSE)))</f>
        <v>Northern California</v>
      </c>
      <c r="B1278" s="165">
        <f t="shared" si="1"/>
        <v>45597</v>
      </c>
      <c r="C1278" s="57" t="str">
        <f>IF($B1278="","",YEAR($B1278)&amp;"-"&amp;IFERROR(VLOOKUP(MONTH(B1278),KEY!$AE$5:$AF$16,2,FALSE),""))</f>
        <v>2024-Q4</v>
      </c>
      <c r="D1278" s="3" t="s">
        <v>148</v>
      </c>
      <c r="E1278" s="219">
        <v>12</v>
      </c>
      <c r="F1278" s="166">
        <v>51</v>
      </c>
      <c r="G1278" s="166">
        <v>35</v>
      </c>
      <c r="H1278" s="21">
        <v>103</v>
      </c>
      <c r="I1278" s="21">
        <v>20</v>
      </c>
      <c r="J1278" s="21">
        <v>43</v>
      </c>
      <c r="K1278" s="21">
        <v>8</v>
      </c>
      <c r="L1278" s="21">
        <v>85</v>
      </c>
      <c r="M1278" s="21">
        <v>38</v>
      </c>
      <c r="N1278" s="21">
        <v>51</v>
      </c>
      <c r="O1278" s="19">
        <v>66</v>
      </c>
      <c r="P1278" s="22">
        <v>7</v>
      </c>
      <c r="Q1278" s="22">
        <v>4</v>
      </c>
      <c r="R1278" s="20"/>
      <c r="S1278" s="234">
        <f>COUNTIFS(INP_DATA!$R$5:$R$3027,S$4,INP_DATA!$D$5:$D$3027,$D1278,INP_DATA!$B$5:$B$3027,$B1278)</f>
        <v>0</v>
      </c>
      <c r="T1278" s="235">
        <f>COUNTIFS(INP_DATA!$R$5:$R$3027,T$4,INP_DATA!$D$5:$D$3027,$D1278,INP_DATA!$B$5:$B$3027,$B1278)</f>
        <v>0</v>
      </c>
    </row>
    <row r="1279" spans="1:20" x14ac:dyDescent="0.35">
      <c r="A1279" s="3" t="str">
        <f>IF(D1279="","",(VLOOKUP($D1279,KEY!$B$5:$D$74,3,FALSE)))</f>
        <v>Orange County</v>
      </c>
      <c r="B1279" s="165">
        <f t="shared" si="1"/>
        <v>45597</v>
      </c>
      <c r="C1279" s="57" t="str">
        <f>IF($B1279="","",YEAR($B1279)&amp;"-"&amp;IFERROR(VLOOKUP(MONTH(B1279),KEY!$AE$5:$AF$16,2,FALSE),""))</f>
        <v>2024-Q4</v>
      </c>
      <c r="D1279" s="3" t="s">
        <v>149</v>
      </c>
      <c r="E1279" s="219">
        <v>11</v>
      </c>
      <c r="F1279" s="166">
        <v>28</v>
      </c>
      <c r="G1279" s="166">
        <v>25</v>
      </c>
      <c r="H1279" s="21">
        <v>37</v>
      </c>
      <c r="I1279" s="21">
        <v>6</v>
      </c>
      <c r="J1279" s="21">
        <v>11</v>
      </c>
      <c r="K1279" s="21">
        <v>4</v>
      </c>
      <c r="L1279" s="21">
        <v>70</v>
      </c>
      <c r="M1279" s="21">
        <v>23</v>
      </c>
      <c r="N1279" s="21">
        <v>30</v>
      </c>
      <c r="O1279" s="19">
        <v>66</v>
      </c>
      <c r="P1279" s="22">
        <v>0</v>
      </c>
      <c r="Q1279" s="22">
        <v>0</v>
      </c>
      <c r="R1279" s="20"/>
      <c r="S1279" s="234">
        <f>COUNTIFS(INP_DATA!$R$5:$R$3027,S$4,INP_DATA!$D$5:$D$3027,$D1279,INP_DATA!$B$5:$B$3027,$B1279)</f>
        <v>0</v>
      </c>
      <c r="T1279" s="235">
        <f>COUNTIFS(INP_DATA!$R$5:$R$3027,T$4,INP_DATA!$D$5:$D$3027,$D1279,INP_DATA!$B$5:$B$3027,$B1279)</f>
        <v>0</v>
      </c>
    </row>
    <row r="1280" spans="1:20" x14ac:dyDescent="0.35">
      <c r="A1280" s="3" t="str">
        <f>IF(D1280="","",(VLOOKUP($D1280,KEY!$B$5:$D$74,3,FALSE)))</f>
        <v>Southern California</v>
      </c>
      <c r="B1280" s="165">
        <f t="shared" si="1"/>
        <v>45597</v>
      </c>
      <c r="C1280" s="57" t="str">
        <f>IF($B1280="","",YEAR($B1280)&amp;"-"&amp;IFERROR(VLOOKUP(MONTH(B1280),KEY!$AE$5:$AF$16,2,FALSE),""))</f>
        <v>2024-Q4</v>
      </c>
      <c r="D1280" s="3" t="s">
        <v>150</v>
      </c>
      <c r="E1280" s="219">
        <v>10</v>
      </c>
      <c r="F1280" s="166">
        <v>53</v>
      </c>
      <c r="G1280" s="166">
        <v>37</v>
      </c>
      <c r="H1280" s="21">
        <v>71</v>
      </c>
      <c r="I1280" s="21">
        <v>18</v>
      </c>
      <c r="J1280" s="21">
        <v>16</v>
      </c>
      <c r="K1280" s="21">
        <v>5</v>
      </c>
      <c r="L1280" s="21">
        <v>66</v>
      </c>
      <c r="M1280" s="21">
        <v>31</v>
      </c>
      <c r="N1280" s="21">
        <v>53</v>
      </c>
      <c r="O1280" s="19">
        <v>66</v>
      </c>
      <c r="P1280" s="22">
        <v>13</v>
      </c>
      <c r="Q1280" s="22">
        <v>5</v>
      </c>
      <c r="R1280" s="20"/>
      <c r="S1280" s="234">
        <f>COUNTIFS(INP_DATA!$R$5:$R$3027,S$4,INP_DATA!$D$5:$D$3027,$D1280,INP_DATA!$B$5:$B$3027,$B1280)</f>
        <v>0</v>
      </c>
      <c r="T1280" s="235">
        <f>COUNTIFS(INP_DATA!$R$5:$R$3027,T$4,INP_DATA!$D$5:$D$3027,$D1280,INP_DATA!$B$5:$B$3027,$B1280)</f>
        <v>0</v>
      </c>
    </row>
    <row r="1281" spans="1:20" x14ac:dyDescent="0.35">
      <c r="A1281" s="3" t="str">
        <f>IF(D1281="","",(VLOOKUP($D1281,KEY!$B$5:$D$74,3,FALSE)))</f>
        <v>Arizona</v>
      </c>
      <c r="B1281" s="165">
        <f t="shared" si="1"/>
        <v>45597</v>
      </c>
      <c r="C1281" s="57" t="str">
        <f>IF($B1281="","",YEAR($B1281)&amp;"-"&amp;IFERROR(VLOOKUP(MONTH(B1281),KEY!$AE$5:$AF$16,2,FALSE),""))</f>
        <v>2024-Q4</v>
      </c>
      <c r="D1281" s="3" t="s">
        <v>151</v>
      </c>
      <c r="E1281" s="219">
        <v>8</v>
      </c>
      <c r="F1281" s="166">
        <v>40</v>
      </c>
      <c r="G1281" s="166">
        <v>30</v>
      </c>
      <c r="H1281" s="21">
        <v>61</v>
      </c>
      <c r="I1281" s="21">
        <v>10</v>
      </c>
      <c r="J1281" s="21">
        <v>10</v>
      </c>
      <c r="K1281" s="21">
        <v>6</v>
      </c>
      <c r="L1281" s="21">
        <v>65</v>
      </c>
      <c r="M1281" s="21">
        <v>30</v>
      </c>
      <c r="N1281" s="21">
        <v>40</v>
      </c>
      <c r="O1281" s="19">
        <v>88</v>
      </c>
      <c r="P1281" s="22">
        <v>3</v>
      </c>
      <c r="Q1281" s="22">
        <v>1</v>
      </c>
      <c r="R1281" s="20"/>
      <c r="S1281" s="234">
        <f>COUNTIFS(INP_DATA!$R$5:$R$3027,S$4,INP_DATA!$D$5:$D$3027,$D1281,INP_DATA!$B$5:$B$3027,$B1281)</f>
        <v>0</v>
      </c>
      <c r="T1281" s="235">
        <f>COUNTIFS(INP_DATA!$R$5:$R$3027,T$4,INP_DATA!$D$5:$D$3027,$D1281,INP_DATA!$B$5:$B$3027,$B1281)</f>
        <v>0</v>
      </c>
    </row>
    <row r="1282" spans="1:20" x14ac:dyDescent="0.35">
      <c r="A1282" s="3" t="str">
        <f>IF(D1282="","",(VLOOKUP($D1282,KEY!$B$5:$D$74,3,FALSE)))</f>
        <v>Michigan &amp; Minnesota</v>
      </c>
      <c r="B1282" s="165">
        <f t="shared" si="1"/>
        <v>45597</v>
      </c>
      <c r="C1282" s="57" t="str">
        <f>IF($B1282="","",YEAR($B1282)&amp;"-"&amp;IFERROR(VLOOKUP(MONTH(B1282),KEY!$AE$5:$AF$16,2,FALSE),""))</f>
        <v>2024-Q4</v>
      </c>
      <c r="D1282" s="3" t="s">
        <v>206</v>
      </c>
      <c r="E1282" s="219">
        <v>15</v>
      </c>
      <c r="F1282" s="166">
        <v>322</v>
      </c>
      <c r="G1282" s="166">
        <v>257</v>
      </c>
      <c r="H1282" s="21">
        <v>374</v>
      </c>
      <c r="I1282" s="21">
        <v>94</v>
      </c>
      <c r="J1282" s="21">
        <v>182</v>
      </c>
      <c r="K1282" s="21">
        <v>43</v>
      </c>
      <c r="L1282" s="21">
        <v>500</v>
      </c>
      <c r="M1282" s="21">
        <v>180</v>
      </c>
      <c r="N1282" s="21">
        <v>321</v>
      </c>
      <c r="O1282" s="19">
        <v>330</v>
      </c>
      <c r="P1282" s="22">
        <v>31</v>
      </c>
      <c r="Q1282" s="22">
        <v>0</v>
      </c>
      <c r="R1282" s="20"/>
      <c r="S1282" s="234">
        <f>COUNTIFS(INP_DATA!$R$5:$R$3027,S$4,INP_DATA!$D$5:$D$3027,$D1282,INP_DATA!$B$5:$B$3027,$B1282)</f>
        <v>0</v>
      </c>
      <c r="T1282" s="235">
        <f>COUNTIFS(INP_DATA!$R$5:$R$3027,T$4,INP_DATA!$D$5:$D$3027,$D1282,INP_DATA!$B$5:$B$3027,$B1282)</f>
        <v>0</v>
      </c>
    </row>
    <row r="1283" spans="1:20" x14ac:dyDescent="0.35">
      <c r="A1283" s="3" t="str">
        <f>IF(D1283="","",(VLOOKUP($D1283,KEY!$B$5:$D$74,3,FALSE)))</f>
        <v>Michigan &amp; Minnesota</v>
      </c>
      <c r="B1283" s="165">
        <f t="shared" si="1"/>
        <v>45597</v>
      </c>
      <c r="C1283" s="57" t="str">
        <f>IF($B1283="","",YEAR($B1283)&amp;"-"&amp;IFERROR(VLOOKUP(MONTH(B1283),KEY!$AE$5:$AF$16,2,FALSE),""))</f>
        <v>2024-Q4</v>
      </c>
      <c r="D1283" s="3" t="s">
        <v>207</v>
      </c>
      <c r="E1283" s="219">
        <v>10</v>
      </c>
      <c r="F1283" s="166">
        <v>53</v>
      </c>
      <c r="G1283" s="166">
        <v>50</v>
      </c>
      <c r="H1283" s="21">
        <v>79</v>
      </c>
      <c r="I1283" s="21">
        <v>12</v>
      </c>
      <c r="J1283" s="21">
        <v>15</v>
      </c>
      <c r="K1283" s="21">
        <v>1</v>
      </c>
      <c r="L1283" s="21">
        <v>45</v>
      </c>
      <c r="M1283" s="21">
        <v>17</v>
      </c>
      <c r="N1283" s="21">
        <v>54</v>
      </c>
      <c r="O1283" s="19">
        <v>132</v>
      </c>
      <c r="P1283" s="22">
        <v>7</v>
      </c>
      <c r="Q1283" s="22">
        <v>4</v>
      </c>
      <c r="R1283" s="20"/>
      <c r="S1283" s="234">
        <f>COUNTIFS(INP_DATA!$R$5:$R$3027,S$4,INP_DATA!$D$5:$D$3027,$D1283,INP_DATA!$B$5:$B$3027,$B1283)</f>
        <v>0</v>
      </c>
      <c r="T1283" s="235">
        <f>COUNTIFS(INP_DATA!$R$5:$R$3027,T$4,INP_DATA!$D$5:$D$3027,$D1283,INP_DATA!$B$5:$B$3027,$B1283)</f>
        <v>0</v>
      </c>
    </row>
    <row r="1284" spans="1:20" x14ac:dyDescent="0.35">
      <c r="A1284" s="3" t="str">
        <f>IF(D1284="","",(VLOOKUP($D1284,KEY!$B$5:$D$74,3,FALSE)))</f>
        <v>Indiana</v>
      </c>
      <c r="B1284" s="165">
        <f t="shared" si="1"/>
        <v>45597</v>
      </c>
      <c r="C1284" s="57" t="str">
        <f>IF($B1284="","",YEAR($B1284)&amp;"-"&amp;IFERROR(VLOOKUP(MONTH(B1284),KEY!$AE$5:$AF$16,2,FALSE),""))</f>
        <v>2024-Q4</v>
      </c>
      <c r="D1284" s="3" t="s">
        <v>208</v>
      </c>
      <c r="E1284" s="219">
        <v>0</v>
      </c>
      <c r="F1284" s="166">
        <v>128</v>
      </c>
      <c r="G1284" s="166">
        <v>98</v>
      </c>
      <c r="H1284" s="21">
        <v>286</v>
      </c>
      <c r="I1284" s="21">
        <v>33</v>
      </c>
      <c r="J1284" s="21">
        <v>98</v>
      </c>
      <c r="K1284" s="21">
        <v>16</v>
      </c>
      <c r="L1284" s="21">
        <v>157</v>
      </c>
      <c r="M1284" s="21">
        <v>63</v>
      </c>
      <c r="N1284" s="21">
        <v>129</v>
      </c>
      <c r="O1284" s="19">
        <v>198</v>
      </c>
      <c r="P1284" s="22">
        <v>15</v>
      </c>
      <c r="Q1284" s="22">
        <v>6</v>
      </c>
      <c r="R1284" s="20"/>
      <c r="S1284" s="234">
        <f>COUNTIFS(INP_DATA!$R$5:$R$3027,S$4,INP_DATA!$D$5:$D$3027,$D1284,INP_DATA!$B$5:$B$3027,$B1284)</f>
        <v>0</v>
      </c>
      <c r="T1284" s="235">
        <f>COUNTIFS(INP_DATA!$R$5:$R$3027,T$4,INP_DATA!$D$5:$D$3027,$D1284,INP_DATA!$B$5:$B$3027,$B1284)</f>
        <v>0</v>
      </c>
    </row>
    <row r="1285" spans="1:20" x14ac:dyDescent="0.35">
      <c r="A1285" s="3" t="str">
        <f>IF(D1285="","",(VLOOKUP($D1285,KEY!$B$5:$D$74,3,FALSE)))</f>
        <v>Indiana</v>
      </c>
      <c r="B1285" s="165">
        <f t="shared" si="1"/>
        <v>45597</v>
      </c>
      <c r="C1285" s="57" t="str">
        <f>IF($B1285="","",YEAR($B1285)&amp;"-"&amp;IFERROR(VLOOKUP(MONTH(B1285),KEY!$AE$5:$AF$16,2,FALSE),""))</f>
        <v>2024-Q4</v>
      </c>
      <c r="D1285" s="3" t="s">
        <v>209</v>
      </c>
      <c r="E1285" s="219">
        <v>4</v>
      </c>
      <c r="F1285" s="166">
        <v>418</v>
      </c>
      <c r="G1285" s="166">
        <v>524</v>
      </c>
      <c r="H1285" s="21">
        <v>647</v>
      </c>
      <c r="I1285" s="21">
        <v>111</v>
      </c>
      <c r="J1285" s="21">
        <v>245</v>
      </c>
      <c r="K1285" s="21">
        <v>58</v>
      </c>
      <c r="L1285" s="21">
        <v>379</v>
      </c>
      <c r="M1285" s="21">
        <v>179</v>
      </c>
      <c r="N1285" s="21">
        <v>417</v>
      </c>
      <c r="O1285" s="19">
        <v>550</v>
      </c>
      <c r="P1285" s="22">
        <v>46</v>
      </c>
      <c r="Q1285" s="22">
        <v>22</v>
      </c>
      <c r="R1285" s="20"/>
      <c r="S1285" s="234">
        <f>COUNTIFS(INP_DATA!$R$5:$R$3027,S$4,INP_DATA!$D$5:$D$3027,$D1285,INP_DATA!$B$5:$B$3027,$B1285)</f>
        <v>0</v>
      </c>
      <c r="T1285" s="235">
        <f>COUNTIFS(INP_DATA!$R$5:$R$3027,T$4,INP_DATA!$D$5:$D$3027,$D1285,INP_DATA!$B$5:$B$3027,$B1285)</f>
        <v>0</v>
      </c>
    </row>
    <row r="1286" spans="1:20" x14ac:dyDescent="0.35">
      <c r="A1286" s="3" t="str">
        <f>IF(D1286="","",(VLOOKUP($D1286,KEY!$B$5:$D$74,3,FALSE)))</f>
        <v>Northern California</v>
      </c>
      <c r="B1286" s="165">
        <f t="shared" si="1"/>
        <v>45597</v>
      </c>
      <c r="C1286" s="57" t="str">
        <f>IF($B1286="","",YEAR($B1286)&amp;"-"&amp;IFERROR(VLOOKUP(MONTH(B1286),KEY!$AE$5:$AF$16,2,FALSE),""))</f>
        <v>2024-Q4</v>
      </c>
      <c r="D1286" s="3" t="s">
        <v>152</v>
      </c>
      <c r="E1286" s="219">
        <v>51</v>
      </c>
      <c r="F1286" s="166">
        <v>232</v>
      </c>
      <c r="G1286" s="166">
        <v>226</v>
      </c>
      <c r="H1286" s="21">
        <v>471</v>
      </c>
      <c r="I1286" s="21">
        <v>82</v>
      </c>
      <c r="J1286" s="21">
        <v>145</v>
      </c>
      <c r="K1286" s="21">
        <v>34</v>
      </c>
      <c r="L1286" s="21">
        <v>448</v>
      </c>
      <c r="M1286" s="21">
        <v>190</v>
      </c>
      <c r="N1286" s="21">
        <v>235</v>
      </c>
      <c r="O1286" s="19">
        <v>286</v>
      </c>
      <c r="P1286" s="22">
        <v>62</v>
      </c>
      <c r="Q1286" s="22">
        <v>42</v>
      </c>
      <c r="R1286" s="20"/>
      <c r="S1286" s="234">
        <f>COUNTIFS(INP_DATA!$R$5:$R$3027,S$4,INP_DATA!$D$5:$D$3027,$D1286,INP_DATA!$B$5:$B$3027,$B1286)</f>
        <v>0</v>
      </c>
      <c r="T1286" s="235">
        <f>COUNTIFS(INP_DATA!$R$5:$R$3027,T$4,INP_DATA!$D$5:$D$3027,$D1286,INP_DATA!$B$5:$B$3027,$B1286)</f>
        <v>0</v>
      </c>
    </row>
    <row r="1287" spans="1:20" x14ac:dyDescent="0.35">
      <c r="A1287" s="3" t="str">
        <f>IF(D1287="","",(VLOOKUP($D1287,KEY!$B$5:$D$74,3,FALSE)))</f>
        <v>Arizona</v>
      </c>
      <c r="B1287" s="165">
        <f t="shared" si="1"/>
        <v>45597</v>
      </c>
      <c r="C1287" s="57" t="str">
        <f>IF($B1287="","",YEAR($B1287)&amp;"-"&amp;IFERROR(VLOOKUP(MONTH(B1287),KEY!$AE$5:$AF$16,2,FALSE),""))</f>
        <v>2024-Q4</v>
      </c>
      <c r="D1287" s="3" t="s">
        <v>153</v>
      </c>
      <c r="E1287" s="219">
        <v>46</v>
      </c>
      <c r="F1287" s="166">
        <v>126</v>
      </c>
      <c r="G1287" s="166">
        <v>97</v>
      </c>
      <c r="H1287" s="21">
        <v>132</v>
      </c>
      <c r="I1287" s="21">
        <v>23</v>
      </c>
      <c r="J1287" s="21">
        <v>93</v>
      </c>
      <c r="K1287" s="21">
        <v>10</v>
      </c>
      <c r="L1287" s="21">
        <v>366</v>
      </c>
      <c r="M1287" s="21">
        <v>80</v>
      </c>
      <c r="N1287" s="21">
        <v>123</v>
      </c>
      <c r="O1287" s="19">
        <v>286</v>
      </c>
      <c r="P1287" s="22">
        <v>2</v>
      </c>
      <c r="Q1287" s="22">
        <v>0</v>
      </c>
      <c r="R1287" s="20"/>
      <c r="S1287" s="234">
        <f>COUNTIFS(INP_DATA!$R$5:$R$3027,S$4,INP_DATA!$D$5:$D$3027,$D1287,INP_DATA!$B$5:$B$3027,$B1287)</f>
        <v>0</v>
      </c>
      <c r="T1287" s="235">
        <f>COUNTIFS(INP_DATA!$R$5:$R$3027,T$4,INP_DATA!$D$5:$D$3027,$D1287,INP_DATA!$B$5:$B$3027,$B1287)</f>
        <v>0</v>
      </c>
    </row>
    <row r="1288" spans="1:20" x14ac:dyDescent="0.35">
      <c r="A1288" s="3" t="str">
        <f>IF(D1288="","",(VLOOKUP($D1288,KEY!$B$5:$D$74,3,FALSE)))</f>
        <v>Northern California</v>
      </c>
      <c r="B1288" s="165">
        <f t="shared" si="1"/>
        <v>45597</v>
      </c>
      <c r="C1288" s="57" t="str">
        <f>IF($B1288="","",YEAR($B1288)&amp;"-"&amp;IFERROR(VLOOKUP(MONTH(B1288),KEY!$AE$5:$AF$16,2,FALSE),""))</f>
        <v>2024-Q4</v>
      </c>
      <c r="D1288" s="3" t="s">
        <v>154</v>
      </c>
      <c r="E1288" s="219">
        <v>21</v>
      </c>
      <c r="F1288" s="166">
        <v>64</v>
      </c>
      <c r="G1288" s="166">
        <v>80</v>
      </c>
      <c r="H1288" s="21">
        <v>314</v>
      </c>
      <c r="I1288" s="21">
        <v>23</v>
      </c>
      <c r="J1288" s="21">
        <v>121</v>
      </c>
      <c r="K1288" s="21">
        <v>15</v>
      </c>
      <c r="L1288" s="21">
        <v>268</v>
      </c>
      <c r="M1288" s="21">
        <v>43</v>
      </c>
      <c r="N1288" s="21">
        <v>64</v>
      </c>
      <c r="O1288" s="19">
        <v>176</v>
      </c>
      <c r="P1288" s="22">
        <v>16</v>
      </c>
      <c r="Q1288" s="22">
        <v>13</v>
      </c>
      <c r="R1288" s="20"/>
      <c r="S1288" s="234">
        <f>COUNTIFS(INP_DATA!$R$5:$R$3027,S$4,INP_DATA!$D$5:$D$3027,$D1288,INP_DATA!$B$5:$B$3027,$B1288)</f>
        <v>0</v>
      </c>
      <c r="T1288" s="235">
        <f>COUNTIFS(INP_DATA!$R$5:$R$3027,T$4,INP_DATA!$D$5:$D$3027,$D1288,INP_DATA!$B$5:$B$3027,$B1288)</f>
        <v>0</v>
      </c>
    </row>
    <row r="1289" spans="1:20" x14ac:dyDescent="0.35">
      <c r="A1289" s="3" t="str">
        <f>IF(D1289="","",(VLOOKUP($D1289,KEY!$B$5:$D$74,3,FALSE)))</f>
        <v>Texas</v>
      </c>
      <c r="B1289" s="165">
        <f t="shared" si="1"/>
        <v>45597</v>
      </c>
      <c r="C1289" s="57" t="str">
        <f>IF($B1289="","",YEAR($B1289)&amp;"-"&amp;IFERROR(VLOOKUP(MONTH(B1289),KEY!$AE$5:$AF$16,2,FALSE),""))</f>
        <v>2024-Q4</v>
      </c>
      <c r="D1289" s="3" t="s">
        <v>155</v>
      </c>
      <c r="E1289" s="219">
        <v>53</v>
      </c>
      <c r="F1289" s="166">
        <v>292</v>
      </c>
      <c r="G1289" s="166">
        <v>319</v>
      </c>
      <c r="H1289" s="21">
        <v>728</v>
      </c>
      <c r="I1289" s="21">
        <v>93</v>
      </c>
      <c r="J1289" s="21">
        <v>168</v>
      </c>
      <c r="K1289" s="21">
        <v>31</v>
      </c>
      <c r="L1289" s="21">
        <v>416</v>
      </c>
      <c r="M1289" s="21">
        <v>132</v>
      </c>
      <c r="N1289" s="21">
        <v>293</v>
      </c>
      <c r="O1289" s="19">
        <v>506</v>
      </c>
      <c r="P1289" s="22">
        <v>26</v>
      </c>
      <c r="Q1289" s="22">
        <v>17</v>
      </c>
      <c r="R1289" s="20"/>
      <c r="S1289" s="234">
        <f>COUNTIFS(INP_DATA!$R$5:$R$3027,S$4,INP_DATA!$D$5:$D$3027,$D1289,INP_DATA!$B$5:$B$3027,$B1289)</f>
        <v>0</v>
      </c>
      <c r="T1289" s="235">
        <f>COUNTIFS(INP_DATA!$R$5:$R$3027,T$4,INP_DATA!$D$5:$D$3027,$D1289,INP_DATA!$B$5:$B$3027,$B1289)</f>
        <v>0</v>
      </c>
    </row>
    <row r="1290" spans="1:20" x14ac:dyDescent="0.35">
      <c r="A1290" s="3" t="str">
        <f>IF(D1290="","",(VLOOKUP($D1290,KEY!$B$5:$D$74,3,FALSE)))</f>
        <v>Texas</v>
      </c>
      <c r="B1290" s="165">
        <f t="shared" si="1"/>
        <v>45597</v>
      </c>
      <c r="C1290" s="57" t="str">
        <f>IF($B1290="","",YEAR($B1290)&amp;"-"&amp;IFERROR(VLOOKUP(MONTH(B1290),KEY!$AE$5:$AF$16,2,FALSE),""))</f>
        <v>2024-Q4</v>
      </c>
      <c r="D1290" s="3" t="s">
        <v>156</v>
      </c>
      <c r="E1290" s="219">
        <v>39</v>
      </c>
      <c r="F1290" s="166">
        <v>225</v>
      </c>
      <c r="G1290" s="166">
        <v>214</v>
      </c>
      <c r="H1290" s="21">
        <v>443</v>
      </c>
      <c r="I1290" s="21">
        <v>72</v>
      </c>
      <c r="J1290" s="21">
        <v>182</v>
      </c>
      <c r="K1290" s="21">
        <v>41</v>
      </c>
      <c r="L1290" s="21">
        <v>269</v>
      </c>
      <c r="M1290" s="21">
        <v>93</v>
      </c>
      <c r="N1290" s="21">
        <v>228</v>
      </c>
      <c r="O1290" s="19">
        <v>352</v>
      </c>
      <c r="P1290" s="22">
        <v>10</v>
      </c>
      <c r="Q1290" s="22">
        <v>4</v>
      </c>
      <c r="R1290" s="20"/>
      <c r="S1290" s="234">
        <f>COUNTIFS(INP_DATA!$R$5:$R$3027,S$4,INP_DATA!$D$5:$D$3027,$D1290,INP_DATA!$B$5:$B$3027,$B1290)</f>
        <v>0</v>
      </c>
      <c r="T1290" s="235">
        <f>COUNTIFS(INP_DATA!$R$5:$R$3027,T$4,INP_DATA!$D$5:$D$3027,$D1290,INP_DATA!$B$5:$B$3027,$B1290)</f>
        <v>0</v>
      </c>
    </row>
    <row r="1291" spans="1:20" x14ac:dyDescent="0.35">
      <c r="A1291" s="3" t="str">
        <f>IF(D1291="","",(VLOOKUP($D1291,KEY!$B$5:$D$74,3,FALSE)))</f>
        <v>Texas</v>
      </c>
      <c r="B1291" s="165">
        <f t="shared" si="1"/>
        <v>45597</v>
      </c>
      <c r="C1291" s="57" t="str">
        <f>IF($B1291="","",YEAR($B1291)&amp;"-"&amp;IFERROR(VLOOKUP(MONTH(B1291),KEY!$AE$5:$AF$16,2,FALSE),""))</f>
        <v>2024-Q4</v>
      </c>
      <c r="D1291" s="3" t="s">
        <v>157</v>
      </c>
      <c r="E1291" s="219">
        <v>12</v>
      </c>
      <c r="F1291" s="166">
        <v>471</v>
      </c>
      <c r="G1291" s="166">
        <v>351</v>
      </c>
      <c r="H1291" s="21">
        <v>572</v>
      </c>
      <c r="I1291" s="21">
        <v>76</v>
      </c>
      <c r="J1291" s="21">
        <v>383</v>
      </c>
      <c r="K1291" s="21">
        <v>66</v>
      </c>
      <c r="L1291" s="21">
        <v>949</v>
      </c>
      <c r="M1291" s="21">
        <v>219</v>
      </c>
      <c r="N1291" s="21">
        <v>471</v>
      </c>
      <c r="O1291" s="19">
        <v>770</v>
      </c>
      <c r="P1291" s="22">
        <v>4</v>
      </c>
      <c r="Q1291" s="22">
        <v>1</v>
      </c>
      <c r="R1291" s="20"/>
      <c r="S1291" s="234">
        <f>COUNTIFS(INP_DATA!$R$5:$R$3027,S$4,INP_DATA!$D$5:$D$3027,$D1291,INP_DATA!$B$5:$B$3027,$B1291)</f>
        <v>0</v>
      </c>
      <c r="T1291" s="235">
        <f>COUNTIFS(INP_DATA!$R$5:$R$3027,T$4,INP_DATA!$D$5:$D$3027,$D1291,INP_DATA!$B$5:$B$3027,$B1291)</f>
        <v>0</v>
      </c>
    </row>
    <row r="1292" spans="1:20" x14ac:dyDescent="0.35">
      <c r="A1292" s="3" t="str">
        <f>IF(D1292="","",(VLOOKUP($D1292,KEY!$B$5:$D$74,3,FALSE)))</f>
        <v>Arizona</v>
      </c>
      <c r="B1292" s="165">
        <f t="shared" si="1"/>
        <v>45597</v>
      </c>
      <c r="C1292" s="57" t="str">
        <f>IF($B1292="","",YEAR($B1292)&amp;"-"&amp;IFERROR(VLOOKUP(MONTH(B1292),KEY!$AE$5:$AF$16,2,FALSE),""))</f>
        <v>2024-Q4</v>
      </c>
      <c r="D1292" s="3" t="s">
        <v>158</v>
      </c>
      <c r="E1292" s="219">
        <v>7</v>
      </c>
      <c r="F1292" s="166">
        <v>32</v>
      </c>
      <c r="G1292" s="166">
        <v>33</v>
      </c>
      <c r="H1292" s="21">
        <v>66</v>
      </c>
      <c r="I1292" s="21">
        <v>5</v>
      </c>
      <c r="J1292" s="21">
        <v>28</v>
      </c>
      <c r="K1292" s="21">
        <v>3</v>
      </c>
      <c r="L1292" s="21">
        <v>68</v>
      </c>
      <c r="M1292" s="21">
        <v>23</v>
      </c>
      <c r="N1292" s="21">
        <v>31</v>
      </c>
      <c r="O1292" s="19">
        <v>132</v>
      </c>
      <c r="P1292" s="22">
        <v>5</v>
      </c>
      <c r="Q1292" s="22">
        <v>2</v>
      </c>
      <c r="R1292" s="20"/>
      <c r="S1292" s="234">
        <f>COUNTIFS(INP_DATA!$R$5:$R$3027,S$4,INP_DATA!$D$5:$D$3027,$D1292,INP_DATA!$B$5:$B$3027,$B1292)</f>
        <v>0</v>
      </c>
      <c r="T1292" s="235">
        <f>COUNTIFS(INP_DATA!$R$5:$R$3027,T$4,INP_DATA!$D$5:$D$3027,$D1292,INP_DATA!$B$5:$B$3027,$B1292)</f>
        <v>0</v>
      </c>
    </row>
    <row r="1293" spans="1:20" x14ac:dyDescent="0.35">
      <c r="A1293" s="3" t="str">
        <f>IF(D1293="","",(VLOOKUP($D1293,KEY!$B$5:$D$74,3,FALSE)))</f>
        <v>Orange County</v>
      </c>
      <c r="B1293" s="165">
        <f t="shared" ref="B1293:B1302" si="2">B1292</f>
        <v>45597</v>
      </c>
      <c r="C1293" s="57" t="str">
        <f>IF($B1293="","",YEAR($B1293)&amp;"-"&amp;IFERROR(VLOOKUP(MONTH(B1293),KEY!$AE$5:$AF$16,2,FALSE),""))</f>
        <v>2024-Q4</v>
      </c>
      <c r="D1293" s="3" t="s">
        <v>159</v>
      </c>
      <c r="E1293" s="219">
        <v>26</v>
      </c>
      <c r="F1293" s="166">
        <v>159</v>
      </c>
      <c r="G1293" s="166">
        <v>103</v>
      </c>
      <c r="H1293" s="21">
        <v>237</v>
      </c>
      <c r="I1293" s="21">
        <v>57</v>
      </c>
      <c r="J1293" s="21">
        <v>73</v>
      </c>
      <c r="K1293" s="21">
        <v>25</v>
      </c>
      <c r="L1293" s="21">
        <v>220</v>
      </c>
      <c r="M1293" s="21">
        <v>117</v>
      </c>
      <c r="N1293" s="21">
        <v>160</v>
      </c>
      <c r="O1293" s="19">
        <v>242</v>
      </c>
      <c r="P1293" s="22">
        <v>4</v>
      </c>
      <c r="Q1293" s="22">
        <v>3</v>
      </c>
      <c r="R1293" s="20"/>
      <c r="S1293" s="234">
        <f>COUNTIFS(INP_DATA!$R$5:$R$3027,S$4,INP_DATA!$D$5:$D$3027,$D1293,INP_DATA!$B$5:$B$3027,$B1293)</f>
        <v>0</v>
      </c>
      <c r="T1293" s="235">
        <f>COUNTIFS(INP_DATA!$R$5:$R$3027,T$4,INP_DATA!$D$5:$D$3027,$D1293,INP_DATA!$B$5:$B$3027,$B1293)</f>
        <v>0</v>
      </c>
    </row>
    <row r="1294" spans="1:20" x14ac:dyDescent="0.35">
      <c r="A1294" s="3" t="str">
        <f>IF(D1294="","",(VLOOKUP($D1294,KEY!$B$5:$D$74,3,FALSE)))</f>
        <v>Arizona</v>
      </c>
      <c r="B1294" s="165">
        <f t="shared" si="2"/>
        <v>45597</v>
      </c>
      <c r="C1294" s="57" t="str">
        <f>IF($B1294="","",YEAR($B1294)&amp;"-"&amp;IFERROR(VLOOKUP(MONTH(B1294),KEY!$AE$5:$AF$16,2,FALSE),""))</f>
        <v>2024-Q4</v>
      </c>
      <c r="D1294" s="3" t="s">
        <v>160</v>
      </c>
      <c r="E1294" s="219">
        <v>61</v>
      </c>
      <c r="F1294" s="166">
        <v>344</v>
      </c>
      <c r="G1294" s="166">
        <v>326</v>
      </c>
      <c r="H1294" s="21">
        <v>611</v>
      </c>
      <c r="I1294" s="21">
        <v>74</v>
      </c>
      <c r="J1294" s="21">
        <v>175</v>
      </c>
      <c r="K1294" s="21">
        <v>43</v>
      </c>
      <c r="L1294" s="21">
        <v>547</v>
      </c>
      <c r="M1294" s="21">
        <v>211</v>
      </c>
      <c r="N1294" s="21">
        <v>346</v>
      </c>
      <c r="O1294" s="19">
        <v>528</v>
      </c>
      <c r="P1294" s="22">
        <v>34</v>
      </c>
      <c r="Q1294" s="22">
        <v>25</v>
      </c>
      <c r="R1294" s="20"/>
      <c r="S1294" s="234">
        <f>COUNTIFS(INP_DATA!$R$5:$R$3027,S$4,INP_DATA!$D$5:$D$3027,$D1294,INP_DATA!$B$5:$B$3027,$B1294)</f>
        <v>0</v>
      </c>
      <c r="T1294" s="235">
        <f>COUNTIFS(INP_DATA!$R$5:$R$3027,T$4,INP_DATA!$D$5:$D$3027,$D1294,INP_DATA!$B$5:$B$3027,$B1294)</f>
        <v>0</v>
      </c>
    </row>
    <row r="1295" spans="1:20" x14ac:dyDescent="0.35">
      <c r="A1295" s="3" t="str">
        <f>IF(D1295="","",(VLOOKUP($D1295,KEY!$B$5:$D$74,3,FALSE)))</f>
        <v>Northern California</v>
      </c>
      <c r="B1295" s="165">
        <f t="shared" si="2"/>
        <v>45597</v>
      </c>
      <c r="C1295" s="57" t="str">
        <f>IF($B1295="","",YEAR($B1295)&amp;"-"&amp;IFERROR(VLOOKUP(MONTH(B1295),KEY!$AE$5:$AF$16,2,FALSE),""))</f>
        <v>2024-Q4</v>
      </c>
      <c r="D1295" s="3" t="s">
        <v>161</v>
      </c>
      <c r="E1295" s="219">
        <v>44</v>
      </c>
      <c r="F1295" s="166">
        <v>297</v>
      </c>
      <c r="G1295" s="166">
        <v>313</v>
      </c>
      <c r="H1295" s="21">
        <v>476</v>
      </c>
      <c r="I1295" s="21">
        <v>81</v>
      </c>
      <c r="J1295" s="21">
        <v>201</v>
      </c>
      <c r="K1295" s="21">
        <v>54</v>
      </c>
      <c r="L1295" s="21">
        <v>380</v>
      </c>
      <c r="M1295" s="21">
        <v>109</v>
      </c>
      <c r="N1295" s="21">
        <v>316</v>
      </c>
      <c r="O1295" s="19">
        <v>440</v>
      </c>
      <c r="P1295" s="22">
        <v>9</v>
      </c>
      <c r="Q1295" s="22">
        <v>6</v>
      </c>
      <c r="R1295" s="20"/>
      <c r="S1295" s="234">
        <f>COUNTIFS(INP_DATA!$R$5:$R$3027,S$4,INP_DATA!$D$5:$D$3027,$D1295,INP_DATA!$B$5:$B$3027,$B1295)</f>
        <v>0</v>
      </c>
      <c r="T1295" s="235">
        <f>COUNTIFS(INP_DATA!$R$5:$R$3027,T$4,INP_DATA!$D$5:$D$3027,$D1295,INP_DATA!$B$5:$B$3027,$B1295)</f>
        <v>0</v>
      </c>
    </row>
    <row r="1296" spans="1:20" x14ac:dyDescent="0.35">
      <c r="A1296" s="3" t="e">
        <f>IF(D1296="","",(VLOOKUP($D1296,KEY!$B$5:$D$74,3,FALSE)))</f>
        <v>#N/A</v>
      </c>
      <c r="B1296" s="165">
        <f t="shared" si="2"/>
        <v>45597</v>
      </c>
      <c r="C1296" s="57" t="str">
        <f>IF($B1296="","",YEAR($B1296)&amp;"-"&amp;IFERROR(VLOOKUP(MONTH(B1296),KEY!$AE$5:$AF$16,2,FALSE),""))</f>
        <v>2024-Q4</v>
      </c>
      <c r="D1296" s="3" t="s">
        <v>162</v>
      </c>
      <c r="E1296" s="219">
        <v>147</v>
      </c>
      <c r="F1296" s="166">
        <v>397</v>
      </c>
      <c r="G1296" s="166">
        <v>430</v>
      </c>
      <c r="H1296" s="21">
        <v>282</v>
      </c>
      <c r="I1296" s="21">
        <v>76</v>
      </c>
      <c r="J1296" s="21">
        <v>119</v>
      </c>
      <c r="K1296" s="21">
        <v>39</v>
      </c>
      <c r="L1296" s="21">
        <v>1046</v>
      </c>
      <c r="M1296" s="21">
        <v>252</v>
      </c>
      <c r="N1296" s="21">
        <v>402</v>
      </c>
      <c r="O1296" s="19">
        <v>660</v>
      </c>
      <c r="P1296" s="22">
        <v>44</v>
      </c>
      <c r="Q1296" s="22">
        <v>38</v>
      </c>
      <c r="R1296" s="20"/>
      <c r="S1296" s="234">
        <f>COUNTIFS(INP_DATA!$R$5:$R$3027,S$4,INP_DATA!$D$5:$D$3027,$D1296,INP_DATA!$B$5:$B$3027,$B1296)</f>
        <v>0</v>
      </c>
      <c r="T1296" s="235">
        <f>COUNTIFS(INP_DATA!$R$5:$R$3027,T$4,INP_DATA!$D$5:$D$3027,$D1296,INP_DATA!$B$5:$B$3027,$B1296)</f>
        <v>0</v>
      </c>
    </row>
    <row r="1297" spans="1:20" x14ac:dyDescent="0.35">
      <c r="A1297" s="3" t="str">
        <f>IF(D1297="","",(VLOOKUP($D1297,KEY!$B$5:$D$74,3,FALSE)))</f>
        <v>Arizona</v>
      </c>
      <c r="B1297" s="165">
        <f t="shared" si="2"/>
        <v>45597</v>
      </c>
      <c r="C1297" s="57" t="str">
        <f>IF($B1297="","",YEAR($B1297)&amp;"-"&amp;IFERROR(VLOOKUP(MONTH(B1297),KEY!$AE$5:$AF$16,2,FALSE),""))</f>
        <v>2024-Q4</v>
      </c>
      <c r="D1297" s="3" t="s">
        <v>163</v>
      </c>
      <c r="E1297" s="219">
        <v>57</v>
      </c>
      <c r="F1297" s="166">
        <v>245</v>
      </c>
      <c r="G1297" s="166">
        <v>235</v>
      </c>
      <c r="H1297" s="21">
        <v>336</v>
      </c>
      <c r="I1297" s="21">
        <v>67</v>
      </c>
      <c r="J1297" s="21">
        <v>134</v>
      </c>
      <c r="K1297" s="21">
        <v>38</v>
      </c>
      <c r="L1297" s="21">
        <v>360</v>
      </c>
      <c r="M1297" s="21">
        <v>148</v>
      </c>
      <c r="N1297" s="21">
        <v>249</v>
      </c>
      <c r="O1297" s="19">
        <v>374</v>
      </c>
      <c r="P1297" s="22">
        <v>8</v>
      </c>
      <c r="Q1297" s="22">
        <v>2</v>
      </c>
      <c r="R1297" s="20"/>
      <c r="S1297" s="234">
        <f>COUNTIFS(INP_DATA!$R$5:$R$3027,S$4,INP_DATA!$D$5:$D$3027,$D1297,INP_DATA!$B$5:$B$3027,$B1297)</f>
        <v>0</v>
      </c>
      <c r="T1297" s="235">
        <f>COUNTIFS(INP_DATA!$R$5:$R$3027,T$4,INP_DATA!$D$5:$D$3027,$D1297,INP_DATA!$B$5:$B$3027,$B1297)</f>
        <v>0</v>
      </c>
    </row>
    <row r="1298" spans="1:20" x14ac:dyDescent="0.35">
      <c r="A1298" s="3" t="str">
        <f>IF(D1298="","",(VLOOKUP($D1298,KEY!$B$5:$D$74,3,FALSE)))</f>
        <v>Arizona</v>
      </c>
      <c r="B1298" s="165">
        <f t="shared" si="2"/>
        <v>45597</v>
      </c>
      <c r="C1298" s="57" t="str">
        <f>IF($B1298="","",YEAR($B1298)&amp;"-"&amp;IFERROR(VLOOKUP(MONTH(B1298),KEY!$AE$5:$AF$16,2,FALSE),""))</f>
        <v>2024-Q4</v>
      </c>
      <c r="D1298" s="3" t="s">
        <v>164</v>
      </c>
      <c r="E1298" s="219">
        <v>8</v>
      </c>
      <c r="F1298" s="166">
        <v>57</v>
      </c>
      <c r="G1298" s="166">
        <v>85</v>
      </c>
      <c r="H1298" s="21">
        <v>103</v>
      </c>
      <c r="I1298" s="21">
        <v>22</v>
      </c>
      <c r="J1298" s="21">
        <v>21</v>
      </c>
      <c r="K1298" s="21">
        <v>6</v>
      </c>
      <c r="L1298" s="21">
        <v>98</v>
      </c>
      <c r="M1298" s="21">
        <v>40</v>
      </c>
      <c r="N1298" s="21">
        <v>56</v>
      </c>
      <c r="O1298" s="19">
        <v>132</v>
      </c>
      <c r="P1298" s="22">
        <v>16</v>
      </c>
      <c r="Q1298" s="22">
        <v>6</v>
      </c>
      <c r="R1298" s="20"/>
      <c r="S1298" s="234">
        <f>COUNTIFS(INP_DATA!$R$5:$R$3027,S$4,INP_DATA!$D$5:$D$3027,$D1298,INP_DATA!$B$5:$B$3027,$B1298)</f>
        <v>0</v>
      </c>
      <c r="T1298" s="235">
        <f>COUNTIFS(INP_DATA!$R$5:$R$3027,T$4,INP_DATA!$D$5:$D$3027,$D1298,INP_DATA!$B$5:$B$3027,$B1298)</f>
        <v>0</v>
      </c>
    </row>
    <row r="1299" spans="1:20" x14ac:dyDescent="0.35">
      <c r="A1299" s="3" t="str">
        <f>IF(D1299="","",(VLOOKUP($D1299,KEY!$B$5:$D$74,3,FALSE)))</f>
        <v>Orange County</v>
      </c>
      <c r="B1299" s="165">
        <f t="shared" si="2"/>
        <v>45597</v>
      </c>
      <c r="C1299" s="57" t="str">
        <f>IF($B1299="","",YEAR($B1299)&amp;"-"&amp;IFERROR(VLOOKUP(MONTH(B1299),KEY!$AE$5:$AF$16,2,FALSE),""))</f>
        <v>2024-Q4</v>
      </c>
      <c r="D1299" s="3" t="s">
        <v>165</v>
      </c>
      <c r="E1299" s="219">
        <v>18</v>
      </c>
      <c r="F1299" s="166">
        <v>63</v>
      </c>
      <c r="G1299" s="166">
        <v>82</v>
      </c>
      <c r="H1299" s="21">
        <v>144</v>
      </c>
      <c r="I1299" s="21">
        <v>20</v>
      </c>
      <c r="J1299" s="21">
        <v>39</v>
      </c>
      <c r="K1299" s="21">
        <v>9</v>
      </c>
      <c r="L1299" s="21">
        <v>100</v>
      </c>
      <c r="M1299" s="21">
        <v>44</v>
      </c>
      <c r="N1299" s="21">
        <v>65</v>
      </c>
      <c r="O1299" s="19">
        <v>176</v>
      </c>
      <c r="P1299" s="22">
        <v>39</v>
      </c>
      <c r="Q1299" s="22">
        <v>22</v>
      </c>
      <c r="R1299" s="20"/>
      <c r="S1299" s="234">
        <f>COUNTIFS(INP_DATA!$R$5:$R$3027,S$4,INP_DATA!$D$5:$D$3027,$D1299,INP_DATA!$B$5:$B$3027,$B1299)</f>
        <v>0</v>
      </c>
      <c r="T1299" s="235">
        <f>COUNTIFS(INP_DATA!$R$5:$R$3027,T$4,INP_DATA!$D$5:$D$3027,$D1299,INP_DATA!$B$5:$B$3027,$B1299)</f>
        <v>0</v>
      </c>
    </row>
    <row r="1300" spans="1:20" x14ac:dyDescent="0.35">
      <c r="A1300" s="3" t="str">
        <f>IF(D1300="","",(VLOOKUP($D1300,KEY!$B$5:$D$74,3,FALSE)))</f>
        <v/>
      </c>
      <c r="B1300" s="165">
        <f t="shared" si="2"/>
        <v>45597</v>
      </c>
      <c r="C1300" s="57" t="str">
        <f>IF($B1300="","",YEAR($B1300)&amp;"-"&amp;IFERROR(VLOOKUP(MONTH(B1300),KEY!$AE$5:$AF$16,2,FALSE),""))</f>
        <v>2024-Q4</v>
      </c>
      <c r="D1300" s="3"/>
      <c r="E1300" s="219"/>
      <c r="F1300" s="166"/>
      <c r="G1300" s="166"/>
      <c r="H1300" s="21"/>
      <c r="I1300" s="21"/>
      <c r="J1300" s="21"/>
      <c r="K1300" s="21"/>
      <c r="L1300" s="21"/>
      <c r="M1300" s="21"/>
      <c r="N1300" s="21"/>
      <c r="O1300" s="19"/>
      <c r="P1300" s="22"/>
      <c r="Q1300" s="22"/>
      <c r="R1300" s="20"/>
      <c r="S1300" s="234">
        <f>COUNTIFS(INP_DATA!$R$5:$R$3027,S$4,INP_DATA!$D$5:$D$3027,$D1300,INP_DATA!$B$5:$B$3027,$B1300)</f>
        <v>0</v>
      </c>
      <c r="T1300" s="235">
        <f>COUNTIFS(INP_DATA!$R$5:$R$3027,T$4,INP_DATA!$D$5:$D$3027,$D1300,INP_DATA!$B$5:$B$3027,$B1300)</f>
        <v>0</v>
      </c>
    </row>
    <row r="1301" spans="1:20" x14ac:dyDescent="0.35">
      <c r="A1301" s="3" t="str">
        <f>IF(D1301="","",(VLOOKUP($D1301,KEY!$B$5:$D$74,3,FALSE)))</f>
        <v/>
      </c>
      <c r="B1301" s="165">
        <f t="shared" si="2"/>
        <v>45597</v>
      </c>
      <c r="C1301" s="57" t="str">
        <f>IF($B1301="","",YEAR($B1301)&amp;"-"&amp;IFERROR(VLOOKUP(MONTH(B1301),KEY!$AE$5:$AF$16,2,FALSE),""))</f>
        <v>2024-Q4</v>
      </c>
      <c r="D1301" s="3"/>
      <c r="E1301" s="219"/>
      <c r="F1301" s="166"/>
      <c r="G1301" s="166"/>
      <c r="H1301" s="21"/>
      <c r="I1301" s="21"/>
      <c r="J1301" s="21"/>
      <c r="K1301" s="21"/>
      <c r="L1301" s="21"/>
      <c r="M1301" s="21"/>
      <c r="N1301" s="21"/>
      <c r="O1301" s="19"/>
      <c r="P1301" s="22"/>
      <c r="Q1301" s="22"/>
      <c r="R1301" s="20"/>
      <c r="S1301" s="234">
        <f>COUNTIFS(INP_DATA!$R$5:$R$3027,S$4,INP_DATA!$D$5:$D$3027,$D1301,INP_DATA!$B$5:$B$3027,$B1301)</f>
        <v>0</v>
      </c>
      <c r="T1301" s="235">
        <f>COUNTIFS(INP_DATA!$R$5:$R$3027,T$4,INP_DATA!$D$5:$D$3027,$D1301,INP_DATA!$B$5:$B$3027,$B1301)</f>
        <v>0</v>
      </c>
    </row>
    <row r="1302" spans="1:20" x14ac:dyDescent="0.35">
      <c r="A1302" s="3" t="str">
        <f>IF(D1302="","",(VLOOKUP($D1302,KEY!$B$5:$D$74,3,FALSE)))</f>
        <v/>
      </c>
      <c r="B1302" s="426">
        <f t="shared" si="2"/>
        <v>45597</v>
      </c>
      <c r="C1302" s="427" t="str">
        <f>IF($B1302="","",YEAR($B1302)&amp;"-"&amp;IFERROR(VLOOKUP(MONTH(B1302),KEY!$AE$5:$AF$16,2,FALSE),""))</f>
        <v>2024-Q4</v>
      </c>
      <c r="D1302" s="428"/>
      <c r="E1302" s="429"/>
      <c r="F1302" s="430"/>
      <c r="G1302" s="430"/>
      <c r="H1302" s="431"/>
      <c r="I1302" s="431"/>
      <c r="J1302" s="431"/>
      <c r="K1302" s="431"/>
      <c r="L1302" s="431"/>
      <c r="M1302" s="431"/>
      <c r="N1302" s="431"/>
      <c r="O1302" s="432"/>
      <c r="P1302" s="433"/>
      <c r="Q1302" s="433"/>
      <c r="R1302" s="20"/>
      <c r="S1302" s="234">
        <f>COUNTIFS(INP_DATA!$R$5:$R$3027,S$4,INP_DATA!$D$5:$D$3027,$D1302,INP_DATA!$B$5:$B$3027,$B1302)</f>
        <v>0</v>
      </c>
      <c r="T1302" s="235">
        <f>COUNTIFS(INP_DATA!$R$5:$R$3027,T$4,INP_DATA!$D$5:$D$3027,$D1302,INP_DATA!$B$5:$B$3027,$B1302)</f>
        <v>0</v>
      </c>
    </row>
    <row r="1303" spans="1:20" x14ac:dyDescent="0.35">
      <c r="A1303" s="3" t="str">
        <f>IF(D1303="","",(VLOOKUP($D1303,KEY!$B$5:$D$74,3,FALSE)))</f>
        <v>Arizona</v>
      </c>
      <c r="B1303" s="165">
        <f>DATE(YEAR(B1302+31),MONTH(B1302+31),1)</f>
        <v>45627</v>
      </c>
      <c r="C1303" s="57" t="str">
        <f>IF($B1303="","",YEAR($B1303)&amp;"-"&amp;IFERROR(VLOOKUP(MONTH(B1303),KEY!$AE$5:$AF$16,2,FALSE),""))</f>
        <v>2024-Q4</v>
      </c>
      <c r="D1303" s="3" t="s">
        <v>111</v>
      </c>
      <c r="E1303" s="219">
        <v>17</v>
      </c>
      <c r="F1303" s="166">
        <v>83</v>
      </c>
      <c r="G1303" s="166">
        <v>79</v>
      </c>
      <c r="H1303" s="21">
        <v>157</v>
      </c>
      <c r="I1303" s="21">
        <v>23</v>
      </c>
      <c r="J1303" s="21">
        <v>73</v>
      </c>
      <c r="K1303" s="21">
        <v>7</v>
      </c>
      <c r="L1303" s="21">
        <v>105</v>
      </c>
      <c r="M1303" s="21">
        <v>54</v>
      </c>
      <c r="N1303" s="21">
        <v>79</v>
      </c>
      <c r="O1303" s="19">
        <v>176</v>
      </c>
      <c r="P1303" s="22">
        <v>12</v>
      </c>
      <c r="Q1303" s="22">
        <v>7</v>
      </c>
      <c r="R1303" s="20"/>
      <c r="S1303" s="234">
        <f>COUNTIFS(INP_DATA!$R$5:$R$3027,S$4,INP_DATA!$D$5:$D$3027,$D1303,INP_DATA!$B$5:$B$3027,$B1303)</f>
        <v>0</v>
      </c>
      <c r="T1303" s="235">
        <f>COUNTIFS(INP_DATA!$R$5:$R$3027,T$4,INP_DATA!$D$5:$D$3027,$D1303,INP_DATA!$B$5:$B$3027,$B1303)</f>
        <v>0</v>
      </c>
    </row>
    <row r="1304" spans="1:20" x14ac:dyDescent="0.35">
      <c r="A1304" s="3" t="str">
        <f>IF(D1304="","",(VLOOKUP($D1304,KEY!$B$5:$D$74,3,FALSE)))</f>
        <v>Southern California</v>
      </c>
      <c r="B1304" s="165">
        <f t="shared" ref="B1304:B1367" si="3">B1303</f>
        <v>45627</v>
      </c>
      <c r="C1304" s="57" t="str">
        <f>IF($B1304="","",YEAR($B1304)&amp;"-"&amp;IFERROR(VLOOKUP(MONTH(B1304),KEY!$AE$5:$AF$16,2,FALSE),""))</f>
        <v>2024-Q4</v>
      </c>
      <c r="D1304" s="3" t="s">
        <v>112</v>
      </c>
      <c r="E1304" s="219">
        <v>9</v>
      </c>
      <c r="F1304" s="166">
        <v>54</v>
      </c>
      <c r="G1304" s="166">
        <v>39</v>
      </c>
      <c r="H1304" s="21">
        <v>61</v>
      </c>
      <c r="I1304" s="21">
        <v>21</v>
      </c>
      <c r="J1304" s="21">
        <v>37</v>
      </c>
      <c r="K1304" s="21">
        <v>9</v>
      </c>
      <c r="L1304" s="21">
        <v>117</v>
      </c>
      <c r="M1304" s="21">
        <v>40</v>
      </c>
      <c r="N1304" s="21">
        <v>55</v>
      </c>
      <c r="O1304" s="19">
        <v>88</v>
      </c>
      <c r="P1304" s="22">
        <v>3</v>
      </c>
      <c r="Q1304" s="22">
        <v>3</v>
      </c>
      <c r="R1304" s="20"/>
      <c r="S1304" s="234">
        <f>COUNTIFS(INP_DATA!$R$5:$R$3027,S$4,INP_DATA!$D$5:$D$3027,$D1304,INP_DATA!$B$5:$B$3027,$B1304)</f>
        <v>0</v>
      </c>
      <c r="T1304" s="235">
        <f>COUNTIFS(INP_DATA!$R$5:$R$3027,T$4,INP_DATA!$D$5:$D$3027,$D1304,INP_DATA!$B$5:$B$3027,$B1304)</f>
        <v>0</v>
      </c>
    </row>
    <row r="1305" spans="1:20" x14ac:dyDescent="0.35">
      <c r="A1305" s="3" t="str">
        <f>IF(D1305="","",(VLOOKUP($D1305,KEY!$B$5:$D$74,3,FALSE)))</f>
        <v>Arizona</v>
      </c>
      <c r="B1305" s="165">
        <f t="shared" si="3"/>
        <v>45627</v>
      </c>
      <c r="C1305" s="57" t="str">
        <f>IF($B1305="","",YEAR($B1305)&amp;"-"&amp;IFERROR(VLOOKUP(MONTH(B1305),KEY!$AE$5:$AF$16,2,FALSE),""))</f>
        <v>2024-Q4</v>
      </c>
      <c r="D1305" s="3" t="s">
        <v>113</v>
      </c>
      <c r="E1305" s="219">
        <v>12</v>
      </c>
      <c r="F1305" s="166">
        <v>84</v>
      </c>
      <c r="G1305" s="166">
        <v>96</v>
      </c>
      <c r="H1305" s="21">
        <v>205</v>
      </c>
      <c r="I1305" s="21">
        <v>33</v>
      </c>
      <c r="J1305" s="21">
        <v>66</v>
      </c>
      <c r="K1305" s="21">
        <v>16</v>
      </c>
      <c r="L1305" s="21">
        <v>168</v>
      </c>
      <c r="M1305" s="21">
        <v>59</v>
      </c>
      <c r="N1305" s="21">
        <v>85</v>
      </c>
      <c r="O1305" s="19">
        <v>154</v>
      </c>
      <c r="P1305" s="22">
        <v>9</v>
      </c>
      <c r="Q1305" s="22">
        <v>5</v>
      </c>
      <c r="R1305" s="20"/>
      <c r="S1305" s="234">
        <f>COUNTIFS(INP_DATA!$R$5:$R$3027,S$4,INP_DATA!$D$5:$D$3027,$D1305,INP_DATA!$B$5:$B$3027,$B1305)</f>
        <v>0</v>
      </c>
      <c r="T1305" s="235">
        <f>COUNTIFS(INP_DATA!$R$5:$R$3027,T$4,INP_DATA!$D$5:$D$3027,$D1305,INP_DATA!$B$5:$B$3027,$B1305)</f>
        <v>0</v>
      </c>
    </row>
    <row r="1306" spans="1:20" x14ac:dyDescent="0.35">
      <c r="A1306" s="3" t="str">
        <f>IF(D1306="","",(VLOOKUP($D1306,KEY!$B$5:$D$74,3,FALSE)))</f>
        <v>Southern California</v>
      </c>
      <c r="B1306" s="165">
        <f t="shared" si="3"/>
        <v>45627</v>
      </c>
      <c r="C1306" s="57" t="str">
        <f>IF($B1306="","",YEAR($B1306)&amp;"-"&amp;IFERROR(VLOOKUP(MONTH(B1306),KEY!$AE$5:$AF$16,2,FALSE),""))</f>
        <v>2024-Q4</v>
      </c>
      <c r="D1306" s="3" t="s">
        <v>114</v>
      </c>
      <c r="E1306" s="219">
        <v>14</v>
      </c>
      <c r="F1306" s="166">
        <v>59</v>
      </c>
      <c r="G1306" s="166">
        <v>58</v>
      </c>
      <c r="H1306" s="21">
        <v>81</v>
      </c>
      <c r="I1306" s="21">
        <v>16</v>
      </c>
      <c r="J1306" s="21">
        <v>42</v>
      </c>
      <c r="K1306" s="21">
        <v>11</v>
      </c>
      <c r="L1306" s="21">
        <v>82</v>
      </c>
      <c r="M1306" s="21">
        <v>36</v>
      </c>
      <c r="N1306" s="21">
        <v>60</v>
      </c>
      <c r="O1306" s="19">
        <v>110</v>
      </c>
      <c r="P1306" s="22">
        <v>7</v>
      </c>
      <c r="Q1306" s="22">
        <v>6</v>
      </c>
      <c r="R1306" s="20"/>
      <c r="S1306" s="234">
        <f>COUNTIFS(INP_DATA!$R$5:$R$3027,S$4,INP_DATA!$D$5:$D$3027,$D1306,INP_DATA!$B$5:$B$3027,$B1306)</f>
        <v>0</v>
      </c>
      <c r="T1306" s="235">
        <f>COUNTIFS(INP_DATA!$R$5:$R$3027,T$4,INP_DATA!$D$5:$D$3027,$D1306,INP_DATA!$B$5:$B$3027,$B1306)</f>
        <v>0</v>
      </c>
    </row>
    <row r="1307" spans="1:20" x14ac:dyDescent="0.35">
      <c r="A1307" s="3" t="str">
        <f>IF(D1307="","",(VLOOKUP($D1307,KEY!$B$5:$D$74,3,FALSE)))</f>
        <v>Orange County</v>
      </c>
      <c r="B1307" s="165">
        <f t="shared" si="3"/>
        <v>45627</v>
      </c>
      <c r="C1307" s="57" t="str">
        <f>IF($B1307="","",YEAR($B1307)&amp;"-"&amp;IFERROR(VLOOKUP(MONTH(B1307),KEY!$AE$5:$AF$16,2,FALSE),""))</f>
        <v>2024-Q4</v>
      </c>
      <c r="D1307" s="3" t="s">
        <v>115</v>
      </c>
      <c r="E1307" s="219">
        <v>5</v>
      </c>
      <c r="F1307" s="166">
        <v>49</v>
      </c>
      <c r="G1307" s="166">
        <v>60</v>
      </c>
      <c r="H1307" s="21">
        <v>81</v>
      </c>
      <c r="I1307" s="21">
        <v>18</v>
      </c>
      <c r="J1307" s="21">
        <v>26</v>
      </c>
      <c r="K1307" s="21">
        <v>8</v>
      </c>
      <c r="L1307" s="21">
        <v>107</v>
      </c>
      <c r="M1307" s="21">
        <v>41</v>
      </c>
      <c r="N1307" s="21">
        <v>49</v>
      </c>
      <c r="O1307" s="19">
        <v>110</v>
      </c>
      <c r="P1307" s="22">
        <v>0</v>
      </c>
      <c r="Q1307" s="22">
        <v>0</v>
      </c>
      <c r="R1307" s="20"/>
      <c r="S1307" s="234">
        <f>COUNTIFS(INP_DATA!$R$5:$R$3027,S$4,INP_DATA!$D$5:$D$3027,$D1307,INP_DATA!$B$5:$B$3027,$B1307)</f>
        <v>0</v>
      </c>
      <c r="T1307" s="235">
        <f>COUNTIFS(INP_DATA!$R$5:$R$3027,T$4,INP_DATA!$D$5:$D$3027,$D1307,INP_DATA!$B$5:$B$3027,$B1307)</f>
        <v>0</v>
      </c>
    </row>
    <row r="1308" spans="1:20" x14ac:dyDescent="0.35">
      <c r="A1308" s="3" t="str">
        <f>IF(D1308="","",(VLOOKUP($D1308,KEY!$B$5:$D$74,3,FALSE)))</f>
        <v>Arizona</v>
      </c>
      <c r="B1308" s="165">
        <f t="shared" si="3"/>
        <v>45627</v>
      </c>
      <c r="C1308" s="57" t="str">
        <f>IF($B1308="","",YEAR($B1308)&amp;"-"&amp;IFERROR(VLOOKUP(MONTH(B1308),KEY!$AE$5:$AF$16,2,FALSE),""))</f>
        <v>2024-Q4</v>
      </c>
      <c r="D1308" s="3" t="s">
        <v>116</v>
      </c>
      <c r="E1308" s="219">
        <v>21</v>
      </c>
      <c r="F1308" s="166">
        <v>142</v>
      </c>
      <c r="G1308" s="166">
        <v>172</v>
      </c>
      <c r="H1308" s="21">
        <v>247</v>
      </c>
      <c r="I1308" s="21">
        <v>45</v>
      </c>
      <c r="J1308" s="21">
        <v>98</v>
      </c>
      <c r="K1308" s="21">
        <v>18</v>
      </c>
      <c r="L1308" s="21">
        <v>209</v>
      </c>
      <c r="M1308" s="21">
        <v>82</v>
      </c>
      <c r="N1308" s="21">
        <v>153</v>
      </c>
      <c r="O1308" s="19">
        <v>198</v>
      </c>
      <c r="P1308" s="22">
        <v>19</v>
      </c>
      <c r="Q1308" s="22">
        <v>11</v>
      </c>
      <c r="R1308" s="20"/>
      <c r="S1308" s="234">
        <f>COUNTIFS(INP_DATA!$R$5:$R$3027,S$4,INP_DATA!$D$5:$D$3027,$D1308,INP_DATA!$B$5:$B$3027,$B1308)</f>
        <v>0</v>
      </c>
      <c r="T1308" s="235">
        <f>COUNTIFS(INP_DATA!$R$5:$R$3027,T$4,INP_DATA!$D$5:$D$3027,$D1308,INP_DATA!$B$5:$B$3027,$B1308)</f>
        <v>0</v>
      </c>
    </row>
    <row r="1309" spans="1:20" x14ac:dyDescent="0.35">
      <c r="A1309" s="3" t="str">
        <f>IF(D1309="","",(VLOOKUP($D1309,KEY!$B$5:$D$74,3,FALSE)))</f>
        <v>Northern California</v>
      </c>
      <c r="B1309" s="165">
        <f t="shared" si="3"/>
        <v>45627</v>
      </c>
      <c r="C1309" s="57" t="str">
        <f>IF($B1309="","",YEAR($B1309)&amp;"-"&amp;IFERROR(VLOOKUP(MONTH(B1309),KEY!$AE$5:$AF$16,2,FALSE),""))</f>
        <v>2024-Q4</v>
      </c>
      <c r="D1309" s="3" t="s">
        <v>118</v>
      </c>
      <c r="E1309" s="219">
        <v>20</v>
      </c>
      <c r="F1309" s="166">
        <v>210</v>
      </c>
      <c r="G1309" s="166">
        <v>235</v>
      </c>
      <c r="H1309" s="21">
        <v>539</v>
      </c>
      <c r="I1309" s="21">
        <v>61</v>
      </c>
      <c r="J1309" s="21">
        <v>151</v>
      </c>
      <c r="K1309" s="21">
        <v>41</v>
      </c>
      <c r="L1309" s="21">
        <v>355</v>
      </c>
      <c r="M1309" s="21">
        <v>118</v>
      </c>
      <c r="N1309" s="21">
        <v>215</v>
      </c>
      <c r="O1309" s="19">
        <v>242</v>
      </c>
      <c r="P1309" s="22">
        <v>30</v>
      </c>
      <c r="Q1309" s="22">
        <v>19</v>
      </c>
      <c r="R1309" s="20"/>
      <c r="S1309" s="234">
        <f>COUNTIFS(INP_DATA!$R$5:$R$3027,S$4,INP_DATA!$D$5:$D$3027,$D1309,INP_DATA!$B$5:$B$3027,$B1309)</f>
        <v>0</v>
      </c>
      <c r="T1309" s="235">
        <f>COUNTIFS(INP_DATA!$R$5:$R$3027,T$4,INP_DATA!$D$5:$D$3027,$D1309,INP_DATA!$B$5:$B$3027,$B1309)</f>
        <v>0</v>
      </c>
    </row>
    <row r="1310" spans="1:20" x14ac:dyDescent="0.35">
      <c r="A1310" s="3" t="str">
        <f>IF(D1310="","",(VLOOKUP($D1310,KEY!$B$5:$D$74,3,FALSE)))</f>
        <v>Orange County</v>
      </c>
      <c r="B1310" s="165">
        <f t="shared" si="3"/>
        <v>45627</v>
      </c>
      <c r="C1310" s="57" t="str">
        <f>IF($B1310="","",YEAR($B1310)&amp;"-"&amp;IFERROR(VLOOKUP(MONTH(B1310),KEY!$AE$5:$AF$16,2,FALSE),""))</f>
        <v>2024-Q4</v>
      </c>
      <c r="D1310" s="3" t="s">
        <v>117</v>
      </c>
      <c r="E1310" s="219">
        <v>18</v>
      </c>
      <c r="F1310" s="166">
        <v>111</v>
      </c>
      <c r="G1310" s="166">
        <v>121</v>
      </c>
      <c r="H1310" s="21">
        <v>159</v>
      </c>
      <c r="I1310" s="21">
        <v>26</v>
      </c>
      <c r="J1310" s="21">
        <v>80</v>
      </c>
      <c r="K1310" s="21">
        <v>22</v>
      </c>
      <c r="L1310" s="21">
        <v>181</v>
      </c>
      <c r="M1310" s="21">
        <v>69</v>
      </c>
      <c r="N1310" s="21">
        <v>111</v>
      </c>
      <c r="O1310" s="19">
        <v>132</v>
      </c>
      <c r="P1310" s="22">
        <v>27</v>
      </c>
      <c r="Q1310" s="22">
        <v>18</v>
      </c>
      <c r="R1310" s="20"/>
      <c r="S1310" s="234">
        <f>COUNTIFS(INP_DATA!$R$5:$R$3027,S$4,INP_DATA!$D$5:$D$3027,$D1310,INP_DATA!$B$5:$B$3027,$B1310)</f>
        <v>0</v>
      </c>
      <c r="T1310" s="235">
        <f>COUNTIFS(INP_DATA!$R$5:$R$3027,T$4,INP_DATA!$D$5:$D$3027,$D1310,INP_DATA!$B$5:$B$3027,$B1310)</f>
        <v>0</v>
      </c>
    </row>
    <row r="1311" spans="1:20" x14ac:dyDescent="0.35">
      <c r="A1311" s="3" t="str">
        <f>IF(D1311="","",(VLOOKUP($D1311,KEY!$B$5:$D$74,3,FALSE)))</f>
        <v>Arizona</v>
      </c>
      <c r="B1311" s="165">
        <f t="shared" si="3"/>
        <v>45627</v>
      </c>
      <c r="C1311" s="57" t="str">
        <f>IF($B1311="","",YEAR($B1311)&amp;"-"&amp;IFERROR(VLOOKUP(MONTH(B1311),KEY!$AE$5:$AF$16,2,FALSE),""))</f>
        <v>2024-Q4</v>
      </c>
      <c r="D1311" s="3" t="s">
        <v>119</v>
      </c>
      <c r="E1311" s="219">
        <v>8</v>
      </c>
      <c r="F1311" s="166">
        <v>23</v>
      </c>
      <c r="G1311" s="166">
        <v>28</v>
      </c>
      <c r="H1311" s="21">
        <v>29</v>
      </c>
      <c r="I1311" s="21">
        <v>7</v>
      </c>
      <c r="J1311" s="21">
        <v>23</v>
      </c>
      <c r="K1311" s="21">
        <v>9</v>
      </c>
      <c r="L1311" s="21">
        <v>136</v>
      </c>
      <c r="M1311" s="21">
        <v>14</v>
      </c>
      <c r="N1311" s="21">
        <v>24</v>
      </c>
      <c r="O1311" s="19">
        <v>88</v>
      </c>
      <c r="P1311" s="22">
        <v>0</v>
      </c>
      <c r="Q1311" s="22">
        <v>0</v>
      </c>
      <c r="R1311" s="20"/>
      <c r="S1311" s="234">
        <f>COUNTIFS(INP_DATA!$R$5:$R$3027,S$4,INP_DATA!$D$5:$D$3027,$D1311,INP_DATA!$B$5:$B$3027,$B1311)</f>
        <v>0</v>
      </c>
      <c r="T1311" s="235">
        <f>COUNTIFS(INP_DATA!$R$5:$R$3027,T$4,INP_DATA!$D$5:$D$3027,$D1311,INP_DATA!$B$5:$B$3027,$B1311)</f>
        <v>0</v>
      </c>
    </row>
    <row r="1312" spans="1:20" x14ac:dyDescent="0.35">
      <c r="A1312" s="3" t="str">
        <f>IF(D1312="","",(VLOOKUP($D1312,KEY!$B$5:$D$74,3,FALSE)))</f>
        <v>Michigan &amp; Minnesota</v>
      </c>
      <c r="B1312" s="165">
        <f t="shared" si="3"/>
        <v>45627</v>
      </c>
      <c r="C1312" s="57" t="str">
        <f>IF($B1312="","",YEAR($B1312)&amp;"-"&amp;IFERROR(VLOOKUP(MONTH(B1312),KEY!$AE$5:$AF$16,2,FALSE),""))</f>
        <v>2024-Q4</v>
      </c>
      <c r="D1312" s="3" t="s">
        <v>199</v>
      </c>
      <c r="E1312" s="219"/>
      <c r="F1312" s="166"/>
      <c r="G1312" s="166"/>
      <c r="H1312" s="21"/>
      <c r="I1312" s="21"/>
      <c r="J1312" s="21"/>
      <c r="K1312" s="21"/>
      <c r="L1312" s="21"/>
      <c r="M1312" s="21"/>
      <c r="N1312" s="21"/>
      <c r="O1312" s="19"/>
      <c r="P1312" s="22"/>
      <c r="Q1312" s="22"/>
      <c r="R1312" s="20"/>
      <c r="S1312" s="234">
        <f>COUNTIFS(INP_DATA!$R$5:$R$3027,S$4,INP_DATA!$D$5:$D$3027,$D1312,INP_DATA!$B$5:$B$3027,$B1312)</f>
        <v>0</v>
      </c>
      <c r="T1312" s="235">
        <f>COUNTIFS(INP_DATA!$R$5:$R$3027,T$4,INP_DATA!$D$5:$D$3027,$D1312,INP_DATA!$B$5:$B$3027,$B1312)</f>
        <v>0</v>
      </c>
    </row>
    <row r="1313" spans="1:20" x14ac:dyDescent="0.35">
      <c r="A1313" s="3" t="str">
        <f>IF(D1313="","",(VLOOKUP($D1313,KEY!$B$5:$D$74,3,FALSE)))</f>
        <v>Arizona</v>
      </c>
      <c r="B1313" s="165">
        <f t="shared" si="3"/>
        <v>45627</v>
      </c>
      <c r="C1313" s="57" t="str">
        <f>IF($B1313="","",YEAR($B1313)&amp;"-"&amp;IFERROR(VLOOKUP(MONTH(B1313),KEY!$AE$5:$AF$16,2,FALSE),""))</f>
        <v>2024-Q4</v>
      </c>
      <c r="D1313" s="3" t="s">
        <v>120</v>
      </c>
      <c r="E1313" s="219">
        <v>94</v>
      </c>
      <c r="F1313" s="166">
        <v>429</v>
      </c>
      <c r="G1313" s="166">
        <v>443</v>
      </c>
      <c r="H1313" s="21">
        <v>723</v>
      </c>
      <c r="I1313" s="21">
        <v>109</v>
      </c>
      <c r="J1313" s="21">
        <v>285</v>
      </c>
      <c r="K1313" s="21">
        <v>52</v>
      </c>
      <c r="L1313" s="21">
        <v>606</v>
      </c>
      <c r="M1313" s="21">
        <v>239</v>
      </c>
      <c r="N1313" s="21">
        <v>434</v>
      </c>
      <c r="O1313" s="19">
        <v>572</v>
      </c>
      <c r="P1313" s="22">
        <v>76</v>
      </c>
      <c r="Q1313" s="22">
        <v>44</v>
      </c>
      <c r="R1313" s="20"/>
      <c r="S1313" s="234">
        <f>COUNTIFS(INP_DATA!$R$5:$R$3027,S$4,INP_DATA!$D$5:$D$3027,$D1313,INP_DATA!$B$5:$B$3027,$B1313)</f>
        <v>0</v>
      </c>
      <c r="T1313" s="235">
        <f>COUNTIFS(INP_DATA!$R$5:$R$3027,T$4,INP_DATA!$D$5:$D$3027,$D1313,INP_DATA!$B$5:$B$3027,$B1313)</f>
        <v>0</v>
      </c>
    </row>
    <row r="1314" spans="1:20" x14ac:dyDescent="0.35">
      <c r="A1314" s="3" t="str">
        <f>IF(D1314="","",(VLOOKUP($D1314,KEY!$B$5:$D$74,3,FALSE)))</f>
        <v>Texas</v>
      </c>
      <c r="B1314" s="165">
        <f t="shared" si="3"/>
        <v>45627</v>
      </c>
      <c r="C1314" s="57" t="str">
        <f>IF($B1314="","",YEAR($B1314)&amp;"-"&amp;IFERROR(VLOOKUP(MONTH(B1314),KEY!$AE$5:$AF$16,2,FALSE),""))</f>
        <v>2024-Q4</v>
      </c>
      <c r="D1314" s="3" t="s">
        <v>121</v>
      </c>
      <c r="E1314" s="219">
        <v>68</v>
      </c>
      <c r="F1314" s="166">
        <v>336</v>
      </c>
      <c r="G1314" s="166">
        <v>327</v>
      </c>
      <c r="H1314" s="21">
        <v>672</v>
      </c>
      <c r="I1314" s="21">
        <v>96</v>
      </c>
      <c r="J1314" s="21">
        <v>249</v>
      </c>
      <c r="K1314" s="21">
        <v>49</v>
      </c>
      <c r="L1314" s="21">
        <v>525</v>
      </c>
      <c r="M1314" s="21">
        <v>183</v>
      </c>
      <c r="N1314" s="21">
        <v>335</v>
      </c>
      <c r="O1314" s="19">
        <v>528</v>
      </c>
      <c r="P1314" s="22">
        <v>27</v>
      </c>
      <c r="Q1314" s="22">
        <v>21</v>
      </c>
      <c r="R1314" s="20"/>
      <c r="S1314" s="234">
        <f>COUNTIFS(INP_DATA!$R$5:$R$3027,S$4,INP_DATA!$D$5:$D$3027,$D1314,INP_DATA!$B$5:$B$3027,$B1314)</f>
        <v>0</v>
      </c>
      <c r="T1314" s="235">
        <f>COUNTIFS(INP_DATA!$R$5:$R$3027,T$4,INP_DATA!$D$5:$D$3027,$D1314,INP_DATA!$B$5:$B$3027,$B1314)</f>
        <v>0</v>
      </c>
    </row>
    <row r="1315" spans="1:20" x14ac:dyDescent="0.35">
      <c r="A1315" s="3" t="str">
        <f>IF(D1315="","",(VLOOKUP($D1315,KEY!$B$5:$D$74,3,FALSE)))</f>
        <v>Michigan &amp; Minnesota</v>
      </c>
      <c r="B1315" s="165">
        <f t="shared" si="3"/>
        <v>45627</v>
      </c>
      <c r="C1315" s="57" t="str">
        <f>IF($B1315="","",YEAR($B1315)&amp;"-"&amp;IFERROR(VLOOKUP(MONTH(B1315),KEY!$AE$5:$AF$16,2,FALSE),""))</f>
        <v>2024-Q4</v>
      </c>
      <c r="D1315" s="3" t="s">
        <v>200</v>
      </c>
      <c r="E1315" s="219">
        <v>10</v>
      </c>
      <c r="F1315" s="166">
        <v>156</v>
      </c>
      <c r="G1315" s="166">
        <v>175</v>
      </c>
      <c r="H1315" s="21">
        <v>311</v>
      </c>
      <c r="I1315" s="21">
        <v>34</v>
      </c>
      <c r="J1315" s="21">
        <v>142</v>
      </c>
      <c r="K1315" s="21">
        <v>20</v>
      </c>
      <c r="L1315" s="21">
        <v>203</v>
      </c>
      <c r="M1315" s="21">
        <v>65</v>
      </c>
      <c r="N1315" s="21">
        <v>157</v>
      </c>
      <c r="O1315" s="19">
        <v>308</v>
      </c>
      <c r="P1315" s="22">
        <v>20</v>
      </c>
      <c r="Q1315" s="22">
        <v>0</v>
      </c>
      <c r="R1315" s="20"/>
      <c r="S1315" s="234">
        <f>COUNTIFS(INP_DATA!$R$5:$R$3027,S$4,INP_DATA!$D$5:$D$3027,$D1315,INP_DATA!$B$5:$B$3027,$B1315)</f>
        <v>0</v>
      </c>
      <c r="T1315" s="235">
        <f>COUNTIFS(INP_DATA!$R$5:$R$3027,T$4,INP_DATA!$D$5:$D$3027,$D1315,INP_DATA!$B$5:$B$3027,$B1315)</f>
        <v>0</v>
      </c>
    </row>
    <row r="1316" spans="1:20" x14ac:dyDescent="0.35">
      <c r="A1316" s="3" t="str">
        <f>IF(D1316="","",(VLOOKUP($D1316,KEY!$B$5:$D$74,3,FALSE)))</f>
        <v>Southern California</v>
      </c>
      <c r="B1316" s="165">
        <f t="shared" si="3"/>
        <v>45627</v>
      </c>
      <c r="C1316" s="57" t="str">
        <f>IF($B1316="","",YEAR($B1316)&amp;"-"&amp;IFERROR(VLOOKUP(MONTH(B1316),KEY!$AE$5:$AF$16,2,FALSE),""))</f>
        <v>2024-Q4</v>
      </c>
      <c r="D1316" s="3" t="s">
        <v>122</v>
      </c>
      <c r="E1316" s="219">
        <v>19</v>
      </c>
      <c r="F1316" s="166">
        <v>101</v>
      </c>
      <c r="G1316" s="166">
        <v>122</v>
      </c>
      <c r="H1316" s="21">
        <v>258</v>
      </c>
      <c r="I1316" s="21">
        <v>29</v>
      </c>
      <c r="J1316" s="21">
        <v>114</v>
      </c>
      <c r="K1316" s="21">
        <v>10</v>
      </c>
      <c r="L1316" s="21">
        <v>156</v>
      </c>
      <c r="M1316" s="21">
        <v>43</v>
      </c>
      <c r="N1316" s="21">
        <v>105</v>
      </c>
      <c r="O1316" s="19">
        <v>176</v>
      </c>
      <c r="P1316" s="22">
        <v>32</v>
      </c>
      <c r="Q1316" s="22">
        <v>6</v>
      </c>
      <c r="R1316" s="20"/>
      <c r="S1316" s="234">
        <f>COUNTIFS(INP_DATA!$R$5:$R$3027,S$4,INP_DATA!$D$5:$D$3027,$D1316,INP_DATA!$B$5:$B$3027,$B1316)</f>
        <v>0</v>
      </c>
      <c r="T1316" s="235">
        <f>COUNTIFS(INP_DATA!$R$5:$R$3027,T$4,INP_DATA!$D$5:$D$3027,$D1316,INP_DATA!$B$5:$B$3027,$B1316)</f>
        <v>0</v>
      </c>
    </row>
    <row r="1317" spans="1:20" x14ac:dyDescent="0.35">
      <c r="A1317" s="3" t="str">
        <f>IF(D1317="","",(VLOOKUP($D1317,KEY!$B$5:$D$74,3,FALSE)))</f>
        <v>Orange County</v>
      </c>
      <c r="B1317" s="165">
        <f t="shared" si="3"/>
        <v>45627</v>
      </c>
      <c r="C1317" s="57" t="str">
        <f>IF($B1317="","",YEAR($B1317)&amp;"-"&amp;IFERROR(VLOOKUP(MONTH(B1317),KEY!$AE$5:$AF$16,2,FALSE),""))</f>
        <v>2024-Q4</v>
      </c>
      <c r="D1317" s="3" t="s">
        <v>123</v>
      </c>
      <c r="E1317" s="219">
        <v>54</v>
      </c>
      <c r="F1317" s="166">
        <v>325</v>
      </c>
      <c r="G1317" s="166">
        <v>308</v>
      </c>
      <c r="H1317" s="21">
        <v>318</v>
      </c>
      <c r="I1317" s="21">
        <v>74</v>
      </c>
      <c r="J1317" s="21">
        <v>177</v>
      </c>
      <c r="K1317" s="21">
        <v>56</v>
      </c>
      <c r="L1317" s="21">
        <v>464</v>
      </c>
      <c r="M1317" s="21">
        <v>239</v>
      </c>
      <c r="N1317" s="21">
        <v>325</v>
      </c>
      <c r="O1317" s="19">
        <v>396</v>
      </c>
      <c r="P1317" s="22">
        <v>40</v>
      </c>
      <c r="Q1317" s="22">
        <v>22</v>
      </c>
      <c r="R1317" s="20"/>
      <c r="S1317" s="234">
        <f>COUNTIFS(INP_DATA!$R$5:$R$3027,S$4,INP_DATA!$D$5:$D$3027,$D1317,INP_DATA!$B$5:$B$3027,$B1317)</f>
        <v>0</v>
      </c>
      <c r="T1317" s="235">
        <f>COUNTIFS(INP_DATA!$R$5:$R$3027,T$4,INP_DATA!$D$5:$D$3027,$D1317,INP_DATA!$B$5:$B$3027,$B1317)</f>
        <v>0</v>
      </c>
    </row>
    <row r="1318" spans="1:20" x14ac:dyDescent="0.35">
      <c r="A1318" s="3" t="str">
        <f>IF(D1318="","",(VLOOKUP($D1318,KEY!$B$5:$D$74,3,FALSE)))</f>
        <v>Southern California</v>
      </c>
      <c r="B1318" s="165">
        <f t="shared" si="3"/>
        <v>45627</v>
      </c>
      <c r="C1318" s="57" t="str">
        <f>IF($B1318="","",YEAR($B1318)&amp;"-"&amp;IFERROR(VLOOKUP(MONTH(B1318),KEY!$AE$5:$AF$16,2,FALSE),""))</f>
        <v>2024-Q4</v>
      </c>
      <c r="D1318" s="3" t="s">
        <v>124</v>
      </c>
      <c r="E1318" s="219">
        <v>72</v>
      </c>
      <c r="F1318" s="166">
        <v>274</v>
      </c>
      <c r="G1318" s="166">
        <v>310</v>
      </c>
      <c r="H1318" s="21">
        <v>267</v>
      </c>
      <c r="I1318" s="21">
        <v>48</v>
      </c>
      <c r="J1318" s="21">
        <v>219</v>
      </c>
      <c r="K1318" s="21">
        <v>36</v>
      </c>
      <c r="L1318" s="21">
        <v>435</v>
      </c>
      <c r="M1318" s="21">
        <v>157</v>
      </c>
      <c r="N1318" s="21">
        <v>274</v>
      </c>
      <c r="O1318" s="19">
        <v>462</v>
      </c>
      <c r="P1318" s="22">
        <v>79</v>
      </c>
      <c r="Q1318" s="22">
        <v>57</v>
      </c>
      <c r="R1318" s="20"/>
      <c r="S1318" s="234">
        <f>COUNTIFS(INP_DATA!$R$5:$R$3027,S$4,INP_DATA!$D$5:$D$3027,$D1318,INP_DATA!$B$5:$B$3027,$B1318)</f>
        <v>0</v>
      </c>
      <c r="T1318" s="235">
        <f>COUNTIFS(INP_DATA!$R$5:$R$3027,T$4,INP_DATA!$D$5:$D$3027,$D1318,INP_DATA!$B$5:$B$3027,$B1318)</f>
        <v>0</v>
      </c>
    </row>
    <row r="1319" spans="1:20" x14ac:dyDescent="0.35">
      <c r="A1319" s="3" t="str">
        <f>IF(D1319="","",(VLOOKUP($D1319,KEY!$B$5:$D$74,3,FALSE)))</f>
        <v>Northern California</v>
      </c>
      <c r="B1319" s="165">
        <f t="shared" si="3"/>
        <v>45627</v>
      </c>
      <c r="C1319" s="57" t="str">
        <f>IF($B1319="","",YEAR($B1319)&amp;"-"&amp;IFERROR(VLOOKUP(MONTH(B1319),KEY!$AE$5:$AF$16,2,FALSE),""))</f>
        <v>2024-Q4</v>
      </c>
      <c r="D1319" s="3" t="s">
        <v>195</v>
      </c>
      <c r="E1319" s="219">
        <v>9</v>
      </c>
      <c r="F1319" s="166">
        <v>63</v>
      </c>
      <c r="G1319" s="166">
        <v>56</v>
      </c>
      <c r="H1319" s="21">
        <v>105</v>
      </c>
      <c r="I1319" s="21">
        <v>17</v>
      </c>
      <c r="J1319" s="21">
        <v>34</v>
      </c>
      <c r="K1319" s="21">
        <v>10</v>
      </c>
      <c r="L1319" s="21">
        <v>137</v>
      </c>
      <c r="M1319" s="21">
        <v>46</v>
      </c>
      <c r="N1319" s="21">
        <v>63</v>
      </c>
      <c r="O1319" s="19">
        <v>132</v>
      </c>
      <c r="P1319" s="22">
        <v>10</v>
      </c>
      <c r="Q1319" s="22">
        <v>8</v>
      </c>
      <c r="R1319" s="20"/>
      <c r="S1319" s="234">
        <f>COUNTIFS(INP_DATA!$R$5:$R$3027,S$4,INP_DATA!$D$5:$D$3027,$D1319,INP_DATA!$B$5:$B$3027,$B1319)</f>
        <v>0</v>
      </c>
      <c r="T1319" s="235">
        <f>COUNTIFS(INP_DATA!$R$5:$R$3027,T$4,INP_DATA!$D$5:$D$3027,$D1319,INP_DATA!$B$5:$B$3027,$B1319)</f>
        <v>0</v>
      </c>
    </row>
    <row r="1320" spans="1:20" x14ac:dyDescent="0.35">
      <c r="A1320" s="3" t="str">
        <f>IF(D1320="","",(VLOOKUP($D1320,KEY!$B$5:$D$74,3,FALSE)))</f>
        <v>Northern California</v>
      </c>
      <c r="B1320" s="165">
        <f t="shared" si="3"/>
        <v>45627</v>
      </c>
      <c r="C1320" s="57" t="str">
        <f>IF($B1320="","",YEAR($B1320)&amp;"-"&amp;IFERROR(VLOOKUP(MONTH(B1320),KEY!$AE$5:$AF$16,2,FALSE),""))</f>
        <v>2024-Q4</v>
      </c>
      <c r="D1320" s="3" t="s">
        <v>125</v>
      </c>
      <c r="E1320" s="219">
        <v>46</v>
      </c>
      <c r="F1320" s="166">
        <v>260</v>
      </c>
      <c r="G1320" s="166">
        <v>247</v>
      </c>
      <c r="H1320" s="21">
        <v>540</v>
      </c>
      <c r="I1320" s="21">
        <v>77</v>
      </c>
      <c r="J1320" s="21">
        <v>150</v>
      </c>
      <c r="K1320" s="21">
        <v>37</v>
      </c>
      <c r="L1320" s="21">
        <v>415</v>
      </c>
      <c r="M1320" s="21">
        <v>117</v>
      </c>
      <c r="N1320" s="21">
        <v>263</v>
      </c>
      <c r="O1320" s="19">
        <v>352</v>
      </c>
      <c r="P1320" s="22">
        <v>19</v>
      </c>
      <c r="Q1320" s="22">
        <v>13</v>
      </c>
      <c r="R1320" s="20"/>
      <c r="S1320" s="234">
        <f>COUNTIFS(INP_DATA!$R$5:$R$3027,S$4,INP_DATA!$D$5:$D$3027,$D1320,INP_DATA!$B$5:$B$3027,$B1320)</f>
        <v>0</v>
      </c>
      <c r="T1320" s="235">
        <f>COUNTIFS(INP_DATA!$R$5:$R$3027,T$4,INP_DATA!$D$5:$D$3027,$D1320,INP_DATA!$B$5:$B$3027,$B1320)</f>
        <v>0</v>
      </c>
    </row>
    <row r="1321" spans="1:20" x14ac:dyDescent="0.35">
      <c r="A1321" s="3" t="str">
        <f>IF(D1321="","",(VLOOKUP($D1321,KEY!$B$5:$D$74,3,FALSE)))</f>
        <v>Orange County</v>
      </c>
      <c r="B1321" s="165">
        <f t="shared" si="3"/>
        <v>45627</v>
      </c>
      <c r="C1321" s="57" t="str">
        <f>IF($B1321="","",YEAR($B1321)&amp;"-"&amp;IFERROR(VLOOKUP(MONTH(B1321),KEY!$AE$5:$AF$16,2,FALSE),""))</f>
        <v>2024-Q4</v>
      </c>
      <c r="D1321" s="3" t="s">
        <v>126</v>
      </c>
      <c r="E1321" s="219">
        <v>108</v>
      </c>
      <c r="F1321" s="166">
        <v>640</v>
      </c>
      <c r="G1321" s="166">
        <v>623</v>
      </c>
      <c r="H1321" s="21">
        <v>699</v>
      </c>
      <c r="I1321" s="21">
        <v>129</v>
      </c>
      <c r="J1321" s="21">
        <v>507</v>
      </c>
      <c r="K1321" s="21">
        <v>164</v>
      </c>
      <c r="L1321" s="21">
        <v>841</v>
      </c>
      <c r="M1321" s="21">
        <v>377</v>
      </c>
      <c r="N1321" s="21">
        <v>642</v>
      </c>
      <c r="O1321" s="19">
        <v>616</v>
      </c>
      <c r="P1321" s="22">
        <v>148</v>
      </c>
      <c r="Q1321" s="22">
        <v>95</v>
      </c>
      <c r="R1321" s="20"/>
      <c r="S1321" s="234">
        <f>COUNTIFS(INP_DATA!$R$5:$R$3027,S$4,INP_DATA!$D$5:$D$3027,$D1321,INP_DATA!$B$5:$B$3027,$B1321)</f>
        <v>0</v>
      </c>
      <c r="T1321" s="235">
        <f>COUNTIFS(INP_DATA!$R$5:$R$3027,T$4,INP_DATA!$D$5:$D$3027,$D1321,INP_DATA!$B$5:$B$3027,$B1321)</f>
        <v>0</v>
      </c>
    </row>
    <row r="1322" spans="1:20" x14ac:dyDescent="0.35">
      <c r="A1322" s="3" t="str">
        <f>IF(D1322="","",(VLOOKUP($D1322,KEY!$B$5:$D$74,3,FALSE)))</f>
        <v>Orange County</v>
      </c>
      <c r="B1322" s="165">
        <f t="shared" si="3"/>
        <v>45627</v>
      </c>
      <c r="C1322" s="57" t="str">
        <f>IF($B1322="","",YEAR($B1322)&amp;"-"&amp;IFERROR(VLOOKUP(MONTH(B1322),KEY!$AE$5:$AF$16,2,FALSE),""))</f>
        <v>2024-Q4</v>
      </c>
      <c r="D1322" s="3" t="s">
        <v>127</v>
      </c>
      <c r="E1322" s="219">
        <v>15</v>
      </c>
      <c r="F1322" s="166">
        <v>42</v>
      </c>
      <c r="G1322" s="166">
        <v>65</v>
      </c>
      <c r="H1322" s="21">
        <v>61</v>
      </c>
      <c r="I1322" s="21">
        <v>7</v>
      </c>
      <c r="J1322" s="21">
        <v>28</v>
      </c>
      <c r="K1322" s="21">
        <v>11</v>
      </c>
      <c r="L1322" s="21">
        <v>50</v>
      </c>
      <c r="M1322" s="21">
        <v>28</v>
      </c>
      <c r="N1322" s="21">
        <v>42</v>
      </c>
      <c r="O1322" s="19">
        <v>88</v>
      </c>
      <c r="P1322" s="22">
        <v>17</v>
      </c>
      <c r="Q1322" s="22">
        <v>9</v>
      </c>
      <c r="R1322" s="20"/>
      <c r="S1322" s="234">
        <f>COUNTIFS(INP_DATA!$R$5:$R$3027,S$4,INP_DATA!$D$5:$D$3027,$D1322,INP_DATA!$B$5:$B$3027,$B1322)</f>
        <v>0</v>
      </c>
      <c r="T1322" s="235">
        <f>COUNTIFS(INP_DATA!$R$5:$R$3027,T$4,INP_DATA!$D$5:$D$3027,$D1322,INP_DATA!$B$5:$B$3027,$B1322)</f>
        <v>0</v>
      </c>
    </row>
    <row r="1323" spans="1:20" x14ac:dyDescent="0.35">
      <c r="A1323" s="3" t="str">
        <f>IF(D1323="","",(VLOOKUP($D1323,KEY!$B$5:$D$74,3,FALSE)))</f>
        <v>Wisconsin</v>
      </c>
      <c r="B1323" s="165">
        <f t="shared" si="3"/>
        <v>45627</v>
      </c>
      <c r="C1323" s="57" t="str">
        <f>IF($B1323="","",YEAR($B1323)&amp;"-"&amp;IFERROR(VLOOKUP(MONTH(B1323),KEY!$AE$5:$AF$16,2,FALSE),""))</f>
        <v>2024-Q4</v>
      </c>
      <c r="D1323" s="3" t="s">
        <v>201</v>
      </c>
      <c r="E1323" s="219">
        <v>15</v>
      </c>
      <c r="F1323" s="166">
        <v>225</v>
      </c>
      <c r="G1323" s="166">
        <v>208</v>
      </c>
      <c r="H1323" s="21">
        <v>341</v>
      </c>
      <c r="I1323" s="21">
        <v>65</v>
      </c>
      <c r="J1323" s="21">
        <v>169</v>
      </c>
      <c r="K1323" s="21">
        <v>39</v>
      </c>
      <c r="L1323" s="21">
        <v>199</v>
      </c>
      <c r="M1323" s="21">
        <v>81</v>
      </c>
      <c r="N1323" s="21">
        <v>227</v>
      </c>
      <c r="O1323" s="19">
        <v>286</v>
      </c>
      <c r="P1323" s="22">
        <v>9</v>
      </c>
      <c r="Q1323" s="22">
        <v>3</v>
      </c>
      <c r="R1323" s="20"/>
      <c r="S1323" s="234">
        <f>COUNTIFS(INP_DATA!$R$5:$R$3027,S$4,INP_DATA!$D$5:$D$3027,$D1323,INP_DATA!$B$5:$B$3027,$B1323)</f>
        <v>0</v>
      </c>
      <c r="T1323" s="235">
        <f>COUNTIFS(INP_DATA!$R$5:$R$3027,T$4,INP_DATA!$D$5:$D$3027,$D1323,INP_DATA!$B$5:$B$3027,$B1323)</f>
        <v>0</v>
      </c>
    </row>
    <row r="1324" spans="1:20" x14ac:dyDescent="0.35">
      <c r="A1324" s="3" t="e">
        <f>IF(D1324="","",(VLOOKUP($D1324,KEY!$B$5:$D$74,3,FALSE)))</f>
        <v>#N/A</v>
      </c>
      <c r="B1324" s="165">
        <f t="shared" si="3"/>
        <v>45627</v>
      </c>
      <c r="C1324" s="57" t="str">
        <f>IF($B1324="","",YEAR($B1324)&amp;"-"&amp;IFERROR(VLOOKUP(MONTH(B1324),KEY!$AE$5:$AF$16,2,FALSE),""))</f>
        <v>2024-Q4</v>
      </c>
      <c r="D1324" s="3" t="s">
        <v>202</v>
      </c>
      <c r="E1324" s="219">
        <v>6</v>
      </c>
      <c r="F1324" s="166">
        <v>46</v>
      </c>
      <c r="G1324" s="166">
        <v>52</v>
      </c>
      <c r="H1324" s="21">
        <v>66</v>
      </c>
      <c r="I1324" s="21">
        <v>16</v>
      </c>
      <c r="J1324" s="21">
        <v>21</v>
      </c>
      <c r="K1324" s="21">
        <v>7</v>
      </c>
      <c r="L1324" s="21">
        <v>54</v>
      </c>
      <c r="M1324" s="21">
        <v>33</v>
      </c>
      <c r="N1324" s="21">
        <v>46</v>
      </c>
      <c r="O1324" s="19">
        <v>66</v>
      </c>
      <c r="P1324" s="22">
        <v>22</v>
      </c>
      <c r="Q1324" s="22">
        <v>0</v>
      </c>
      <c r="R1324" s="20"/>
      <c r="S1324" s="234">
        <f>COUNTIFS(INP_DATA!$R$5:$R$3027,S$4,INP_DATA!$D$5:$D$3027,$D1324,INP_DATA!$B$5:$B$3027,$B1324)</f>
        <v>0</v>
      </c>
      <c r="T1324" s="235">
        <f>COUNTIFS(INP_DATA!$R$5:$R$3027,T$4,INP_DATA!$D$5:$D$3027,$D1324,INP_DATA!$B$5:$B$3027,$B1324)</f>
        <v>0</v>
      </c>
    </row>
    <row r="1325" spans="1:20" x14ac:dyDescent="0.35">
      <c r="A1325" s="3" t="str">
        <f>IF(D1325="","",(VLOOKUP($D1325,KEY!$B$5:$D$74,3,FALSE)))</f>
        <v>Texas</v>
      </c>
      <c r="B1325" s="165">
        <f t="shared" si="3"/>
        <v>45627</v>
      </c>
      <c r="C1325" s="57" t="str">
        <f>IF($B1325="","",YEAR($B1325)&amp;"-"&amp;IFERROR(VLOOKUP(MONTH(B1325),KEY!$AE$5:$AF$16,2,FALSE),""))</f>
        <v>2024-Q4</v>
      </c>
      <c r="D1325" s="3" t="s">
        <v>198</v>
      </c>
      <c r="E1325" s="219">
        <v>2</v>
      </c>
      <c r="F1325" s="166">
        <v>81</v>
      </c>
      <c r="G1325" s="166">
        <v>61</v>
      </c>
      <c r="H1325" s="21">
        <v>201</v>
      </c>
      <c r="I1325" s="21">
        <v>28</v>
      </c>
      <c r="J1325" s="21">
        <v>114</v>
      </c>
      <c r="K1325" s="21">
        <v>8</v>
      </c>
      <c r="L1325" s="21">
        <v>78</v>
      </c>
      <c r="M1325" s="21">
        <v>33</v>
      </c>
      <c r="N1325" s="21">
        <v>80</v>
      </c>
      <c r="O1325" s="19">
        <v>154</v>
      </c>
      <c r="P1325" s="22">
        <v>0</v>
      </c>
      <c r="Q1325" s="22">
        <v>0</v>
      </c>
      <c r="R1325" s="20"/>
      <c r="S1325" s="234">
        <f>COUNTIFS(INP_DATA!$R$5:$R$3027,S$4,INP_DATA!$D$5:$D$3027,$D1325,INP_DATA!$B$5:$B$3027,$B1325)</f>
        <v>0</v>
      </c>
      <c r="T1325" s="235">
        <f>COUNTIFS(INP_DATA!$R$5:$R$3027,T$4,INP_DATA!$D$5:$D$3027,$D1325,INP_DATA!$B$5:$B$3027,$B1325)</f>
        <v>0</v>
      </c>
    </row>
    <row r="1326" spans="1:20" x14ac:dyDescent="0.35">
      <c r="A1326" s="3" t="str">
        <f>IF(D1326="","",(VLOOKUP($D1326,KEY!$B$5:$D$74,3,FALSE)))</f>
        <v>Texas</v>
      </c>
      <c r="B1326" s="165">
        <f t="shared" si="3"/>
        <v>45627</v>
      </c>
      <c r="C1326" s="57" t="str">
        <f>IF($B1326="","",YEAR($B1326)&amp;"-"&amp;IFERROR(VLOOKUP(MONTH(B1326),KEY!$AE$5:$AF$16,2,FALSE),""))</f>
        <v>2024-Q4</v>
      </c>
      <c r="D1326" s="3" t="s">
        <v>128</v>
      </c>
      <c r="E1326" s="219">
        <v>0</v>
      </c>
      <c r="F1326" s="166">
        <v>198</v>
      </c>
      <c r="G1326" s="166">
        <v>260</v>
      </c>
      <c r="H1326" s="21">
        <v>517</v>
      </c>
      <c r="I1326" s="21">
        <v>64</v>
      </c>
      <c r="J1326" s="21">
        <v>219</v>
      </c>
      <c r="K1326" s="21">
        <v>33</v>
      </c>
      <c r="L1326" s="21">
        <v>373</v>
      </c>
      <c r="M1326" s="21">
        <v>100</v>
      </c>
      <c r="N1326" s="21">
        <v>198</v>
      </c>
      <c r="O1326" s="19">
        <v>286</v>
      </c>
      <c r="P1326" s="22">
        <v>0</v>
      </c>
      <c r="Q1326" s="22">
        <v>0</v>
      </c>
      <c r="R1326" s="20"/>
      <c r="S1326" s="234">
        <f>COUNTIFS(INP_DATA!$R$5:$R$3027,S$4,INP_DATA!$D$5:$D$3027,$D1326,INP_DATA!$B$5:$B$3027,$B1326)</f>
        <v>0</v>
      </c>
      <c r="T1326" s="235">
        <f>COUNTIFS(INP_DATA!$R$5:$R$3027,T$4,INP_DATA!$D$5:$D$3027,$D1326,INP_DATA!$B$5:$B$3027,$B1326)</f>
        <v>0</v>
      </c>
    </row>
    <row r="1327" spans="1:20" x14ac:dyDescent="0.35">
      <c r="A1327" s="3" t="str">
        <f>IF(D1327="","",(VLOOKUP($D1327,KEY!$B$5:$D$74,3,FALSE)))</f>
        <v>Northern California</v>
      </c>
      <c r="B1327" s="165">
        <f t="shared" si="3"/>
        <v>45627</v>
      </c>
      <c r="C1327" s="57" t="str">
        <f>IF($B1327="","",YEAR($B1327)&amp;"-"&amp;IFERROR(VLOOKUP(MONTH(B1327),KEY!$AE$5:$AF$16,2,FALSE),""))</f>
        <v>2024-Q4</v>
      </c>
      <c r="D1327" s="3" t="s">
        <v>129</v>
      </c>
      <c r="E1327" s="219">
        <v>24</v>
      </c>
      <c r="F1327" s="166">
        <v>186</v>
      </c>
      <c r="G1327" s="166">
        <v>149</v>
      </c>
      <c r="H1327" s="21">
        <v>271</v>
      </c>
      <c r="I1327" s="21">
        <v>35</v>
      </c>
      <c r="J1327" s="21">
        <v>201</v>
      </c>
      <c r="K1327" s="21">
        <v>22</v>
      </c>
      <c r="L1327" s="21">
        <v>292</v>
      </c>
      <c r="M1327" s="21">
        <v>70</v>
      </c>
      <c r="N1327" s="21">
        <v>187</v>
      </c>
      <c r="O1327" s="19">
        <v>352</v>
      </c>
      <c r="P1327" s="22">
        <v>19</v>
      </c>
      <c r="Q1327" s="22">
        <v>9</v>
      </c>
      <c r="R1327" s="20"/>
      <c r="S1327" s="234">
        <f>COUNTIFS(INP_DATA!$R$5:$R$3027,S$4,INP_DATA!$D$5:$D$3027,$D1327,INP_DATA!$B$5:$B$3027,$B1327)</f>
        <v>0</v>
      </c>
      <c r="T1327" s="235">
        <f>COUNTIFS(INP_DATA!$R$5:$R$3027,T$4,INP_DATA!$D$5:$D$3027,$D1327,INP_DATA!$B$5:$B$3027,$B1327)</f>
        <v>0</v>
      </c>
    </row>
    <row r="1328" spans="1:20" x14ac:dyDescent="0.35">
      <c r="A1328" s="3" t="str">
        <f>IF(D1328="","",(VLOOKUP($D1328,KEY!$B$5:$D$74,3,FALSE)))</f>
        <v>Southern California</v>
      </c>
      <c r="B1328" s="165">
        <f t="shared" si="3"/>
        <v>45627</v>
      </c>
      <c r="C1328" s="57" t="str">
        <f>IF($B1328="","",YEAR($B1328)&amp;"-"&amp;IFERROR(VLOOKUP(MONTH(B1328),KEY!$AE$5:$AF$16,2,FALSE),""))</f>
        <v>2024-Q4</v>
      </c>
      <c r="D1328" s="3" t="s">
        <v>130</v>
      </c>
      <c r="E1328" s="219">
        <v>34</v>
      </c>
      <c r="F1328" s="166">
        <v>184</v>
      </c>
      <c r="G1328" s="166">
        <v>188</v>
      </c>
      <c r="H1328" s="21">
        <v>334</v>
      </c>
      <c r="I1328" s="21">
        <v>39</v>
      </c>
      <c r="J1328" s="21">
        <v>118</v>
      </c>
      <c r="K1328" s="21">
        <v>15</v>
      </c>
      <c r="L1328" s="21">
        <v>238</v>
      </c>
      <c r="M1328" s="21">
        <v>101</v>
      </c>
      <c r="N1328" s="21">
        <v>194</v>
      </c>
      <c r="O1328" s="19">
        <v>198</v>
      </c>
      <c r="P1328" s="22">
        <v>22</v>
      </c>
      <c r="Q1328" s="22">
        <v>13</v>
      </c>
      <c r="R1328" s="20"/>
      <c r="S1328" s="234">
        <f>COUNTIFS(INP_DATA!$R$5:$R$3027,S$4,INP_DATA!$D$5:$D$3027,$D1328,INP_DATA!$B$5:$B$3027,$B1328)</f>
        <v>0</v>
      </c>
      <c r="T1328" s="235">
        <f>COUNTIFS(INP_DATA!$R$5:$R$3027,T$4,INP_DATA!$D$5:$D$3027,$D1328,INP_DATA!$B$5:$B$3027,$B1328)</f>
        <v>0</v>
      </c>
    </row>
    <row r="1329" spans="1:20" x14ac:dyDescent="0.35">
      <c r="A1329" s="3" t="e">
        <f>IF(D1329="","",(VLOOKUP($D1329,KEY!$B$5:$D$74,3,FALSE)))</f>
        <v>#N/A</v>
      </c>
      <c r="B1329" s="165">
        <f t="shared" si="3"/>
        <v>45627</v>
      </c>
      <c r="C1329" s="57" t="str">
        <f>IF($B1329="","",YEAR($B1329)&amp;"-"&amp;IFERROR(VLOOKUP(MONTH(B1329),KEY!$AE$5:$AF$16,2,FALSE),""))</f>
        <v>2024-Q4</v>
      </c>
      <c r="D1329" s="3" t="s">
        <v>203</v>
      </c>
      <c r="E1329" s="219">
        <v>7</v>
      </c>
      <c r="F1329" s="166">
        <v>127</v>
      </c>
      <c r="G1329" s="166">
        <v>85</v>
      </c>
      <c r="H1329" s="21">
        <v>119</v>
      </c>
      <c r="I1329" s="21">
        <v>29</v>
      </c>
      <c r="J1329" s="21">
        <v>52</v>
      </c>
      <c r="K1329" s="21">
        <v>15</v>
      </c>
      <c r="L1329" s="21">
        <v>103</v>
      </c>
      <c r="M1329" s="21">
        <v>73</v>
      </c>
      <c r="N1329" s="21">
        <v>128</v>
      </c>
      <c r="O1329" s="19">
        <v>176</v>
      </c>
      <c r="P1329" s="22">
        <v>26</v>
      </c>
      <c r="Q1329" s="22">
        <v>12</v>
      </c>
      <c r="R1329" s="20"/>
      <c r="S1329" s="234">
        <f>COUNTIFS(INP_DATA!$R$5:$R$3027,S$4,INP_DATA!$D$5:$D$3027,$D1329,INP_DATA!$B$5:$B$3027,$B1329)</f>
        <v>0</v>
      </c>
      <c r="T1329" s="235">
        <f>COUNTIFS(INP_DATA!$R$5:$R$3027,T$4,INP_DATA!$D$5:$D$3027,$D1329,INP_DATA!$B$5:$B$3027,$B1329)</f>
        <v>0</v>
      </c>
    </row>
    <row r="1330" spans="1:20" x14ac:dyDescent="0.35">
      <c r="A1330" s="3">
        <f>IF(D1330="","",(VLOOKUP($D1330,KEY!$B$5:$D$74,3,FALSE)))</f>
        <v>0</v>
      </c>
      <c r="B1330" s="165">
        <f t="shared" si="3"/>
        <v>45627</v>
      </c>
      <c r="C1330" s="57" t="str">
        <f>IF($B1330="","",YEAR($B1330)&amp;"-"&amp;IFERROR(VLOOKUP(MONTH(B1330),KEY!$AE$5:$AF$16,2,FALSE),""))</f>
        <v>2024-Q4</v>
      </c>
      <c r="D1330" s="3" t="s">
        <v>131</v>
      </c>
      <c r="E1330" s="219">
        <v>46</v>
      </c>
      <c r="F1330" s="166">
        <v>184</v>
      </c>
      <c r="G1330" s="166">
        <v>169</v>
      </c>
      <c r="H1330" s="21">
        <v>138</v>
      </c>
      <c r="I1330" s="21">
        <v>27</v>
      </c>
      <c r="J1330" s="21">
        <v>89</v>
      </c>
      <c r="K1330" s="21">
        <v>21</v>
      </c>
      <c r="L1330" s="21">
        <v>278</v>
      </c>
      <c r="M1330" s="21">
        <v>67</v>
      </c>
      <c r="N1330" s="21">
        <v>188</v>
      </c>
      <c r="O1330" s="19">
        <v>264</v>
      </c>
      <c r="P1330" s="22">
        <v>2</v>
      </c>
      <c r="Q1330" s="22">
        <v>2</v>
      </c>
      <c r="R1330" s="20"/>
      <c r="S1330" s="234">
        <f>COUNTIFS(INP_DATA!$R$5:$R$3027,S$4,INP_DATA!$D$5:$D$3027,$D1330,INP_DATA!$B$5:$B$3027,$B1330)</f>
        <v>0</v>
      </c>
      <c r="T1330" s="235">
        <f>COUNTIFS(INP_DATA!$R$5:$R$3027,T$4,INP_DATA!$D$5:$D$3027,$D1330,INP_DATA!$B$5:$B$3027,$B1330)</f>
        <v>0</v>
      </c>
    </row>
    <row r="1331" spans="1:20" x14ac:dyDescent="0.35">
      <c r="A1331" s="3" t="e">
        <f>IF(D1331="","",(VLOOKUP($D1331,KEY!$B$5:$D$74,3,FALSE)))</f>
        <v>#N/A</v>
      </c>
      <c r="B1331" s="165">
        <f t="shared" si="3"/>
        <v>45627</v>
      </c>
      <c r="C1331" s="57" t="str">
        <f>IF($B1331="","",YEAR($B1331)&amp;"-"&amp;IFERROR(VLOOKUP(MONTH(B1331),KEY!$AE$5:$AF$16,2,FALSE),""))</f>
        <v>2024-Q4</v>
      </c>
      <c r="D1331" s="3" t="s">
        <v>134</v>
      </c>
      <c r="E1331" s="219">
        <v>12</v>
      </c>
      <c r="F1331" s="166">
        <v>46</v>
      </c>
      <c r="G1331" s="166">
        <v>31</v>
      </c>
      <c r="H1331" s="21">
        <v>69</v>
      </c>
      <c r="I1331" s="21">
        <v>11</v>
      </c>
      <c r="J1331" s="21">
        <v>41</v>
      </c>
      <c r="K1331" s="21">
        <v>8</v>
      </c>
      <c r="L1331" s="21">
        <v>60</v>
      </c>
      <c r="M1331" s="21">
        <v>28</v>
      </c>
      <c r="N1331" s="21">
        <v>46</v>
      </c>
      <c r="O1331" s="19">
        <v>88</v>
      </c>
      <c r="P1331" s="22">
        <v>11</v>
      </c>
      <c r="Q1331" s="22">
        <v>7</v>
      </c>
      <c r="R1331" s="20"/>
      <c r="S1331" s="234">
        <f>COUNTIFS(INP_DATA!$R$5:$R$3027,S$4,INP_DATA!$D$5:$D$3027,$D1331,INP_DATA!$B$5:$B$3027,$B1331)</f>
        <v>0</v>
      </c>
      <c r="T1331" s="235">
        <f>COUNTIFS(INP_DATA!$R$5:$R$3027,T$4,INP_DATA!$D$5:$D$3027,$D1331,INP_DATA!$B$5:$B$3027,$B1331)</f>
        <v>0</v>
      </c>
    </row>
    <row r="1332" spans="1:20" x14ac:dyDescent="0.35">
      <c r="A1332" s="3" t="str">
        <f>IF(D1332="","",(VLOOKUP($D1332,KEY!$B$5:$D$74,3,FALSE)))</f>
        <v>Southern California</v>
      </c>
      <c r="B1332" s="165">
        <f t="shared" si="3"/>
        <v>45627</v>
      </c>
      <c r="C1332" s="57" t="str">
        <f>IF($B1332="","",YEAR($B1332)&amp;"-"&amp;IFERROR(VLOOKUP(MONTH(B1332),KEY!$AE$5:$AF$16,2,FALSE),""))</f>
        <v>2024-Q4</v>
      </c>
      <c r="D1332" s="3" t="s">
        <v>135</v>
      </c>
      <c r="E1332" s="219">
        <v>30</v>
      </c>
      <c r="F1332" s="166">
        <v>242</v>
      </c>
      <c r="G1332" s="166">
        <v>235</v>
      </c>
      <c r="H1332" s="21">
        <v>580</v>
      </c>
      <c r="I1332" s="21">
        <v>91</v>
      </c>
      <c r="J1332" s="21">
        <v>240</v>
      </c>
      <c r="K1332" s="21">
        <v>58</v>
      </c>
      <c r="L1332" s="21">
        <v>502</v>
      </c>
      <c r="M1332" s="21">
        <v>126</v>
      </c>
      <c r="N1332" s="21">
        <v>244</v>
      </c>
      <c r="O1332" s="19">
        <v>308</v>
      </c>
      <c r="P1332" s="22">
        <v>16</v>
      </c>
      <c r="Q1332" s="22">
        <v>11</v>
      </c>
      <c r="R1332" s="20"/>
      <c r="S1332" s="234">
        <f>COUNTIFS(INP_DATA!$R$5:$R$3027,S$4,INP_DATA!$D$5:$D$3027,$D1332,INP_DATA!$B$5:$B$3027,$B1332)</f>
        <v>0</v>
      </c>
      <c r="T1332" s="235">
        <f>COUNTIFS(INP_DATA!$R$5:$R$3027,T$4,INP_DATA!$D$5:$D$3027,$D1332,INP_DATA!$B$5:$B$3027,$B1332)</f>
        <v>0</v>
      </c>
    </row>
    <row r="1333" spans="1:20" x14ac:dyDescent="0.35">
      <c r="A1333" s="3" t="str">
        <f>IF(D1333="","",(VLOOKUP($D1333,KEY!$B$5:$D$74,3,FALSE)))</f>
        <v>Arizona</v>
      </c>
      <c r="B1333" s="165">
        <f t="shared" si="3"/>
        <v>45627</v>
      </c>
      <c r="C1333" s="57" t="str">
        <f>IF($B1333="","",YEAR($B1333)&amp;"-"&amp;IFERROR(VLOOKUP(MONTH(B1333),KEY!$AE$5:$AF$16,2,FALSE),""))</f>
        <v>2024-Q4</v>
      </c>
      <c r="D1333" s="3" t="s">
        <v>204</v>
      </c>
      <c r="E1333" s="219">
        <v>5</v>
      </c>
      <c r="F1333" s="166">
        <v>13</v>
      </c>
      <c r="G1333" s="166">
        <v>0</v>
      </c>
      <c r="H1333" s="21">
        <v>37</v>
      </c>
      <c r="I1333" s="21">
        <v>1</v>
      </c>
      <c r="J1333" s="21">
        <v>21</v>
      </c>
      <c r="K1333" s="21">
        <v>2</v>
      </c>
      <c r="L1333" s="21">
        <v>28</v>
      </c>
      <c r="M1333" s="21">
        <v>8</v>
      </c>
      <c r="N1333" s="21">
        <v>13</v>
      </c>
      <c r="O1333" s="19">
        <v>22</v>
      </c>
      <c r="P1333" s="22">
        <v>0</v>
      </c>
      <c r="Q1333" s="22">
        <v>0</v>
      </c>
      <c r="R1333" s="20"/>
      <c r="S1333" s="234">
        <f>COUNTIFS(INP_DATA!$R$5:$R$3027,S$4,INP_DATA!$D$5:$D$3027,$D1333,INP_DATA!$B$5:$B$3027,$B1333)</f>
        <v>0</v>
      </c>
      <c r="T1333" s="235">
        <f>COUNTIFS(INP_DATA!$R$5:$R$3027,T$4,INP_DATA!$D$5:$D$3027,$D1333,INP_DATA!$B$5:$B$3027,$B1333)</f>
        <v>0</v>
      </c>
    </row>
    <row r="1334" spans="1:20" x14ac:dyDescent="0.35">
      <c r="A1334" s="3" t="str">
        <f>IF(D1334="","",(VLOOKUP($D1334,KEY!$B$5:$D$74,3,FALSE)))</f>
        <v>Arizona</v>
      </c>
      <c r="B1334" s="165">
        <f t="shared" si="3"/>
        <v>45627</v>
      </c>
      <c r="C1334" s="57" t="str">
        <f>IF($B1334="","",YEAR($B1334)&amp;"-"&amp;IFERROR(VLOOKUP(MONTH(B1334),KEY!$AE$5:$AF$16,2,FALSE),""))</f>
        <v>2024-Q4</v>
      </c>
      <c r="D1334" s="3" t="s">
        <v>196</v>
      </c>
      <c r="E1334" s="219">
        <v>13</v>
      </c>
      <c r="F1334" s="166">
        <v>63</v>
      </c>
      <c r="G1334" s="166">
        <v>51</v>
      </c>
      <c r="H1334" s="21">
        <v>89</v>
      </c>
      <c r="I1334" s="21">
        <v>17</v>
      </c>
      <c r="J1334" s="21">
        <v>56</v>
      </c>
      <c r="K1334" s="21">
        <v>16</v>
      </c>
      <c r="L1334" s="21">
        <v>125</v>
      </c>
      <c r="M1334" s="21">
        <v>57</v>
      </c>
      <c r="N1334" s="21">
        <v>66</v>
      </c>
      <c r="O1334" s="19">
        <v>110</v>
      </c>
      <c r="P1334" s="22">
        <v>1</v>
      </c>
      <c r="Q1334" s="22">
        <v>0</v>
      </c>
      <c r="R1334" s="20"/>
      <c r="S1334" s="234">
        <f>COUNTIFS(INP_DATA!$R$5:$R$3027,S$4,INP_DATA!$D$5:$D$3027,$D1334,INP_DATA!$B$5:$B$3027,$B1334)</f>
        <v>0</v>
      </c>
      <c r="T1334" s="235">
        <f>COUNTIFS(INP_DATA!$R$5:$R$3027,T$4,INP_DATA!$D$5:$D$3027,$D1334,INP_DATA!$B$5:$B$3027,$B1334)</f>
        <v>0</v>
      </c>
    </row>
    <row r="1335" spans="1:20" x14ac:dyDescent="0.35">
      <c r="A1335" s="3" t="str">
        <f>IF(D1335="","",(VLOOKUP($D1335,KEY!$B$5:$D$74,3,FALSE)))</f>
        <v>Arizona</v>
      </c>
      <c r="B1335" s="165">
        <f t="shared" si="3"/>
        <v>45627</v>
      </c>
      <c r="C1335" s="57" t="str">
        <f>IF($B1335="","",YEAR($B1335)&amp;"-"&amp;IFERROR(VLOOKUP(MONTH(B1335),KEY!$AE$5:$AF$16,2,FALSE),""))</f>
        <v>2024-Q4</v>
      </c>
      <c r="D1335" s="3" t="s">
        <v>197</v>
      </c>
      <c r="E1335" s="219">
        <v>18</v>
      </c>
      <c r="F1335" s="166">
        <v>137</v>
      </c>
      <c r="G1335" s="166">
        <v>124</v>
      </c>
      <c r="H1335" s="21">
        <v>162</v>
      </c>
      <c r="I1335" s="21">
        <v>26</v>
      </c>
      <c r="J1335" s="21">
        <v>90</v>
      </c>
      <c r="K1335" s="21">
        <v>24</v>
      </c>
      <c r="L1335" s="21">
        <v>185</v>
      </c>
      <c r="M1335" s="21">
        <v>84</v>
      </c>
      <c r="N1335" s="21">
        <v>144</v>
      </c>
      <c r="O1335" s="19">
        <v>176</v>
      </c>
      <c r="P1335" s="22">
        <v>3</v>
      </c>
      <c r="Q1335" s="22">
        <v>2</v>
      </c>
      <c r="R1335" s="20"/>
      <c r="S1335" s="234">
        <f>COUNTIFS(INP_DATA!$R$5:$R$3027,S$4,INP_DATA!$D$5:$D$3027,$D1335,INP_DATA!$B$5:$B$3027,$B1335)</f>
        <v>0</v>
      </c>
      <c r="T1335" s="235">
        <f>COUNTIFS(INP_DATA!$R$5:$R$3027,T$4,INP_DATA!$D$5:$D$3027,$D1335,INP_DATA!$B$5:$B$3027,$B1335)</f>
        <v>0</v>
      </c>
    </row>
    <row r="1336" spans="1:20" x14ac:dyDescent="0.35">
      <c r="A1336" s="3" t="str">
        <f>IF(D1336="","",(VLOOKUP($D1336,KEY!$B$5:$D$74,3,FALSE)))</f>
        <v>Texas</v>
      </c>
      <c r="B1336" s="165">
        <f t="shared" si="3"/>
        <v>45627</v>
      </c>
      <c r="C1336" s="57" t="str">
        <f>IF($B1336="","",YEAR($B1336)&amp;"-"&amp;IFERROR(VLOOKUP(MONTH(B1336),KEY!$AE$5:$AF$16,2,FALSE),""))</f>
        <v>2024-Q4</v>
      </c>
      <c r="D1336" s="3" t="s">
        <v>136</v>
      </c>
      <c r="E1336" s="219">
        <v>81</v>
      </c>
      <c r="F1336" s="166">
        <v>316</v>
      </c>
      <c r="G1336" s="166">
        <v>351</v>
      </c>
      <c r="H1336" s="21">
        <v>469</v>
      </c>
      <c r="I1336" s="21">
        <v>80</v>
      </c>
      <c r="J1336" s="21">
        <v>339</v>
      </c>
      <c r="K1336" s="21">
        <v>41</v>
      </c>
      <c r="L1336" s="21">
        <v>423</v>
      </c>
      <c r="M1336" s="21">
        <v>206</v>
      </c>
      <c r="N1336" s="21">
        <v>323</v>
      </c>
      <c r="O1336" s="19">
        <v>352</v>
      </c>
      <c r="P1336" s="22">
        <v>14</v>
      </c>
      <c r="Q1336" s="22">
        <v>12</v>
      </c>
      <c r="R1336" s="20"/>
      <c r="S1336" s="234">
        <f>COUNTIFS(INP_DATA!$R$5:$R$3027,S$4,INP_DATA!$D$5:$D$3027,$D1336,INP_DATA!$B$5:$B$3027,$B1336)</f>
        <v>0</v>
      </c>
      <c r="T1336" s="235">
        <f>COUNTIFS(INP_DATA!$R$5:$R$3027,T$4,INP_DATA!$D$5:$D$3027,$D1336,INP_DATA!$B$5:$B$3027,$B1336)</f>
        <v>0</v>
      </c>
    </row>
    <row r="1337" spans="1:20" x14ac:dyDescent="0.35">
      <c r="A1337" s="3" t="str">
        <f>IF(D1337="","",(VLOOKUP($D1337,KEY!$B$5:$D$74,3,FALSE)))</f>
        <v>Arizona</v>
      </c>
      <c r="B1337" s="165">
        <f t="shared" si="3"/>
        <v>45627</v>
      </c>
      <c r="C1337" s="57" t="str">
        <f>IF($B1337="","",YEAR($B1337)&amp;"-"&amp;IFERROR(VLOOKUP(MONTH(B1337),KEY!$AE$5:$AF$16,2,FALSE),""))</f>
        <v>2024-Q4</v>
      </c>
      <c r="D1337" s="3" t="s">
        <v>137</v>
      </c>
      <c r="E1337" s="219">
        <v>15</v>
      </c>
      <c r="F1337" s="166">
        <v>107</v>
      </c>
      <c r="G1337" s="166">
        <v>115</v>
      </c>
      <c r="H1337" s="21">
        <v>222</v>
      </c>
      <c r="I1337" s="21">
        <v>35</v>
      </c>
      <c r="J1337" s="21">
        <v>213</v>
      </c>
      <c r="K1337" s="21">
        <v>50</v>
      </c>
      <c r="L1337" s="21">
        <v>182</v>
      </c>
      <c r="M1337" s="21">
        <v>80</v>
      </c>
      <c r="N1337" s="21">
        <v>111</v>
      </c>
      <c r="O1337" s="19">
        <v>154</v>
      </c>
      <c r="P1337" s="22">
        <v>0</v>
      </c>
      <c r="Q1337" s="22">
        <v>0</v>
      </c>
      <c r="R1337" s="20"/>
      <c r="S1337" s="234">
        <f>COUNTIFS(INP_DATA!$R$5:$R$3027,S$4,INP_DATA!$D$5:$D$3027,$D1337,INP_DATA!$B$5:$B$3027,$B1337)</f>
        <v>0</v>
      </c>
      <c r="T1337" s="235">
        <f>COUNTIFS(INP_DATA!$R$5:$R$3027,T$4,INP_DATA!$D$5:$D$3027,$D1337,INP_DATA!$B$5:$B$3027,$B1337)</f>
        <v>0</v>
      </c>
    </row>
    <row r="1338" spans="1:20" x14ac:dyDescent="0.35">
      <c r="A1338" s="3" t="str">
        <f>IF(D1338="","",(VLOOKUP($D1338,KEY!$B$5:$D$74,3,FALSE)))</f>
        <v>Texas</v>
      </c>
      <c r="B1338" s="165">
        <f t="shared" si="3"/>
        <v>45627</v>
      </c>
      <c r="C1338" s="57" t="str">
        <f>IF($B1338="","",YEAR($B1338)&amp;"-"&amp;IFERROR(VLOOKUP(MONTH(B1338),KEY!$AE$5:$AF$16,2,FALSE),""))</f>
        <v>2024-Q4</v>
      </c>
      <c r="D1338" s="3" t="s">
        <v>138</v>
      </c>
      <c r="E1338" s="219">
        <v>35</v>
      </c>
      <c r="F1338" s="166">
        <v>200</v>
      </c>
      <c r="G1338" s="166">
        <v>187</v>
      </c>
      <c r="H1338" s="21">
        <v>310</v>
      </c>
      <c r="I1338" s="21">
        <v>49</v>
      </c>
      <c r="J1338" s="21">
        <v>197</v>
      </c>
      <c r="K1338" s="21">
        <v>54</v>
      </c>
      <c r="L1338" s="21">
        <v>354</v>
      </c>
      <c r="M1338" s="21">
        <v>140</v>
      </c>
      <c r="N1338" s="21">
        <v>202</v>
      </c>
      <c r="O1338" s="19">
        <v>198</v>
      </c>
      <c r="P1338" s="22">
        <v>14</v>
      </c>
      <c r="Q1338" s="22">
        <v>11</v>
      </c>
      <c r="R1338" s="20"/>
      <c r="S1338" s="234">
        <f>COUNTIFS(INP_DATA!$R$5:$R$3027,S$4,INP_DATA!$D$5:$D$3027,$D1338,INP_DATA!$B$5:$B$3027,$B1338)</f>
        <v>0</v>
      </c>
      <c r="T1338" s="235">
        <f>COUNTIFS(INP_DATA!$R$5:$R$3027,T$4,INP_DATA!$D$5:$D$3027,$D1338,INP_DATA!$B$5:$B$3027,$B1338)</f>
        <v>0</v>
      </c>
    </row>
    <row r="1339" spans="1:20" x14ac:dyDescent="0.35">
      <c r="A1339" s="3" t="e">
        <f>IF(D1339="","",(VLOOKUP($D1339,KEY!$B$5:$D$74,3,FALSE)))</f>
        <v>#N/A</v>
      </c>
      <c r="B1339" s="165">
        <f t="shared" si="3"/>
        <v>45627</v>
      </c>
      <c r="C1339" s="57" t="str">
        <f>IF($B1339="","",YEAR($B1339)&amp;"-"&amp;IFERROR(VLOOKUP(MONTH(B1339),KEY!$AE$5:$AF$16,2,FALSE),""))</f>
        <v>2024-Q4</v>
      </c>
      <c r="D1339" s="3" t="s">
        <v>205</v>
      </c>
      <c r="E1339" s="219"/>
      <c r="F1339" s="166"/>
      <c r="G1339" s="166"/>
      <c r="H1339" s="21"/>
      <c r="I1339" s="21"/>
      <c r="J1339" s="21"/>
      <c r="K1339" s="21"/>
      <c r="L1339" s="21"/>
      <c r="M1339" s="21"/>
      <c r="N1339" s="21"/>
      <c r="O1339" s="19"/>
      <c r="P1339" s="22"/>
      <c r="Q1339" s="22"/>
      <c r="R1339" s="20"/>
      <c r="S1339" s="234">
        <f>COUNTIFS(INP_DATA!$R$5:$R$3027,S$4,INP_DATA!$D$5:$D$3027,$D1339,INP_DATA!$B$5:$B$3027,$B1339)</f>
        <v>0</v>
      </c>
      <c r="T1339" s="235">
        <f>COUNTIFS(INP_DATA!$R$5:$R$3027,T$4,INP_DATA!$D$5:$D$3027,$D1339,INP_DATA!$B$5:$B$3027,$B1339)</f>
        <v>0</v>
      </c>
    </row>
    <row r="1340" spans="1:20" x14ac:dyDescent="0.35">
      <c r="A1340" s="3" t="str">
        <f>IF(D1340="","",(VLOOKUP($D1340,KEY!$B$5:$D$74,3,FALSE)))</f>
        <v>Southern California</v>
      </c>
      <c r="B1340" s="165">
        <f t="shared" si="3"/>
        <v>45627</v>
      </c>
      <c r="C1340" s="57" t="str">
        <f>IF($B1340="","",YEAR($B1340)&amp;"-"&amp;IFERROR(VLOOKUP(MONTH(B1340),KEY!$AE$5:$AF$16,2,FALSE),""))</f>
        <v>2024-Q4</v>
      </c>
      <c r="D1340" s="3" t="s">
        <v>139</v>
      </c>
      <c r="E1340" s="219">
        <v>46</v>
      </c>
      <c r="F1340" s="166">
        <v>233</v>
      </c>
      <c r="G1340" s="166">
        <v>255</v>
      </c>
      <c r="H1340" s="21">
        <v>332</v>
      </c>
      <c r="I1340" s="21">
        <v>60</v>
      </c>
      <c r="J1340" s="21">
        <v>165</v>
      </c>
      <c r="K1340" s="21">
        <v>48</v>
      </c>
      <c r="L1340" s="21">
        <v>537</v>
      </c>
      <c r="M1340" s="21">
        <v>149</v>
      </c>
      <c r="N1340" s="21">
        <v>238</v>
      </c>
      <c r="O1340" s="19">
        <v>330</v>
      </c>
      <c r="P1340" s="22">
        <v>24</v>
      </c>
      <c r="Q1340" s="22">
        <v>18</v>
      </c>
      <c r="R1340" s="20"/>
      <c r="S1340" s="234">
        <f>COUNTIFS(INP_DATA!$R$5:$R$3027,S$4,INP_DATA!$D$5:$D$3027,$D1340,INP_DATA!$B$5:$B$3027,$B1340)</f>
        <v>0</v>
      </c>
      <c r="T1340" s="235">
        <f>COUNTIFS(INP_DATA!$R$5:$R$3027,T$4,INP_DATA!$D$5:$D$3027,$D1340,INP_DATA!$B$5:$B$3027,$B1340)</f>
        <v>0</v>
      </c>
    </row>
    <row r="1341" spans="1:20" x14ac:dyDescent="0.35">
      <c r="A1341" s="3" t="str">
        <f>IF(D1341="","",(VLOOKUP($D1341,KEY!$B$5:$D$74,3,FALSE)))</f>
        <v>Orange County</v>
      </c>
      <c r="B1341" s="165">
        <f t="shared" si="3"/>
        <v>45627</v>
      </c>
      <c r="C1341" s="57" t="str">
        <f>IF($B1341="","",YEAR($B1341)&amp;"-"&amp;IFERROR(VLOOKUP(MONTH(B1341),KEY!$AE$5:$AF$16,2,FALSE),""))</f>
        <v>2024-Q4</v>
      </c>
      <c r="D1341" s="3" t="s">
        <v>140</v>
      </c>
      <c r="E1341" s="219">
        <v>5</v>
      </c>
      <c r="F1341" s="166">
        <v>40</v>
      </c>
      <c r="G1341" s="166">
        <v>34</v>
      </c>
      <c r="H1341" s="21">
        <v>85</v>
      </c>
      <c r="I1341" s="21">
        <v>11</v>
      </c>
      <c r="J1341" s="21">
        <v>32</v>
      </c>
      <c r="K1341" s="21">
        <v>9</v>
      </c>
      <c r="L1341" s="21">
        <v>84</v>
      </c>
      <c r="M1341" s="21">
        <v>31</v>
      </c>
      <c r="N1341" s="21">
        <v>40</v>
      </c>
      <c r="O1341" s="19">
        <v>88</v>
      </c>
      <c r="P1341" s="22">
        <v>4</v>
      </c>
      <c r="Q1341" s="22">
        <v>1</v>
      </c>
      <c r="R1341" s="20"/>
      <c r="S1341" s="234">
        <f>COUNTIFS(INP_DATA!$R$5:$R$3027,S$4,INP_DATA!$D$5:$D$3027,$D1341,INP_DATA!$B$5:$B$3027,$B1341)</f>
        <v>0</v>
      </c>
      <c r="T1341" s="235">
        <f>COUNTIFS(INP_DATA!$R$5:$R$3027,T$4,INP_DATA!$D$5:$D$3027,$D1341,INP_DATA!$B$5:$B$3027,$B1341)</f>
        <v>0</v>
      </c>
    </row>
    <row r="1342" spans="1:20" x14ac:dyDescent="0.35">
      <c r="A1342" s="3" t="str">
        <f>IF(D1342="","",(VLOOKUP($D1342,KEY!$B$5:$D$74,3,FALSE)))</f>
        <v>Southern California</v>
      </c>
      <c r="B1342" s="165">
        <f t="shared" si="3"/>
        <v>45627</v>
      </c>
      <c r="C1342" s="57" t="str">
        <f>IF($B1342="","",YEAR($B1342)&amp;"-"&amp;IFERROR(VLOOKUP(MONTH(B1342),KEY!$AE$5:$AF$16,2,FALSE),""))</f>
        <v>2024-Q4</v>
      </c>
      <c r="D1342" s="3" t="s">
        <v>142</v>
      </c>
      <c r="E1342" s="219">
        <v>15</v>
      </c>
      <c r="F1342" s="166">
        <v>95</v>
      </c>
      <c r="G1342" s="166">
        <v>84</v>
      </c>
      <c r="H1342" s="21">
        <v>211</v>
      </c>
      <c r="I1342" s="21">
        <v>29</v>
      </c>
      <c r="J1342" s="21">
        <v>68</v>
      </c>
      <c r="K1342" s="21">
        <v>21</v>
      </c>
      <c r="L1342" s="21">
        <v>130</v>
      </c>
      <c r="M1342" s="21">
        <v>52</v>
      </c>
      <c r="N1342" s="21">
        <v>98</v>
      </c>
      <c r="O1342" s="19">
        <v>132</v>
      </c>
      <c r="P1342" s="22">
        <v>5</v>
      </c>
      <c r="Q1342" s="22">
        <v>3</v>
      </c>
      <c r="R1342" s="20"/>
      <c r="S1342" s="234">
        <f>COUNTIFS(INP_DATA!$R$5:$R$3027,S$4,INP_DATA!$D$5:$D$3027,$D1342,INP_DATA!$B$5:$B$3027,$B1342)</f>
        <v>0</v>
      </c>
      <c r="T1342" s="235">
        <f>COUNTIFS(INP_DATA!$R$5:$R$3027,T$4,INP_DATA!$D$5:$D$3027,$D1342,INP_DATA!$B$5:$B$3027,$B1342)</f>
        <v>0</v>
      </c>
    </row>
    <row r="1343" spans="1:20" x14ac:dyDescent="0.35">
      <c r="A1343" s="3" t="str">
        <f>IF(D1343="","",(VLOOKUP($D1343,KEY!$B$5:$D$74,3,FALSE)))</f>
        <v>Arizona</v>
      </c>
      <c r="B1343" s="165">
        <f t="shared" si="3"/>
        <v>45627</v>
      </c>
      <c r="C1343" s="57" t="str">
        <f>IF($B1343="","",YEAR($B1343)&amp;"-"&amp;IFERROR(VLOOKUP(MONTH(B1343),KEY!$AE$5:$AF$16,2,FALSE),""))</f>
        <v>2024-Q4</v>
      </c>
      <c r="D1343" s="3" t="s">
        <v>143</v>
      </c>
      <c r="E1343" s="219">
        <v>10</v>
      </c>
      <c r="F1343" s="166">
        <v>77</v>
      </c>
      <c r="G1343" s="166">
        <v>77</v>
      </c>
      <c r="H1343" s="21">
        <v>172</v>
      </c>
      <c r="I1343" s="21">
        <v>25</v>
      </c>
      <c r="J1343" s="21">
        <v>94</v>
      </c>
      <c r="K1343" s="21">
        <v>25</v>
      </c>
      <c r="L1343" s="21">
        <v>138</v>
      </c>
      <c r="M1343" s="21">
        <v>40</v>
      </c>
      <c r="N1343" s="21">
        <v>79</v>
      </c>
      <c r="O1343" s="19">
        <v>176</v>
      </c>
      <c r="P1343" s="22">
        <v>4</v>
      </c>
      <c r="Q1343" s="22">
        <v>2</v>
      </c>
      <c r="R1343" s="20"/>
      <c r="S1343" s="234">
        <f>COUNTIFS(INP_DATA!$R$5:$R$3027,S$4,INP_DATA!$D$5:$D$3027,$D1343,INP_DATA!$B$5:$B$3027,$B1343)</f>
        <v>0</v>
      </c>
      <c r="T1343" s="235">
        <f>COUNTIFS(INP_DATA!$R$5:$R$3027,T$4,INP_DATA!$D$5:$D$3027,$D1343,INP_DATA!$B$5:$B$3027,$B1343)</f>
        <v>0</v>
      </c>
    </row>
    <row r="1344" spans="1:20" x14ac:dyDescent="0.35">
      <c r="A1344" s="3" t="str">
        <f>IF(D1344="","",(VLOOKUP($D1344,KEY!$B$5:$D$74,3,FALSE)))</f>
        <v>Arizona</v>
      </c>
      <c r="B1344" s="165">
        <f t="shared" si="3"/>
        <v>45627</v>
      </c>
      <c r="C1344" s="57" t="str">
        <f>IF($B1344="","",YEAR($B1344)&amp;"-"&amp;IFERROR(VLOOKUP(MONTH(B1344),KEY!$AE$5:$AF$16,2,FALSE),""))</f>
        <v>2024-Q4</v>
      </c>
      <c r="D1344" s="3" t="s">
        <v>144</v>
      </c>
      <c r="E1344" s="219">
        <v>50</v>
      </c>
      <c r="F1344" s="166">
        <v>300</v>
      </c>
      <c r="G1344" s="166">
        <v>217</v>
      </c>
      <c r="H1344" s="21">
        <v>300</v>
      </c>
      <c r="I1344" s="21">
        <v>60</v>
      </c>
      <c r="J1344" s="21">
        <v>212</v>
      </c>
      <c r="K1344" s="21">
        <v>51</v>
      </c>
      <c r="L1344" s="21">
        <v>494</v>
      </c>
      <c r="M1344" s="21">
        <v>156</v>
      </c>
      <c r="N1344" s="21">
        <v>323</v>
      </c>
      <c r="O1344" s="19">
        <v>484</v>
      </c>
      <c r="P1344" s="22">
        <v>16</v>
      </c>
      <c r="Q1344" s="22">
        <v>13</v>
      </c>
      <c r="R1344" s="20"/>
      <c r="S1344" s="234">
        <f>COUNTIFS(INP_DATA!$R$5:$R$3027,S$4,INP_DATA!$D$5:$D$3027,$D1344,INP_DATA!$B$5:$B$3027,$B1344)</f>
        <v>0</v>
      </c>
      <c r="T1344" s="235">
        <f>COUNTIFS(INP_DATA!$R$5:$R$3027,T$4,INP_DATA!$D$5:$D$3027,$D1344,INP_DATA!$B$5:$B$3027,$B1344)</f>
        <v>0</v>
      </c>
    </row>
    <row r="1345" spans="1:20" x14ac:dyDescent="0.35">
      <c r="A1345" s="3" t="str">
        <f>IF(D1345="","",(VLOOKUP($D1345,KEY!$B$5:$D$74,3,FALSE)))</f>
        <v>Southern California</v>
      </c>
      <c r="B1345" s="165">
        <f t="shared" si="3"/>
        <v>45627</v>
      </c>
      <c r="C1345" s="57" t="str">
        <f>IF($B1345="","",YEAR($B1345)&amp;"-"&amp;IFERROR(VLOOKUP(MONTH(B1345),KEY!$AE$5:$AF$16,2,FALSE),""))</f>
        <v>2024-Q4</v>
      </c>
      <c r="D1345" s="3" t="s">
        <v>145</v>
      </c>
      <c r="E1345" s="219">
        <v>61</v>
      </c>
      <c r="F1345" s="166">
        <v>244</v>
      </c>
      <c r="G1345" s="166">
        <v>182</v>
      </c>
      <c r="H1345" s="21">
        <v>336</v>
      </c>
      <c r="I1345" s="21">
        <v>55</v>
      </c>
      <c r="J1345" s="21">
        <v>173</v>
      </c>
      <c r="K1345" s="21">
        <v>32</v>
      </c>
      <c r="L1345" s="21">
        <v>460</v>
      </c>
      <c r="M1345" s="21">
        <v>129</v>
      </c>
      <c r="N1345" s="21">
        <v>246</v>
      </c>
      <c r="O1345" s="19">
        <v>308</v>
      </c>
      <c r="P1345" s="22">
        <v>40</v>
      </c>
      <c r="Q1345" s="22">
        <v>24</v>
      </c>
      <c r="R1345" s="20"/>
      <c r="S1345" s="234">
        <f>COUNTIFS(INP_DATA!$R$5:$R$3027,S$4,INP_DATA!$D$5:$D$3027,$D1345,INP_DATA!$B$5:$B$3027,$B1345)</f>
        <v>0</v>
      </c>
      <c r="T1345" s="235">
        <f>COUNTIFS(INP_DATA!$R$5:$R$3027,T$4,INP_DATA!$D$5:$D$3027,$D1345,INP_DATA!$B$5:$B$3027,$B1345)</f>
        <v>0</v>
      </c>
    </row>
    <row r="1346" spans="1:20" x14ac:dyDescent="0.35">
      <c r="A1346" s="3" t="str">
        <f>IF(D1346="","",(VLOOKUP($D1346,KEY!$B$5:$D$74,3,FALSE)))</f>
        <v>Arizona</v>
      </c>
      <c r="B1346" s="165">
        <f t="shared" si="3"/>
        <v>45627</v>
      </c>
      <c r="C1346" s="57" t="str">
        <f>IF($B1346="","",YEAR($B1346)&amp;"-"&amp;IFERROR(VLOOKUP(MONTH(B1346),KEY!$AE$5:$AF$16,2,FALSE),""))</f>
        <v>2024-Q4</v>
      </c>
      <c r="D1346" s="3" t="s">
        <v>146</v>
      </c>
      <c r="E1346" s="219">
        <v>0</v>
      </c>
      <c r="F1346" s="166">
        <v>31</v>
      </c>
      <c r="G1346" s="166">
        <v>55</v>
      </c>
      <c r="H1346" s="21">
        <v>63</v>
      </c>
      <c r="I1346" s="21">
        <v>15</v>
      </c>
      <c r="J1346" s="21">
        <v>23</v>
      </c>
      <c r="K1346" s="21">
        <v>1</v>
      </c>
      <c r="L1346" s="21">
        <v>39</v>
      </c>
      <c r="M1346" s="21">
        <v>22</v>
      </c>
      <c r="N1346" s="21">
        <v>31</v>
      </c>
      <c r="O1346" s="19">
        <v>88</v>
      </c>
      <c r="P1346" s="22">
        <v>3</v>
      </c>
      <c r="Q1346" s="22">
        <v>1</v>
      </c>
      <c r="R1346" s="20"/>
      <c r="S1346" s="234">
        <f>COUNTIFS(INP_DATA!$R$5:$R$3027,S$4,INP_DATA!$D$5:$D$3027,$D1346,INP_DATA!$B$5:$B$3027,$B1346)</f>
        <v>0</v>
      </c>
      <c r="T1346" s="235">
        <f>COUNTIFS(INP_DATA!$R$5:$R$3027,T$4,INP_DATA!$D$5:$D$3027,$D1346,INP_DATA!$B$5:$B$3027,$B1346)</f>
        <v>0</v>
      </c>
    </row>
    <row r="1347" spans="1:20" x14ac:dyDescent="0.35">
      <c r="A1347" s="3" t="str">
        <f>IF(D1347="","",(VLOOKUP($D1347,KEY!$B$5:$D$74,3,FALSE)))</f>
        <v>Texas</v>
      </c>
      <c r="B1347" s="165">
        <f t="shared" si="3"/>
        <v>45627</v>
      </c>
      <c r="C1347" s="57" t="str">
        <f>IF($B1347="","",YEAR($B1347)&amp;"-"&amp;IFERROR(VLOOKUP(MONTH(B1347),KEY!$AE$5:$AF$16,2,FALSE),""))</f>
        <v>2024-Q4</v>
      </c>
      <c r="D1347" s="3" t="s">
        <v>147</v>
      </c>
      <c r="E1347" s="219">
        <v>4</v>
      </c>
      <c r="F1347" s="166">
        <v>44</v>
      </c>
      <c r="G1347" s="166">
        <v>64</v>
      </c>
      <c r="H1347" s="21">
        <v>60</v>
      </c>
      <c r="I1347" s="21">
        <v>9</v>
      </c>
      <c r="J1347" s="21">
        <v>40</v>
      </c>
      <c r="K1347" s="21">
        <v>11</v>
      </c>
      <c r="L1347" s="21">
        <v>75</v>
      </c>
      <c r="M1347" s="21">
        <v>31</v>
      </c>
      <c r="N1347" s="21">
        <v>44</v>
      </c>
      <c r="O1347" s="19">
        <v>66</v>
      </c>
      <c r="P1347" s="22">
        <v>11</v>
      </c>
      <c r="Q1347" s="22">
        <v>9</v>
      </c>
      <c r="R1347" s="20"/>
      <c r="S1347" s="234">
        <f>COUNTIFS(INP_DATA!$R$5:$R$3027,S$4,INP_DATA!$D$5:$D$3027,$D1347,INP_DATA!$B$5:$B$3027,$B1347)</f>
        <v>0</v>
      </c>
      <c r="T1347" s="235">
        <f>COUNTIFS(INP_DATA!$R$5:$R$3027,T$4,INP_DATA!$D$5:$D$3027,$D1347,INP_DATA!$B$5:$B$3027,$B1347)</f>
        <v>0</v>
      </c>
    </row>
    <row r="1348" spans="1:20" x14ac:dyDescent="0.35">
      <c r="A1348" s="3" t="str">
        <f>IF(D1348="","",(VLOOKUP($D1348,KEY!$B$5:$D$74,3,FALSE)))</f>
        <v>Northern California</v>
      </c>
      <c r="B1348" s="165">
        <f t="shared" si="3"/>
        <v>45627</v>
      </c>
      <c r="C1348" s="57" t="str">
        <f>IF($B1348="","",YEAR($B1348)&amp;"-"&amp;IFERROR(VLOOKUP(MONTH(B1348),KEY!$AE$5:$AF$16,2,FALSE),""))</f>
        <v>2024-Q4</v>
      </c>
      <c r="D1348" s="3" t="s">
        <v>148</v>
      </c>
      <c r="E1348" s="219">
        <v>16</v>
      </c>
      <c r="F1348" s="166">
        <v>50</v>
      </c>
      <c r="G1348" s="166">
        <v>60</v>
      </c>
      <c r="H1348" s="21">
        <v>113</v>
      </c>
      <c r="I1348" s="21">
        <v>14</v>
      </c>
      <c r="J1348" s="21">
        <v>58</v>
      </c>
      <c r="K1348" s="21">
        <v>10</v>
      </c>
      <c r="L1348" s="21">
        <v>101</v>
      </c>
      <c r="M1348" s="21">
        <v>40</v>
      </c>
      <c r="N1348" s="21">
        <v>50</v>
      </c>
      <c r="O1348" s="19">
        <v>88</v>
      </c>
      <c r="P1348" s="22">
        <v>9</v>
      </c>
      <c r="Q1348" s="22">
        <v>4</v>
      </c>
      <c r="R1348" s="20"/>
      <c r="S1348" s="234">
        <f>COUNTIFS(INP_DATA!$R$5:$R$3027,S$4,INP_DATA!$D$5:$D$3027,$D1348,INP_DATA!$B$5:$B$3027,$B1348)</f>
        <v>0</v>
      </c>
      <c r="T1348" s="235">
        <f>COUNTIFS(INP_DATA!$R$5:$R$3027,T$4,INP_DATA!$D$5:$D$3027,$D1348,INP_DATA!$B$5:$B$3027,$B1348)</f>
        <v>0</v>
      </c>
    </row>
    <row r="1349" spans="1:20" x14ac:dyDescent="0.35">
      <c r="A1349" s="3" t="str">
        <f>IF(D1349="","",(VLOOKUP($D1349,KEY!$B$5:$D$74,3,FALSE)))</f>
        <v>Orange County</v>
      </c>
      <c r="B1349" s="165">
        <f t="shared" si="3"/>
        <v>45627</v>
      </c>
      <c r="C1349" s="57" t="str">
        <f>IF($B1349="","",YEAR($B1349)&amp;"-"&amp;IFERROR(VLOOKUP(MONTH(B1349),KEY!$AE$5:$AF$16,2,FALSE),""))</f>
        <v>2024-Q4</v>
      </c>
      <c r="D1349" s="3" t="s">
        <v>149</v>
      </c>
      <c r="E1349" s="219">
        <v>10</v>
      </c>
      <c r="F1349" s="166">
        <v>35</v>
      </c>
      <c r="G1349" s="166">
        <v>36</v>
      </c>
      <c r="H1349" s="21">
        <v>37</v>
      </c>
      <c r="I1349" s="21">
        <v>7</v>
      </c>
      <c r="J1349" s="21">
        <v>20</v>
      </c>
      <c r="K1349" s="21">
        <v>6</v>
      </c>
      <c r="L1349" s="21">
        <v>63</v>
      </c>
      <c r="M1349" s="21">
        <v>29</v>
      </c>
      <c r="N1349" s="21">
        <v>38</v>
      </c>
      <c r="O1349" s="19">
        <v>66</v>
      </c>
      <c r="P1349" s="22">
        <v>0</v>
      </c>
      <c r="Q1349" s="22">
        <v>0</v>
      </c>
      <c r="R1349" s="20"/>
      <c r="S1349" s="234">
        <f>COUNTIFS(INP_DATA!$R$5:$R$3027,S$4,INP_DATA!$D$5:$D$3027,$D1349,INP_DATA!$B$5:$B$3027,$B1349)</f>
        <v>0</v>
      </c>
      <c r="T1349" s="235">
        <f>COUNTIFS(INP_DATA!$R$5:$R$3027,T$4,INP_DATA!$D$5:$D$3027,$D1349,INP_DATA!$B$5:$B$3027,$B1349)</f>
        <v>0</v>
      </c>
    </row>
    <row r="1350" spans="1:20" x14ac:dyDescent="0.35">
      <c r="A1350" s="3" t="str">
        <f>IF(D1350="","",(VLOOKUP($D1350,KEY!$B$5:$D$74,3,FALSE)))</f>
        <v>Southern California</v>
      </c>
      <c r="B1350" s="165">
        <f t="shared" si="3"/>
        <v>45627</v>
      </c>
      <c r="C1350" s="57" t="str">
        <f>IF($B1350="","",YEAR($B1350)&amp;"-"&amp;IFERROR(VLOOKUP(MONTH(B1350),KEY!$AE$5:$AF$16,2,FALSE),""))</f>
        <v>2024-Q4</v>
      </c>
      <c r="D1350" s="3" t="s">
        <v>150</v>
      </c>
      <c r="E1350" s="219">
        <v>9</v>
      </c>
      <c r="F1350" s="166">
        <v>53</v>
      </c>
      <c r="G1350" s="166">
        <v>51</v>
      </c>
      <c r="H1350" s="21">
        <v>54</v>
      </c>
      <c r="I1350" s="21">
        <v>8</v>
      </c>
      <c r="J1350" s="21">
        <v>14</v>
      </c>
      <c r="K1350" s="21">
        <v>6</v>
      </c>
      <c r="L1350" s="21">
        <v>46</v>
      </c>
      <c r="M1350" s="21">
        <v>22</v>
      </c>
      <c r="N1350" s="21">
        <v>52</v>
      </c>
      <c r="O1350" s="19">
        <v>66</v>
      </c>
      <c r="P1350" s="22">
        <v>3</v>
      </c>
      <c r="Q1350" s="22">
        <v>2</v>
      </c>
      <c r="R1350" s="20"/>
      <c r="S1350" s="234">
        <f>COUNTIFS(INP_DATA!$R$5:$R$3027,S$4,INP_DATA!$D$5:$D$3027,$D1350,INP_DATA!$B$5:$B$3027,$B1350)</f>
        <v>0</v>
      </c>
      <c r="T1350" s="235">
        <f>COUNTIFS(INP_DATA!$R$5:$R$3027,T$4,INP_DATA!$D$5:$D$3027,$D1350,INP_DATA!$B$5:$B$3027,$B1350)</f>
        <v>0</v>
      </c>
    </row>
    <row r="1351" spans="1:20" x14ac:dyDescent="0.35">
      <c r="A1351" s="3" t="str">
        <f>IF(D1351="","",(VLOOKUP($D1351,KEY!$B$5:$D$74,3,FALSE)))</f>
        <v>Arizona</v>
      </c>
      <c r="B1351" s="165">
        <f t="shared" si="3"/>
        <v>45627</v>
      </c>
      <c r="C1351" s="57" t="str">
        <f>IF($B1351="","",YEAR($B1351)&amp;"-"&amp;IFERROR(VLOOKUP(MONTH(B1351),KEY!$AE$5:$AF$16,2,FALSE),""))</f>
        <v>2024-Q4</v>
      </c>
      <c r="D1351" s="3" t="s">
        <v>151</v>
      </c>
      <c r="E1351" s="219">
        <v>9</v>
      </c>
      <c r="F1351" s="166">
        <v>45</v>
      </c>
      <c r="G1351" s="166">
        <v>42</v>
      </c>
      <c r="H1351" s="21">
        <v>61</v>
      </c>
      <c r="I1351" s="21">
        <v>11</v>
      </c>
      <c r="J1351" s="21">
        <v>12</v>
      </c>
      <c r="K1351" s="21">
        <v>5</v>
      </c>
      <c r="L1351" s="21">
        <v>64</v>
      </c>
      <c r="M1351" s="21">
        <v>31</v>
      </c>
      <c r="N1351" s="21">
        <v>45</v>
      </c>
      <c r="O1351" s="19">
        <v>88</v>
      </c>
      <c r="P1351" s="22">
        <v>2</v>
      </c>
      <c r="Q1351" s="22">
        <v>1</v>
      </c>
      <c r="R1351" s="20"/>
      <c r="S1351" s="234">
        <f>COUNTIFS(INP_DATA!$R$5:$R$3027,S$4,INP_DATA!$D$5:$D$3027,$D1351,INP_DATA!$B$5:$B$3027,$B1351)</f>
        <v>0</v>
      </c>
      <c r="T1351" s="235">
        <f>COUNTIFS(INP_DATA!$R$5:$R$3027,T$4,INP_DATA!$D$5:$D$3027,$D1351,INP_DATA!$B$5:$B$3027,$B1351)</f>
        <v>0</v>
      </c>
    </row>
    <row r="1352" spans="1:20" x14ac:dyDescent="0.35">
      <c r="A1352" s="3" t="str">
        <f>IF(D1352="","",(VLOOKUP($D1352,KEY!$B$5:$D$74,3,FALSE)))</f>
        <v>Michigan &amp; Minnesota</v>
      </c>
      <c r="B1352" s="165">
        <f t="shared" si="3"/>
        <v>45627</v>
      </c>
      <c r="C1352" s="57" t="str">
        <f>IF($B1352="","",YEAR($B1352)&amp;"-"&amp;IFERROR(VLOOKUP(MONTH(B1352),KEY!$AE$5:$AF$16,2,FALSE),""))</f>
        <v>2024-Q4</v>
      </c>
      <c r="D1352" s="3" t="s">
        <v>206</v>
      </c>
      <c r="E1352" s="219">
        <v>33</v>
      </c>
      <c r="F1352" s="166">
        <v>325</v>
      </c>
      <c r="G1352" s="166">
        <v>295</v>
      </c>
      <c r="H1352" s="21">
        <v>368</v>
      </c>
      <c r="I1352" s="21">
        <v>74</v>
      </c>
      <c r="J1352" s="21">
        <v>208</v>
      </c>
      <c r="K1352" s="21">
        <v>54</v>
      </c>
      <c r="L1352" s="21">
        <v>510</v>
      </c>
      <c r="M1352" s="21">
        <v>167</v>
      </c>
      <c r="N1352" s="21">
        <v>324</v>
      </c>
      <c r="O1352" s="19">
        <v>374</v>
      </c>
      <c r="P1352" s="22">
        <v>42</v>
      </c>
      <c r="Q1352" s="22">
        <v>0</v>
      </c>
      <c r="R1352" s="20"/>
      <c r="S1352" s="234">
        <f>COUNTIFS(INP_DATA!$R$5:$R$3027,S$4,INP_DATA!$D$5:$D$3027,$D1352,INP_DATA!$B$5:$B$3027,$B1352)</f>
        <v>0</v>
      </c>
      <c r="T1352" s="235">
        <f>COUNTIFS(INP_DATA!$R$5:$R$3027,T$4,INP_DATA!$D$5:$D$3027,$D1352,INP_DATA!$B$5:$B$3027,$B1352)</f>
        <v>0</v>
      </c>
    </row>
    <row r="1353" spans="1:20" x14ac:dyDescent="0.35">
      <c r="A1353" s="3" t="str">
        <f>IF(D1353="","",(VLOOKUP($D1353,KEY!$B$5:$D$74,3,FALSE)))</f>
        <v>Michigan &amp; Minnesota</v>
      </c>
      <c r="B1353" s="165">
        <f t="shared" si="3"/>
        <v>45627</v>
      </c>
      <c r="C1353" s="57" t="str">
        <f>IF($B1353="","",YEAR($B1353)&amp;"-"&amp;IFERROR(VLOOKUP(MONTH(B1353),KEY!$AE$5:$AF$16,2,FALSE),""))</f>
        <v>2024-Q4</v>
      </c>
      <c r="D1353" s="3" t="s">
        <v>207</v>
      </c>
      <c r="E1353" s="219">
        <v>8</v>
      </c>
      <c r="F1353" s="166">
        <v>48</v>
      </c>
      <c r="G1353" s="166">
        <v>83</v>
      </c>
      <c r="H1353" s="21">
        <v>61</v>
      </c>
      <c r="I1353" s="21">
        <v>15</v>
      </c>
      <c r="J1353" s="21">
        <v>28</v>
      </c>
      <c r="K1353" s="21">
        <v>6</v>
      </c>
      <c r="L1353" s="21">
        <v>35</v>
      </c>
      <c r="M1353" s="21">
        <v>22</v>
      </c>
      <c r="N1353" s="21">
        <v>48</v>
      </c>
      <c r="O1353" s="19">
        <v>110</v>
      </c>
      <c r="P1353" s="22">
        <v>9</v>
      </c>
      <c r="Q1353" s="22">
        <v>4</v>
      </c>
      <c r="R1353" s="20"/>
      <c r="S1353" s="234">
        <f>COUNTIFS(INP_DATA!$R$5:$R$3027,S$4,INP_DATA!$D$5:$D$3027,$D1353,INP_DATA!$B$5:$B$3027,$B1353)</f>
        <v>0</v>
      </c>
      <c r="T1353" s="235">
        <f>COUNTIFS(INP_DATA!$R$5:$R$3027,T$4,INP_DATA!$D$5:$D$3027,$D1353,INP_DATA!$B$5:$B$3027,$B1353)</f>
        <v>0</v>
      </c>
    </row>
    <row r="1354" spans="1:20" x14ac:dyDescent="0.35">
      <c r="A1354" s="3" t="str">
        <f>IF(D1354="","",(VLOOKUP($D1354,KEY!$B$5:$D$74,3,FALSE)))</f>
        <v>Indiana</v>
      </c>
      <c r="B1354" s="165">
        <f t="shared" si="3"/>
        <v>45627</v>
      </c>
      <c r="C1354" s="57" t="str">
        <f>IF($B1354="","",YEAR($B1354)&amp;"-"&amp;IFERROR(VLOOKUP(MONTH(B1354),KEY!$AE$5:$AF$16,2,FALSE),""))</f>
        <v>2024-Q4</v>
      </c>
      <c r="D1354" s="3" t="s">
        <v>208</v>
      </c>
      <c r="E1354" s="219">
        <v>1</v>
      </c>
      <c r="F1354" s="166">
        <v>139</v>
      </c>
      <c r="G1354" s="166">
        <v>117</v>
      </c>
      <c r="H1354" s="21">
        <v>305</v>
      </c>
      <c r="I1354" s="21">
        <v>34</v>
      </c>
      <c r="J1354" s="21">
        <v>102</v>
      </c>
      <c r="K1354" s="21">
        <v>25</v>
      </c>
      <c r="L1354" s="21">
        <v>145</v>
      </c>
      <c r="M1354" s="21">
        <v>68</v>
      </c>
      <c r="N1354" s="21">
        <v>140</v>
      </c>
      <c r="O1354" s="19">
        <v>220</v>
      </c>
      <c r="P1354" s="22">
        <v>9</v>
      </c>
      <c r="Q1354" s="22">
        <v>5</v>
      </c>
      <c r="R1354" s="20"/>
      <c r="S1354" s="234">
        <f>COUNTIFS(INP_DATA!$R$5:$R$3027,S$4,INP_DATA!$D$5:$D$3027,$D1354,INP_DATA!$B$5:$B$3027,$B1354)</f>
        <v>0</v>
      </c>
      <c r="T1354" s="235">
        <f>COUNTIFS(INP_DATA!$R$5:$R$3027,T$4,INP_DATA!$D$5:$D$3027,$D1354,INP_DATA!$B$5:$B$3027,$B1354)</f>
        <v>0</v>
      </c>
    </row>
    <row r="1355" spans="1:20" x14ac:dyDescent="0.35">
      <c r="A1355" s="3" t="str">
        <f>IF(D1355="","",(VLOOKUP($D1355,KEY!$B$5:$D$74,3,FALSE)))</f>
        <v>Indiana</v>
      </c>
      <c r="B1355" s="165">
        <f t="shared" si="3"/>
        <v>45627</v>
      </c>
      <c r="C1355" s="57" t="str">
        <f>IF($B1355="","",YEAR($B1355)&amp;"-"&amp;IFERROR(VLOOKUP(MONTH(B1355),KEY!$AE$5:$AF$16,2,FALSE),""))</f>
        <v>2024-Q4</v>
      </c>
      <c r="D1355" s="3" t="s">
        <v>209</v>
      </c>
      <c r="E1355" s="219">
        <v>4</v>
      </c>
      <c r="F1355" s="166">
        <v>476</v>
      </c>
      <c r="G1355" s="166">
        <v>468</v>
      </c>
      <c r="H1355" s="21">
        <v>745</v>
      </c>
      <c r="I1355" s="21">
        <v>149</v>
      </c>
      <c r="J1355" s="21">
        <v>200</v>
      </c>
      <c r="K1355" s="21">
        <v>62</v>
      </c>
      <c r="L1355" s="21">
        <v>390</v>
      </c>
      <c r="M1355" s="21">
        <v>209</v>
      </c>
      <c r="N1355" s="21">
        <v>500</v>
      </c>
      <c r="O1355" s="19">
        <v>528</v>
      </c>
      <c r="P1355" s="22">
        <v>49</v>
      </c>
      <c r="Q1355" s="22">
        <v>23</v>
      </c>
      <c r="R1355" s="20"/>
      <c r="S1355" s="234">
        <f>COUNTIFS(INP_DATA!$R$5:$R$3027,S$4,INP_DATA!$D$5:$D$3027,$D1355,INP_DATA!$B$5:$B$3027,$B1355)</f>
        <v>0</v>
      </c>
      <c r="T1355" s="235">
        <f>COUNTIFS(INP_DATA!$R$5:$R$3027,T$4,INP_DATA!$D$5:$D$3027,$D1355,INP_DATA!$B$5:$B$3027,$B1355)</f>
        <v>0</v>
      </c>
    </row>
    <row r="1356" spans="1:20" x14ac:dyDescent="0.35">
      <c r="A1356" s="3" t="str">
        <f>IF(D1356="","",(VLOOKUP($D1356,KEY!$B$5:$D$74,3,FALSE)))</f>
        <v>Northern California</v>
      </c>
      <c r="B1356" s="165">
        <f t="shared" si="3"/>
        <v>45627</v>
      </c>
      <c r="C1356" s="57" t="str">
        <f>IF($B1356="","",YEAR($B1356)&amp;"-"&amp;IFERROR(VLOOKUP(MONTH(B1356),KEY!$AE$5:$AF$16,2,FALSE),""))</f>
        <v>2024-Q4</v>
      </c>
      <c r="D1356" s="3" t="s">
        <v>152</v>
      </c>
      <c r="E1356" s="219">
        <v>67</v>
      </c>
      <c r="F1356" s="166">
        <v>243</v>
      </c>
      <c r="G1356" s="166">
        <v>253</v>
      </c>
      <c r="H1356" s="21">
        <v>538</v>
      </c>
      <c r="I1356" s="21">
        <v>93</v>
      </c>
      <c r="J1356" s="21">
        <v>163</v>
      </c>
      <c r="K1356" s="21">
        <v>49</v>
      </c>
      <c r="L1356" s="21">
        <v>487</v>
      </c>
      <c r="M1356" s="21">
        <v>199</v>
      </c>
      <c r="N1356" s="21">
        <v>242</v>
      </c>
      <c r="O1356" s="19">
        <v>286</v>
      </c>
      <c r="P1356" s="22">
        <v>70</v>
      </c>
      <c r="Q1356" s="22">
        <v>48</v>
      </c>
      <c r="R1356" s="20"/>
      <c r="S1356" s="234">
        <f>COUNTIFS(INP_DATA!$R$5:$R$3027,S$4,INP_DATA!$D$5:$D$3027,$D1356,INP_DATA!$B$5:$B$3027,$B1356)</f>
        <v>0</v>
      </c>
      <c r="T1356" s="235">
        <f>COUNTIFS(INP_DATA!$R$5:$R$3027,T$4,INP_DATA!$D$5:$D$3027,$D1356,INP_DATA!$B$5:$B$3027,$B1356)</f>
        <v>0</v>
      </c>
    </row>
    <row r="1357" spans="1:20" x14ac:dyDescent="0.35">
      <c r="A1357" s="3" t="str">
        <f>IF(D1357="","",(VLOOKUP($D1357,KEY!$B$5:$D$74,3,FALSE)))</f>
        <v>Arizona</v>
      </c>
      <c r="B1357" s="165">
        <f t="shared" si="3"/>
        <v>45627</v>
      </c>
      <c r="C1357" s="57" t="str">
        <f>IF($B1357="","",YEAR($B1357)&amp;"-"&amp;IFERROR(VLOOKUP(MONTH(B1357),KEY!$AE$5:$AF$16,2,FALSE),""))</f>
        <v>2024-Q4</v>
      </c>
      <c r="D1357" s="3" t="s">
        <v>153</v>
      </c>
      <c r="E1357" s="219">
        <v>43</v>
      </c>
      <c r="F1357" s="166">
        <v>136</v>
      </c>
      <c r="G1357" s="166">
        <v>119</v>
      </c>
      <c r="H1357" s="21">
        <v>151</v>
      </c>
      <c r="I1357" s="21">
        <v>28</v>
      </c>
      <c r="J1357" s="21">
        <v>83</v>
      </c>
      <c r="K1357" s="21">
        <v>9</v>
      </c>
      <c r="L1357" s="21">
        <v>389</v>
      </c>
      <c r="M1357" s="21">
        <v>80</v>
      </c>
      <c r="N1357" s="21">
        <v>136</v>
      </c>
      <c r="O1357" s="19">
        <v>286</v>
      </c>
      <c r="P1357" s="22">
        <v>3</v>
      </c>
      <c r="Q1357" s="22">
        <v>0</v>
      </c>
      <c r="R1357" s="20"/>
      <c r="S1357" s="234">
        <f>COUNTIFS(INP_DATA!$R$5:$R$3027,S$4,INP_DATA!$D$5:$D$3027,$D1357,INP_DATA!$B$5:$B$3027,$B1357)</f>
        <v>0</v>
      </c>
      <c r="T1357" s="235">
        <f>COUNTIFS(INP_DATA!$R$5:$R$3027,T$4,INP_DATA!$D$5:$D$3027,$D1357,INP_DATA!$B$5:$B$3027,$B1357)</f>
        <v>0</v>
      </c>
    </row>
    <row r="1358" spans="1:20" x14ac:dyDescent="0.35">
      <c r="A1358" s="3" t="str">
        <f>IF(D1358="","",(VLOOKUP($D1358,KEY!$B$5:$D$74,3,FALSE)))</f>
        <v>Northern California</v>
      </c>
      <c r="B1358" s="165">
        <f t="shared" si="3"/>
        <v>45627</v>
      </c>
      <c r="C1358" s="57" t="str">
        <f>IF($B1358="","",YEAR($B1358)&amp;"-"&amp;IFERROR(VLOOKUP(MONTH(B1358),KEY!$AE$5:$AF$16,2,FALSE),""))</f>
        <v>2024-Q4</v>
      </c>
      <c r="D1358" s="3" t="s">
        <v>154</v>
      </c>
      <c r="E1358" s="219">
        <v>26</v>
      </c>
      <c r="F1358" s="166">
        <v>139</v>
      </c>
      <c r="G1358" s="166">
        <v>84</v>
      </c>
      <c r="H1358" s="21">
        <v>334</v>
      </c>
      <c r="I1358" s="21">
        <v>58</v>
      </c>
      <c r="J1358" s="21">
        <v>125</v>
      </c>
      <c r="K1358" s="21">
        <v>24</v>
      </c>
      <c r="L1358" s="21">
        <v>313</v>
      </c>
      <c r="M1358" s="21">
        <v>83</v>
      </c>
      <c r="N1358" s="21">
        <v>139</v>
      </c>
      <c r="O1358" s="19">
        <v>176</v>
      </c>
      <c r="P1358" s="22">
        <v>12</v>
      </c>
      <c r="Q1358" s="22">
        <v>9</v>
      </c>
      <c r="R1358" s="20"/>
      <c r="S1358" s="234">
        <f>COUNTIFS(INP_DATA!$R$5:$R$3027,S$4,INP_DATA!$D$5:$D$3027,$D1358,INP_DATA!$B$5:$B$3027,$B1358)</f>
        <v>0</v>
      </c>
      <c r="T1358" s="235">
        <f>COUNTIFS(INP_DATA!$R$5:$R$3027,T$4,INP_DATA!$D$5:$D$3027,$D1358,INP_DATA!$B$5:$B$3027,$B1358)</f>
        <v>0</v>
      </c>
    </row>
    <row r="1359" spans="1:20" x14ac:dyDescent="0.35">
      <c r="A1359" s="3" t="str">
        <f>IF(D1359="","",(VLOOKUP($D1359,KEY!$B$5:$D$74,3,FALSE)))</f>
        <v>Texas</v>
      </c>
      <c r="B1359" s="165">
        <f t="shared" si="3"/>
        <v>45627</v>
      </c>
      <c r="C1359" s="57" t="str">
        <f>IF($B1359="","",YEAR($B1359)&amp;"-"&amp;IFERROR(VLOOKUP(MONTH(B1359),KEY!$AE$5:$AF$16,2,FALSE),""))</f>
        <v>2024-Q4</v>
      </c>
      <c r="D1359" s="3" t="s">
        <v>155</v>
      </c>
      <c r="E1359" s="219">
        <v>49</v>
      </c>
      <c r="F1359" s="166">
        <v>372</v>
      </c>
      <c r="G1359" s="166">
        <v>349</v>
      </c>
      <c r="H1359" s="21">
        <v>889</v>
      </c>
      <c r="I1359" s="21">
        <v>140</v>
      </c>
      <c r="J1359" s="21">
        <v>253</v>
      </c>
      <c r="K1359" s="21">
        <v>44</v>
      </c>
      <c r="L1359" s="21">
        <v>421</v>
      </c>
      <c r="M1359" s="21">
        <v>153</v>
      </c>
      <c r="N1359" s="21">
        <v>371</v>
      </c>
      <c r="O1359" s="19">
        <v>506</v>
      </c>
      <c r="P1359" s="22">
        <v>25</v>
      </c>
      <c r="Q1359" s="22">
        <v>15</v>
      </c>
      <c r="R1359" s="20"/>
      <c r="S1359" s="234">
        <f>COUNTIFS(INP_DATA!$R$5:$R$3027,S$4,INP_DATA!$D$5:$D$3027,$D1359,INP_DATA!$B$5:$B$3027,$B1359)</f>
        <v>0</v>
      </c>
      <c r="T1359" s="235">
        <f>COUNTIFS(INP_DATA!$R$5:$R$3027,T$4,INP_DATA!$D$5:$D$3027,$D1359,INP_DATA!$B$5:$B$3027,$B1359)</f>
        <v>0</v>
      </c>
    </row>
    <row r="1360" spans="1:20" x14ac:dyDescent="0.35">
      <c r="A1360" s="3" t="str">
        <f>IF(D1360="","",(VLOOKUP($D1360,KEY!$B$5:$D$74,3,FALSE)))</f>
        <v>Texas</v>
      </c>
      <c r="B1360" s="165">
        <f t="shared" si="3"/>
        <v>45627</v>
      </c>
      <c r="C1360" s="57" t="str">
        <f>IF($B1360="","",YEAR($B1360)&amp;"-"&amp;IFERROR(VLOOKUP(MONTH(B1360),KEY!$AE$5:$AF$16,2,FALSE),""))</f>
        <v>2024-Q4</v>
      </c>
      <c r="D1360" s="3" t="s">
        <v>156</v>
      </c>
      <c r="E1360" s="219">
        <v>37</v>
      </c>
      <c r="F1360" s="166">
        <v>251</v>
      </c>
      <c r="G1360" s="166">
        <v>277</v>
      </c>
      <c r="H1360" s="21">
        <v>463</v>
      </c>
      <c r="I1360" s="21">
        <v>75</v>
      </c>
      <c r="J1360" s="21">
        <v>187</v>
      </c>
      <c r="K1360" s="21">
        <v>39</v>
      </c>
      <c r="L1360" s="21">
        <v>327</v>
      </c>
      <c r="M1360" s="21">
        <v>103</v>
      </c>
      <c r="N1360" s="21">
        <v>251</v>
      </c>
      <c r="O1360" s="19">
        <v>352</v>
      </c>
      <c r="P1360" s="22">
        <v>11</v>
      </c>
      <c r="Q1360" s="22">
        <v>8</v>
      </c>
      <c r="R1360" s="20"/>
      <c r="S1360" s="234">
        <f>COUNTIFS(INP_DATA!$R$5:$R$3027,S$4,INP_DATA!$D$5:$D$3027,$D1360,INP_DATA!$B$5:$B$3027,$B1360)</f>
        <v>0</v>
      </c>
      <c r="T1360" s="235">
        <f>COUNTIFS(INP_DATA!$R$5:$R$3027,T$4,INP_DATA!$D$5:$D$3027,$D1360,INP_DATA!$B$5:$B$3027,$B1360)</f>
        <v>0</v>
      </c>
    </row>
    <row r="1361" spans="1:20" x14ac:dyDescent="0.35">
      <c r="A1361" s="3" t="str">
        <f>IF(D1361="","",(VLOOKUP($D1361,KEY!$B$5:$D$74,3,FALSE)))</f>
        <v>Texas</v>
      </c>
      <c r="B1361" s="165">
        <f t="shared" si="3"/>
        <v>45627</v>
      </c>
      <c r="C1361" s="57" t="str">
        <f>IF($B1361="","",YEAR($B1361)&amp;"-"&amp;IFERROR(VLOOKUP(MONTH(B1361),KEY!$AE$5:$AF$16,2,FALSE),""))</f>
        <v>2024-Q4</v>
      </c>
      <c r="D1361" s="3" t="s">
        <v>157</v>
      </c>
      <c r="E1361" s="219">
        <v>15</v>
      </c>
      <c r="F1361" s="166">
        <v>495</v>
      </c>
      <c r="G1361" s="166">
        <v>482</v>
      </c>
      <c r="H1361" s="21">
        <v>619</v>
      </c>
      <c r="I1361" s="21">
        <v>77</v>
      </c>
      <c r="J1361" s="21">
        <v>320</v>
      </c>
      <c r="K1361" s="21">
        <v>60</v>
      </c>
      <c r="L1361" s="21">
        <v>903</v>
      </c>
      <c r="M1361" s="21">
        <v>194</v>
      </c>
      <c r="N1361" s="21">
        <v>510</v>
      </c>
      <c r="O1361" s="19">
        <v>836</v>
      </c>
      <c r="P1361" s="22">
        <v>7</v>
      </c>
      <c r="Q1361" s="22">
        <v>6</v>
      </c>
      <c r="R1361" s="20"/>
      <c r="S1361" s="234">
        <f>COUNTIFS(INP_DATA!$R$5:$R$3027,S$4,INP_DATA!$D$5:$D$3027,$D1361,INP_DATA!$B$5:$B$3027,$B1361)</f>
        <v>0</v>
      </c>
      <c r="T1361" s="235">
        <f>COUNTIFS(INP_DATA!$R$5:$R$3027,T$4,INP_DATA!$D$5:$D$3027,$D1361,INP_DATA!$B$5:$B$3027,$B1361)</f>
        <v>0</v>
      </c>
    </row>
    <row r="1362" spans="1:20" x14ac:dyDescent="0.35">
      <c r="A1362" s="3" t="str">
        <f>IF(D1362="","",(VLOOKUP($D1362,KEY!$B$5:$D$74,3,FALSE)))</f>
        <v>Arizona</v>
      </c>
      <c r="B1362" s="165">
        <f t="shared" si="3"/>
        <v>45627</v>
      </c>
      <c r="C1362" s="57" t="str">
        <f>IF($B1362="","",YEAR($B1362)&amp;"-"&amp;IFERROR(VLOOKUP(MONTH(B1362),KEY!$AE$5:$AF$16,2,FALSE),""))</f>
        <v>2024-Q4</v>
      </c>
      <c r="D1362" s="3" t="s">
        <v>158</v>
      </c>
      <c r="E1362" s="219">
        <v>4</v>
      </c>
      <c r="F1362" s="166">
        <v>26</v>
      </c>
      <c r="G1362" s="166">
        <v>30</v>
      </c>
      <c r="H1362" s="21">
        <v>65</v>
      </c>
      <c r="I1362" s="21">
        <v>6</v>
      </c>
      <c r="J1362" s="21">
        <v>23</v>
      </c>
      <c r="K1362" s="21">
        <v>0</v>
      </c>
      <c r="L1362" s="21">
        <v>62</v>
      </c>
      <c r="M1362" s="21">
        <v>21</v>
      </c>
      <c r="N1362" s="21">
        <v>26</v>
      </c>
      <c r="O1362" s="19">
        <v>132</v>
      </c>
      <c r="P1362" s="22">
        <v>2</v>
      </c>
      <c r="Q1362" s="22">
        <v>1</v>
      </c>
      <c r="R1362" s="20"/>
      <c r="S1362" s="234">
        <f>COUNTIFS(INP_DATA!$R$5:$R$3027,S$4,INP_DATA!$D$5:$D$3027,$D1362,INP_DATA!$B$5:$B$3027,$B1362)</f>
        <v>0</v>
      </c>
      <c r="T1362" s="235">
        <f>COUNTIFS(INP_DATA!$R$5:$R$3027,T$4,INP_DATA!$D$5:$D$3027,$D1362,INP_DATA!$B$5:$B$3027,$B1362)</f>
        <v>0</v>
      </c>
    </row>
    <row r="1363" spans="1:20" x14ac:dyDescent="0.35">
      <c r="A1363" s="3" t="str">
        <f>IF(D1363="","",(VLOOKUP($D1363,KEY!$B$5:$D$74,3,FALSE)))</f>
        <v>Orange County</v>
      </c>
      <c r="B1363" s="165">
        <f t="shared" si="3"/>
        <v>45627</v>
      </c>
      <c r="C1363" s="57" t="str">
        <f>IF($B1363="","",YEAR($B1363)&amp;"-"&amp;IFERROR(VLOOKUP(MONTH(B1363),KEY!$AE$5:$AF$16,2,FALSE),""))</f>
        <v>2024-Q4</v>
      </c>
      <c r="D1363" s="3" t="s">
        <v>159</v>
      </c>
      <c r="E1363" s="219">
        <v>23</v>
      </c>
      <c r="F1363" s="166">
        <v>162</v>
      </c>
      <c r="G1363" s="166">
        <v>109</v>
      </c>
      <c r="H1363" s="21">
        <v>304</v>
      </c>
      <c r="I1363" s="21">
        <v>67</v>
      </c>
      <c r="J1363" s="21">
        <v>99</v>
      </c>
      <c r="K1363" s="21">
        <v>24</v>
      </c>
      <c r="L1363" s="21">
        <v>235</v>
      </c>
      <c r="M1363" s="21">
        <v>110</v>
      </c>
      <c r="N1363" s="21">
        <v>163</v>
      </c>
      <c r="O1363" s="19">
        <v>220</v>
      </c>
      <c r="P1363" s="22">
        <v>8</v>
      </c>
      <c r="Q1363" s="22">
        <v>6</v>
      </c>
      <c r="R1363" s="20"/>
      <c r="S1363" s="234">
        <f>COUNTIFS(INP_DATA!$R$5:$R$3027,S$4,INP_DATA!$D$5:$D$3027,$D1363,INP_DATA!$B$5:$B$3027,$B1363)</f>
        <v>0</v>
      </c>
      <c r="T1363" s="235">
        <f>COUNTIFS(INP_DATA!$R$5:$R$3027,T$4,INP_DATA!$D$5:$D$3027,$D1363,INP_DATA!$B$5:$B$3027,$B1363)</f>
        <v>0</v>
      </c>
    </row>
    <row r="1364" spans="1:20" x14ac:dyDescent="0.35">
      <c r="A1364" s="3" t="str">
        <f>IF(D1364="","",(VLOOKUP($D1364,KEY!$B$5:$D$74,3,FALSE)))</f>
        <v>Arizona</v>
      </c>
      <c r="B1364" s="165">
        <f t="shared" si="3"/>
        <v>45627</v>
      </c>
      <c r="C1364" s="57" t="str">
        <f>IF($B1364="","",YEAR($B1364)&amp;"-"&amp;IFERROR(VLOOKUP(MONTH(B1364),KEY!$AE$5:$AF$16,2,FALSE),""))</f>
        <v>2024-Q4</v>
      </c>
      <c r="D1364" s="3" t="s">
        <v>160</v>
      </c>
      <c r="E1364" s="219">
        <v>62</v>
      </c>
      <c r="F1364" s="166">
        <v>394</v>
      </c>
      <c r="G1364" s="166">
        <v>358</v>
      </c>
      <c r="H1364" s="21">
        <v>616</v>
      </c>
      <c r="I1364" s="21">
        <v>105</v>
      </c>
      <c r="J1364" s="21">
        <v>212</v>
      </c>
      <c r="K1364" s="21">
        <v>46</v>
      </c>
      <c r="L1364" s="21">
        <v>512</v>
      </c>
      <c r="M1364" s="21">
        <v>226</v>
      </c>
      <c r="N1364" s="21">
        <v>399</v>
      </c>
      <c r="O1364" s="19">
        <v>528</v>
      </c>
      <c r="P1364" s="22">
        <v>49</v>
      </c>
      <c r="Q1364" s="22">
        <v>29</v>
      </c>
      <c r="R1364" s="20"/>
      <c r="S1364" s="234">
        <f>COUNTIFS(INP_DATA!$R$5:$R$3027,S$4,INP_DATA!$D$5:$D$3027,$D1364,INP_DATA!$B$5:$B$3027,$B1364)</f>
        <v>0</v>
      </c>
      <c r="T1364" s="235">
        <f>COUNTIFS(INP_DATA!$R$5:$R$3027,T$4,INP_DATA!$D$5:$D$3027,$D1364,INP_DATA!$B$5:$B$3027,$B1364)</f>
        <v>0</v>
      </c>
    </row>
    <row r="1365" spans="1:20" x14ac:dyDescent="0.35">
      <c r="A1365" s="3" t="str">
        <f>IF(D1365="","",(VLOOKUP($D1365,KEY!$B$5:$D$74,3,FALSE)))</f>
        <v>Northern California</v>
      </c>
      <c r="B1365" s="165">
        <f t="shared" si="3"/>
        <v>45627</v>
      </c>
      <c r="C1365" s="57" t="str">
        <f>IF($B1365="","",YEAR($B1365)&amp;"-"&amp;IFERROR(VLOOKUP(MONTH(B1365),KEY!$AE$5:$AF$16,2,FALSE),""))</f>
        <v>2024-Q4</v>
      </c>
      <c r="D1365" s="3" t="s">
        <v>161</v>
      </c>
      <c r="E1365" s="219">
        <v>38</v>
      </c>
      <c r="F1365" s="166">
        <v>297</v>
      </c>
      <c r="G1365" s="166">
        <v>329</v>
      </c>
      <c r="H1365" s="21">
        <v>534</v>
      </c>
      <c r="I1365" s="21">
        <v>95</v>
      </c>
      <c r="J1365" s="21">
        <v>219</v>
      </c>
      <c r="K1365" s="21">
        <v>47</v>
      </c>
      <c r="L1365" s="21">
        <v>421</v>
      </c>
      <c r="M1365" s="21">
        <v>129</v>
      </c>
      <c r="N1365" s="21">
        <v>303</v>
      </c>
      <c r="O1365" s="19">
        <v>440</v>
      </c>
      <c r="P1365" s="22">
        <v>10</v>
      </c>
      <c r="Q1365" s="22">
        <v>5</v>
      </c>
      <c r="R1365" s="20"/>
      <c r="S1365" s="234">
        <f>COUNTIFS(INP_DATA!$R$5:$R$3027,S$4,INP_DATA!$D$5:$D$3027,$D1365,INP_DATA!$B$5:$B$3027,$B1365)</f>
        <v>0</v>
      </c>
      <c r="T1365" s="235">
        <f>COUNTIFS(INP_DATA!$R$5:$R$3027,T$4,INP_DATA!$D$5:$D$3027,$D1365,INP_DATA!$B$5:$B$3027,$B1365)</f>
        <v>0</v>
      </c>
    </row>
    <row r="1366" spans="1:20" x14ac:dyDescent="0.35">
      <c r="A1366" s="3" t="e">
        <f>IF(D1366="","",(VLOOKUP($D1366,KEY!$B$5:$D$74,3,FALSE)))</f>
        <v>#N/A</v>
      </c>
      <c r="B1366" s="165">
        <f t="shared" si="3"/>
        <v>45627</v>
      </c>
      <c r="C1366" s="57" t="str">
        <f>IF($B1366="","",YEAR($B1366)&amp;"-"&amp;IFERROR(VLOOKUP(MONTH(B1366),KEY!$AE$5:$AF$16,2,FALSE),""))</f>
        <v>2024-Q4</v>
      </c>
      <c r="D1366" s="3" t="s">
        <v>162</v>
      </c>
      <c r="E1366" s="219">
        <v>160</v>
      </c>
      <c r="F1366" s="166">
        <v>425</v>
      </c>
      <c r="G1366" s="166">
        <v>411</v>
      </c>
      <c r="H1366" s="21">
        <v>345</v>
      </c>
      <c r="I1366" s="21">
        <v>73</v>
      </c>
      <c r="J1366" s="21">
        <v>179</v>
      </c>
      <c r="K1366" s="21">
        <v>69</v>
      </c>
      <c r="L1366" s="21">
        <v>984</v>
      </c>
      <c r="M1366" s="21">
        <v>230</v>
      </c>
      <c r="N1366" s="21">
        <v>435</v>
      </c>
      <c r="O1366" s="19">
        <v>660</v>
      </c>
      <c r="P1366" s="22">
        <v>48</v>
      </c>
      <c r="Q1366" s="22">
        <v>37</v>
      </c>
      <c r="R1366" s="20"/>
      <c r="S1366" s="234">
        <f>COUNTIFS(INP_DATA!$R$5:$R$3027,S$4,INP_DATA!$D$5:$D$3027,$D1366,INP_DATA!$B$5:$B$3027,$B1366)</f>
        <v>0</v>
      </c>
      <c r="T1366" s="235">
        <f>COUNTIFS(INP_DATA!$R$5:$R$3027,T$4,INP_DATA!$D$5:$D$3027,$D1366,INP_DATA!$B$5:$B$3027,$B1366)</f>
        <v>0</v>
      </c>
    </row>
    <row r="1367" spans="1:20" x14ac:dyDescent="0.35">
      <c r="A1367" s="3" t="str">
        <f>IF(D1367="","",(VLOOKUP($D1367,KEY!$B$5:$D$74,3,FALSE)))</f>
        <v>Arizona</v>
      </c>
      <c r="B1367" s="165">
        <f t="shared" si="3"/>
        <v>45627</v>
      </c>
      <c r="C1367" s="57" t="str">
        <f>IF($B1367="","",YEAR($B1367)&amp;"-"&amp;IFERROR(VLOOKUP(MONTH(B1367),KEY!$AE$5:$AF$16,2,FALSE),""))</f>
        <v>2024-Q4</v>
      </c>
      <c r="D1367" s="3" t="s">
        <v>163</v>
      </c>
      <c r="E1367" s="219">
        <v>78</v>
      </c>
      <c r="F1367" s="166">
        <v>321</v>
      </c>
      <c r="G1367" s="166">
        <v>270</v>
      </c>
      <c r="H1367" s="21">
        <v>511</v>
      </c>
      <c r="I1367" s="21">
        <v>79</v>
      </c>
      <c r="J1367" s="21">
        <v>183</v>
      </c>
      <c r="K1367" s="21">
        <v>52</v>
      </c>
      <c r="L1367" s="21">
        <v>417</v>
      </c>
      <c r="M1367" s="21">
        <v>192</v>
      </c>
      <c r="N1367" s="21">
        <v>323</v>
      </c>
      <c r="O1367" s="19">
        <v>374</v>
      </c>
      <c r="P1367" s="22">
        <v>12</v>
      </c>
      <c r="Q1367" s="22">
        <v>4</v>
      </c>
      <c r="R1367" s="20"/>
      <c r="S1367" s="234">
        <f>COUNTIFS(INP_DATA!$R$5:$R$3027,S$4,INP_DATA!$D$5:$D$3027,$D1367,INP_DATA!$B$5:$B$3027,$B1367)</f>
        <v>0</v>
      </c>
      <c r="T1367" s="235">
        <f>COUNTIFS(INP_DATA!$R$5:$R$3027,T$4,INP_DATA!$D$5:$D$3027,$D1367,INP_DATA!$B$5:$B$3027,$B1367)</f>
        <v>0</v>
      </c>
    </row>
    <row r="1368" spans="1:20" x14ac:dyDescent="0.35">
      <c r="A1368" s="3" t="str">
        <f>IF(D1368="","",(VLOOKUP($D1368,KEY!$B$5:$D$74,3,FALSE)))</f>
        <v>Arizona</v>
      </c>
      <c r="B1368" s="165">
        <f t="shared" ref="B1368:B1372" si="4">B1367</f>
        <v>45627</v>
      </c>
      <c r="C1368" s="57" t="str">
        <f>IF($B1368="","",YEAR($B1368)&amp;"-"&amp;IFERROR(VLOOKUP(MONTH(B1368),KEY!$AE$5:$AF$16,2,FALSE),""))</f>
        <v>2024-Q4</v>
      </c>
      <c r="D1368" s="3" t="s">
        <v>164</v>
      </c>
      <c r="E1368" s="219">
        <v>13</v>
      </c>
      <c r="F1368" s="166">
        <v>79</v>
      </c>
      <c r="G1368" s="166">
        <v>73</v>
      </c>
      <c r="H1368" s="21">
        <v>94</v>
      </c>
      <c r="I1368" s="21">
        <v>15</v>
      </c>
      <c r="J1368" s="21">
        <v>32</v>
      </c>
      <c r="K1368" s="21">
        <v>11</v>
      </c>
      <c r="L1368" s="21">
        <v>128</v>
      </c>
      <c r="M1368" s="21">
        <v>54</v>
      </c>
      <c r="N1368" s="21">
        <v>80</v>
      </c>
      <c r="O1368" s="19">
        <v>132</v>
      </c>
      <c r="P1368" s="22">
        <v>10</v>
      </c>
      <c r="Q1368" s="22">
        <v>5</v>
      </c>
      <c r="R1368" s="20"/>
      <c r="S1368" s="234">
        <f>COUNTIFS(INP_DATA!$R$5:$R$3027,S$4,INP_DATA!$D$5:$D$3027,$D1368,INP_DATA!$B$5:$B$3027,$B1368)</f>
        <v>0</v>
      </c>
      <c r="T1368" s="235">
        <f>COUNTIFS(INP_DATA!$R$5:$R$3027,T$4,INP_DATA!$D$5:$D$3027,$D1368,INP_DATA!$B$5:$B$3027,$B1368)</f>
        <v>0</v>
      </c>
    </row>
    <row r="1369" spans="1:20" x14ac:dyDescent="0.35">
      <c r="A1369" s="3" t="str">
        <f>IF(D1369="","",(VLOOKUP($D1369,KEY!$B$5:$D$74,3,FALSE)))</f>
        <v>Orange County</v>
      </c>
      <c r="B1369" s="165">
        <f t="shared" si="4"/>
        <v>45627</v>
      </c>
      <c r="C1369" s="57" t="str">
        <f>IF($B1369="","",YEAR($B1369)&amp;"-"&amp;IFERROR(VLOOKUP(MONTH(B1369),KEY!$AE$5:$AF$16,2,FALSE),""))</f>
        <v>2024-Q4</v>
      </c>
      <c r="D1369" s="3" t="s">
        <v>165</v>
      </c>
      <c r="E1369" s="219">
        <v>18</v>
      </c>
      <c r="F1369" s="166">
        <v>79</v>
      </c>
      <c r="G1369" s="166">
        <v>102</v>
      </c>
      <c r="H1369" s="21">
        <v>223</v>
      </c>
      <c r="I1369" s="21">
        <v>23</v>
      </c>
      <c r="J1369" s="21">
        <v>63</v>
      </c>
      <c r="K1369" s="21">
        <v>12</v>
      </c>
      <c r="L1369" s="21">
        <v>138</v>
      </c>
      <c r="M1369" s="21">
        <v>49</v>
      </c>
      <c r="N1369" s="21">
        <v>80</v>
      </c>
      <c r="O1369" s="19">
        <v>176</v>
      </c>
      <c r="P1369" s="22">
        <v>36</v>
      </c>
      <c r="Q1369" s="22">
        <v>21</v>
      </c>
      <c r="R1369" s="20"/>
      <c r="S1369" s="234">
        <f>COUNTIFS(INP_DATA!$R$5:$R$3027,S$4,INP_DATA!$D$5:$D$3027,$D1369,INP_DATA!$B$5:$B$3027,$B1369)</f>
        <v>0</v>
      </c>
      <c r="T1369" s="235">
        <f>COUNTIFS(INP_DATA!$R$5:$R$3027,T$4,INP_DATA!$D$5:$D$3027,$D1369,INP_DATA!$B$5:$B$3027,$B1369)</f>
        <v>0</v>
      </c>
    </row>
    <row r="1370" spans="1:20" x14ac:dyDescent="0.35">
      <c r="A1370" s="3" t="str">
        <f>IF(D1370="","",(VLOOKUP($D1370,KEY!$B$5:$D$74,3,FALSE)))</f>
        <v/>
      </c>
      <c r="B1370" s="165">
        <f t="shared" si="4"/>
        <v>45627</v>
      </c>
      <c r="C1370" s="57" t="str">
        <f>IF($B1370="","",YEAR($B1370)&amp;"-"&amp;IFERROR(VLOOKUP(MONTH(B1370),KEY!$AE$5:$AF$16,2,FALSE),""))</f>
        <v>2024-Q4</v>
      </c>
      <c r="D1370" s="3"/>
      <c r="E1370" s="219"/>
      <c r="F1370" s="166"/>
      <c r="G1370" s="166"/>
      <c r="H1370" s="21"/>
      <c r="I1370" s="21"/>
      <c r="J1370" s="21"/>
      <c r="K1370" s="21"/>
      <c r="L1370" s="21"/>
      <c r="M1370" s="21"/>
      <c r="N1370" s="21"/>
      <c r="O1370" s="19"/>
      <c r="P1370" s="22"/>
      <c r="Q1370" s="22"/>
      <c r="R1370" s="20"/>
      <c r="S1370" s="234">
        <f>COUNTIFS(INP_DATA!$R$5:$R$3027,S$4,INP_DATA!$D$5:$D$3027,$D1370,INP_DATA!$B$5:$B$3027,$B1370)</f>
        <v>0</v>
      </c>
      <c r="T1370" s="235">
        <f>COUNTIFS(INP_DATA!$R$5:$R$3027,T$4,INP_DATA!$D$5:$D$3027,$D1370,INP_DATA!$B$5:$B$3027,$B1370)</f>
        <v>0</v>
      </c>
    </row>
    <row r="1371" spans="1:20" x14ac:dyDescent="0.35">
      <c r="A1371" s="3" t="str">
        <f>IF(D1371="","",(VLOOKUP($D1371,KEY!$B$5:$D$74,3,FALSE)))</f>
        <v/>
      </c>
      <c r="B1371" s="165">
        <f t="shared" si="4"/>
        <v>45627</v>
      </c>
      <c r="C1371" s="57" t="str">
        <f>IF($B1371="","",YEAR($B1371)&amp;"-"&amp;IFERROR(VLOOKUP(MONTH(B1371),KEY!$AE$5:$AF$16,2,FALSE),""))</f>
        <v>2024-Q4</v>
      </c>
      <c r="D1371" s="3"/>
      <c r="E1371" s="219"/>
      <c r="F1371" s="166"/>
      <c r="G1371" s="166"/>
      <c r="H1371" s="21"/>
      <c r="I1371" s="21"/>
      <c r="J1371" s="21"/>
      <c r="K1371" s="21"/>
      <c r="L1371" s="21"/>
      <c r="M1371" s="21"/>
      <c r="N1371" s="21"/>
      <c r="O1371" s="19"/>
      <c r="P1371" s="22"/>
      <c r="Q1371" s="22"/>
      <c r="R1371" s="20"/>
      <c r="S1371" s="234">
        <f>COUNTIFS(INP_DATA!$R$5:$R$3027,S$4,INP_DATA!$D$5:$D$3027,$D1371,INP_DATA!$B$5:$B$3027,$B1371)</f>
        <v>0</v>
      </c>
      <c r="T1371" s="235">
        <f>COUNTIFS(INP_DATA!$R$5:$R$3027,T$4,INP_DATA!$D$5:$D$3027,$D1371,INP_DATA!$B$5:$B$3027,$B1371)</f>
        <v>0</v>
      </c>
    </row>
    <row r="1372" spans="1:20" x14ac:dyDescent="0.35">
      <c r="A1372" s="3" t="str">
        <f>IF(D1372="","",(VLOOKUP($D1372,KEY!$B$5:$D$74,3,FALSE)))</f>
        <v/>
      </c>
      <c r="B1372" s="426">
        <f t="shared" si="4"/>
        <v>45627</v>
      </c>
      <c r="C1372" s="427" t="str">
        <f>IF($B1372="","",YEAR($B1372)&amp;"-"&amp;IFERROR(VLOOKUP(MONTH(B1372),KEY!$AE$5:$AF$16,2,FALSE),""))</f>
        <v>2024-Q4</v>
      </c>
      <c r="D1372" s="428"/>
      <c r="E1372" s="429"/>
      <c r="F1372" s="430"/>
      <c r="G1372" s="430"/>
      <c r="H1372" s="431"/>
      <c r="I1372" s="431"/>
      <c r="J1372" s="431"/>
      <c r="K1372" s="431"/>
      <c r="L1372" s="431"/>
      <c r="M1372" s="431"/>
      <c r="N1372" s="431"/>
      <c r="O1372" s="432"/>
      <c r="P1372" s="433"/>
      <c r="Q1372" s="433"/>
      <c r="R1372" s="20"/>
      <c r="S1372" s="234">
        <f>COUNTIFS(INP_DATA!$R$5:$R$3027,S$4,INP_DATA!$D$5:$D$3027,$D1372,INP_DATA!$B$5:$B$3027,$B1372)</f>
        <v>0</v>
      </c>
      <c r="T1372" s="235">
        <f>COUNTIFS(INP_DATA!$R$5:$R$3027,T$4,INP_DATA!$D$5:$D$3027,$D1372,INP_DATA!$B$5:$B$3027,$B1372)</f>
        <v>0</v>
      </c>
    </row>
    <row r="1373" spans="1:20" x14ac:dyDescent="0.35">
      <c r="A1373" s="3" t="str">
        <f>IF(D1373="","",(VLOOKUP($D1373,KEY!$B$5:$D$74,3,FALSE)))</f>
        <v>Arizona</v>
      </c>
      <c r="B1373" s="165">
        <f>DATE(YEAR(B1372+31),MONTH(B1372+31),1)</f>
        <v>45658</v>
      </c>
      <c r="C1373" s="57" t="str">
        <f>IF($B1373="","",YEAR($B1373)&amp;"-"&amp;IFERROR(VLOOKUP(MONTH(B1373),KEY!$AE$5:$AF$16,2,FALSE),""))</f>
        <v>2025-Q1</v>
      </c>
      <c r="D1373" s="3" t="s">
        <v>111</v>
      </c>
      <c r="E1373" s="219">
        <v>17</v>
      </c>
      <c r="F1373" s="166">
        <v>74</v>
      </c>
      <c r="G1373" s="166">
        <v>68</v>
      </c>
      <c r="H1373" s="21">
        <v>138</v>
      </c>
      <c r="I1373" s="21">
        <v>18</v>
      </c>
      <c r="J1373" s="21">
        <v>49</v>
      </c>
      <c r="K1373" s="21">
        <v>7</v>
      </c>
      <c r="L1373" s="21">
        <v>107</v>
      </c>
      <c r="M1373" s="21">
        <v>46</v>
      </c>
      <c r="N1373" s="21">
        <v>74</v>
      </c>
      <c r="O1373" s="19">
        <v>176</v>
      </c>
      <c r="P1373" s="22">
        <v>3</v>
      </c>
      <c r="Q1373" s="22">
        <v>1</v>
      </c>
      <c r="R1373" s="20"/>
      <c r="S1373" s="234">
        <f>COUNTIFS(INP_DATA!$R$5:$R$3027,S$4,INP_DATA!$D$5:$D$3027,$D1373,INP_DATA!$B$5:$B$3027,$B1373)</f>
        <v>0</v>
      </c>
      <c r="T1373" s="235">
        <f>COUNTIFS(INP_DATA!$R$5:$R$3027,T$4,INP_DATA!$D$5:$D$3027,$D1373,INP_DATA!$B$5:$B$3027,$B1373)</f>
        <v>0</v>
      </c>
    </row>
    <row r="1374" spans="1:20" x14ac:dyDescent="0.35">
      <c r="A1374" s="3" t="str">
        <f>IF(D1374="","",(VLOOKUP($D1374,KEY!$B$5:$D$74,3,FALSE)))</f>
        <v>Southern California</v>
      </c>
      <c r="B1374" s="165">
        <f t="shared" ref="B1374:B1437" si="5">B1373</f>
        <v>45658</v>
      </c>
      <c r="C1374" s="57" t="str">
        <f>IF($B1374="","",YEAR($B1374)&amp;"-"&amp;IFERROR(VLOOKUP(MONTH(B1374),KEY!$AE$5:$AF$16,2,FALSE),""))</f>
        <v>2025-Q1</v>
      </c>
      <c r="D1374" s="3" t="s">
        <v>112</v>
      </c>
      <c r="E1374" s="219">
        <v>11</v>
      </c>
      <c r="F1374" s="166">
        <v>45</v>
      </c>
      <c r="G1374" s="166">
        <v>35</v>
      </c>
      <c r="H1374" s="21">
        <v>66</v>
      </c>
      <c r="I1374" s="21">
        <v>6</v>
      </c>
      <c r="J1374" s="21">
        <v>41</v>
      </c>
      <c r="K1374" s="21">
        <v>10</v>
      </c>
      <c r="L1374" s="21">
        <v>111</v>
      </c>
      <c r="M1374" s="21">
        <v>39</v>
      </c>
      <c r="N1374" s="21">
        <v>45</v>
      </c>
      <c r="O1374" s="19">
        <v>88</v>
      </c>
      <c r="P1374" s="22">
        <v>4</v>
      </c>
      <c r="Q1374" s="22">
        <v>3</v>
      </c>
      <c r="R1374" s="20"/>
      <c r="S1374" s="234">
        <f>COUNTIFS(INP_DATA!$R$5:$R$3027,S$4,INP_DATA!$D$5:$D$3027,$D1374,INP_DATA!$B$5:$B$3027,$B1374)</f>
        <v>0</v>
      </c>
      <c r="T1374" s="235">
        <f>COUNTIFS(INP_DATA!$R$5:$R$3027,T$4,INP_DATA!$D$5:$D$3027,$D1374,INP_DATA!$B$5:$B$3027,$B1374)</f>
        <v>0</v>
      </c>
    </row>
    <row r="1375" spans="1:20" x14ac:dyDescent="0.35">
      <c r="A1375" s="3" t="str">
        <f>IF(D1375="","",(VLOOKUP($D1375,KEY!$B$5:$D$74,3,FALSE)))</f>
        <v>Arizona</v>
      </c>
      <c r="B1375" s="165">
        <f t="shared" si="5"/>
        <v>45658</v>
      </c>
      <c r="C1375" s="57" t="str">
        <f>IF($B1375="","",YEAR($B1375)&amp;"-"&amp;IFERROR(VLOOKUP(MONTH(B1375),KEY!$AE$5:$AF$16,2,FALSE),""))</f>
        <v>2025-Q1</v>
      </c>
      <c r="D1375" s="3" t="s">
        <v>113</v>
      </c>
      <c r="E1375" s="219">
        <v>12</v>
      </c>
      <c r="F1375" s="166">
        <v>58</v>
      </c>
      <c r="G1375" s="166">
        <v>58</v>
      </c>
      <c r="H1375" s="21">
        <v>151</v>
      </c>
      <c r="I1375" s="21">
        <v>25</v>
      </c>
      <c r="J1375" s="21">
        <v>44</v>
      </c>
      <c r="K1375" s="21">
        <v>8</v>
      </c>
      <c r="L1375" s="21">
        <v>134</v>
      </c>
      <c r="M1375" s="21">
        <v>43</v>
      </c>
      <c r="N1375" s="21">
        <v>61</v>
      </c>
      <c r="O1375" s="19">
        <v>132</v>
      </c>
      <c r="P1375" s="22">
        <v>9</v>
      </c>
      <c r="Q1375" s="22">
        <v>7</v>
      </c>
      <c r="R1375" s="20"/>
      <c r="S1375" s="234">
        <f>COUNTIFS(INP_DATA!$R$5:$R$3027,S$4,INP_DATA!$D$5:$D$3027,$D1375,INP_DATA!$B$5:$B$3027,$B1375)</f>
        <v>0</v>
      </c>
      <c r="T1375" s="235">
        <f>COUNTIFS(INP_DATA!$R$5:$R$3027,T$4,INP_DATA!$D$5:$D$3027,$D1375,INP_DATA!$B$5:$B$3027,$B1375)</f>
        <v>0</v>
      </c>
    </row>
    <row r="1376" spans="1:20" x14ac:dyDescent="0.35">
      <c r="A1376" s="3" t="str">
        <f>IF(D1376="","",(VLOOKUP($D1376,KEY!$B$5:$D$74,3,FALSE)))</f>
        <v>Southern California</v>
      </c>
      <c r="B1376" s="165">
        <f t="shared" si="5"/>
        <v>45658</v>
      </c>
      <c r="C1376" s="57" t="str">
        <f>IF($B1376="","",YEAR($B1376)&amp;"-"&amp;IFERROR(VLOOKUP(MONTH(B1376),KEY!$AE$5:$AF$16,2,FALSE),""))</f>
        <v>2025-Q1</v>
      </c>
      <c r="D1376" s="3" t="s">
        <v>114</v>
      </c>
      <c r="E1376" s="219">
        <v>10</v>
      </c>
      <c r="F1376" s="166">
        <v>42</v>
      </c>
      <c r="G1376" s="166">
        <v>52</v>
      </c>
      <c r="H1376" s="21">
        <v>49</v>
      </c>
      <c r="I1376" s="21">
        <v>9</v>
      </c>
      <c r="J1376" s="21">
        <v>29</v>
      </c>
      <c r="K1376" s="21">
        <v>8</v>
      </c>
      <c r="L1376" s="21">
        <v>85</v>
      </c>
      <c r="M1376" s="21">
        <v>30</v>
      </c>
      <c r="N1376" s="21">
        <v>47</v>
      </c>
      <c r="O1376" s="19">
        <v>110</v>
      </c>
      <c r="P1376" s="22">
        <v>20</v>
      </c>
      <c r="Q1376" s="22">
        <v>13</v>
      </c>
      <c r="R1376" s="20"/>
      <c r="S1376" s="234">
        <f>COUNTIFS(INP_DATA!$R$5:$R$3027,S$4,INP_DATA!$D$5:$D$3027,$D1376,INP_DATA!$B$5:$B$3027,$B1376)</f>
        <v>0</v>
      </c>
      <c r="T1376" s="235">
        <f>COUNTIFS(INP_DATA!$R$5:$R$3027,T$4,INP_DATA!$D$5:$D$3027,$D1376,INP_DATA!$B$5:$B$3027,$B1376)</f>
        <v>0</v>
      </c>
    </row>
    <row r="1377" spans="1:20" x14ac:dyDescent="0.35">
      <c r="A1377" s="3" t="str">
        <f>IF(D1377="","",(VLOOKUP($D1377,KEY!$B$5:$D$74,3,FALSE)))</f>
        <v>Orange County</v>
      </c>
      <c r="B1377" s="165">
        <f t="shared" si="5"/>
        <v>45658</v>
      </c>
      <c r="C1377" s="57" t="str">
        <f>IF($B1377="","",YEAR($B1377)&amp;"-"&amp;IFERROR(VLOOKUP(MONTH(B1377),KEY!$AE$5:$AF$16,2,FALSE),""))</f>
        <v>2025-Q1</v>
      </c>
      <c r="D1377" s="3" t="s">
        <v>115</v>
      </c>
      <c r="E1377" s="219">
        <v>10</v>
      </c>
      <c r="F1377" s="166">
        <v>34</v>
      </c>
      <c r="G1377" s="166">
        <v>54</v>
      </c>
      <c r="H1377" s="21">
        <v>69</v>
      </c>
      <c r="I1377" s="21">
        <v>8</v>
      </c>
      <c r="J1377" s="21">
        <v>32</v>
      </c>
      <c r="K1377" s="21">
        <v>9</v>
      </c>
      <c r="L1377" s="21">
        <v>92</v>
      </c>
      <c r="M1377" s="21">
        <v>30</v>
      </c>
      <c r="N1377" s="21">
        <v>34</v>
      </c>
      <c r="O1377" s="19">
        <v>110</v>
      </c>
      <c r="P1377" s="22">
        <v>1</v>
      </c>
      <c r="Q1377" s="22">
        <v>1</v>
      </c>
      <c r="R1377" s="20"/>
      <c r="S1377" s="234">
        <f>COUNTIFS(INP_DATA!$R$5:$R$3027,S$4,INP_DATA!$D$5:$D$3027,$D1377,INP_DATA!$B$5:$B$3027,$B1377)</f>
        <v>0</v>
      </c>
      <c r="T1377" s="235">
        <f>COUNTIFS(INP_DATA!$R$5:$R$3027,T$4,INP_DATA!$D$5:$D$3027,$D1377,INP_DATA!$B$5:$B$3027,$B1377)</f>
        <v>0</v>
      </c>
    </row>
    <row r="1378" spans="1:20" x14ac:dyDescent="0.35">
      <c r="A1378" s="3" t="str">
        <f>IF(D1378="","",(VLOOKUP($D1378,KEY!$B$5:$D$74,3,FALSE)))</f>
        <v>Arizona</v>
      </c>
      <c r="B1378" s="165">
        <f t="shared" si="5"/>
        <v>45658</v>
      </c>
      <c r="C1378" s="57" t="str">
        <f>IF($B1378="","",YEAR($B1378)&amp;"-"&amp;IFERROR(VLOOKUP(MONTH(B1378),KEY!$AE$5:$AF$16,2,FALSE),""))</f>
        <v>2025-Q1</v>
      </c>
      <c r="D1378" s="3" t="s">
        <v>116</v>
      </c>
      <c r="E1378" s="219">
        <v>18</v>
      </c>
      <c r="F1378" s="166">
        <v>108</v>
      </c>
      <c r="G1378" s="166">
        <v>140</v>
      </c>
      <c r="H1378" s="21">
        <v>211</v>
      </c>
      <c r="I1378" s="21">
        <v>32</v>
      </c>
      <c r="J1378" s="21">
        <v>92</v>
      </c>
      <c r="K1378" s="21">
        <v>11</v>
      </c>
      <c r="L1378" s="21">
        <v>152</v>
      </c>
      <c r="M1378" s="21">
        <v>68</v>
      </c>
      <c r="N1378" s="21">
        <v>115</v>
      </c>
      <c r="O1378" s="19">
        <v>198</v>
      </c>
      <c r="P1378" s="22">
        <v>12</v>
      </c>
      <c r="Q1378" s="22">
        <v>9</v>
      </c>
      <c r="R1378" s="20"/>
      <c r="S1378" s="234">
        <f>COUNTIFS(INP_DATA!$R$5:$R$3027,S$4,INP_DATA!$D$5:$D$3027,$D1378,INP_DATA!$B$5:$B$3027,$B1378)</f>
        <v>0</v>
      </c>
      <c r="T1378" s="235">
        <f>COUNTIFS(INP_DATA!$R$5:$R$3027,T$4,INP_DATA!$D$5:$D$3027,$D1378,INP_DATA!$B$5:$B$3027,$B1378)</f>
        <v>0</v>
      </c>
    </row>
    <row r="1379" spans="1:20" x14ac:dyDescent="0.35">
      <c r="A1379" s="3" t="str">
        <f>IF(D1379="","",(VLOOKUP($D1379,KEY!$B$5:$D$74,3,FALSE)))</f>
        <v>Northern California</v>
      </c>
      <c r="B1379" s="165">
        <f t="shared" si="5"/>
        <v>45658</v>
      </c>
      <c r="C1379" s="57" t="str">
        <f>IF($B1379="","",YEAR($B1379)&amp;"-"&amp;IFERROR(VLOOKUP(MONTH(B1379),KEY!$AE$5:$AF$16,2,FALSE),""))</f>
        <v>2025-Q1</v>
      </c>
      <c r="D1379" s="3" t="s">
        <v>118</v>
      </c>
      <c r="E1379" s="219">
        <v>18</v>
      </c>
      <c r="F1379" s="166">
        <v>177</v>
      </c>
      <c r="G1379" s="166">
        <v>165</v>
      </c>
      <c r="H1379" s="21">
        <v>519</v>
      </c>
      <c r="I1379" s="21">
        <v>58</v>
      </c>
      <c r="J1379" s="21">
        <v>125</v>
      </c>
      <c r="K1379" s="21">
        <v>30</v>
      </c>
      <c r="L1379" s="21">
        <v>310</v>
      </c>
      <c r="M1379" s="21">
        <v>81</v>
      </c>
      <c r="N1379" s="21">
        <v>183</v>
      </c>
      <c r="O1379" s="19">
        <v>220</v>
      </c>
      <c r="P1379" s="22">
        <v>39</v>
      </c>
      <c r="Q1379" s="22">
        <v>25</v>
      </c>
      <c r="R1379" s="20"/>
      <c r="S1379" s="234">
        <f>COUNTIFS(INP_DATA!$R$5:$R$3027,S$4,INP_DATA!$D$5:$D$3027,$D1379,INP_DATA!$B$5:$B$3027,$B1379)</f>
        <v>0</v>
      </c>
      <c r="T1379" s="235">
        <f>COUNTIFS(INP_DATA!$R$5:$R$3027,T$4,INP_DATA!$D$5:$D$3027,$D1379,INP_DATA!$B$5:$B$3027,$B1379)</f>
        <v>0</v>
      </c>
    </row>
    <row r="1380" spans="1:20" x14ac:dyDescent="0.35">
      <c r="A1380" s="3" t="str">
        <f>IF(D1380="","",(VLOOKUP($D1380,KEY!$B$5:$D$74,3,FALSE)))</f>
        <v>Orange County</v>
      </c>
      <c r="B1380" s="165">
        <f t="shared" si="5"/>
        <v>45658</v>
      </c>
      <c r="C1380" s="57" t="str">
        <f>IF($B1380="","",YEAR($B1380)&amp;"-"&amp;IFERROR(VLOOKUP(MONTH(B1380),KEY!$AE$5:$AF$16,2,FALSE),""))</f>
        <v>2025-Q1</v>
      </c>
      <c r="D1380" s="3" t="s">
        <v>117</v>
      </c>
      <c r="E1380" s="219">
        <v>13</v>
      </c>
      <c r="F1380" s="166">
        <v>68</v>
      </c>
      <c r="G1380" s="166">
        <v>96</v>
      </c>
      <c r="H1380" s="21">
        <v>134</v>
      </c>
      <c r="I1380" s="21">
        <v>17</v>
      </c>
      <c r="J1380" s="21">
        <v>52</v>
      </c>
      <c r="K1380" s="21">
        <v>18</v>
      </c>
      <c r="L1380" s="21">
        <v>137</v>
      </c>
      <c r="M1380" s="21">
        <v>51</v>
      </c>
      <c r="N1380" s="21">
        <v>71</v>
      </c>
      <c r="O1380" s="19">
        <v>176</v>
      </c>
      <c r="P1380" s="22">
        <v>20</v>
      </c>
      <c r="Q1380" s="22">
        <v>16</v>
      </c>
      <c r="R1380" s="20"/>
      <c r="S1380" s="234">
        <f>COUNTIFS(INP_DATA!$R$5:$R$3027,S$4,INP_DATA!$D$5:$D$3027,$D1380,INP_DATA!$B$5:$B$3027,$B1380)</f>
        <v>0</v>
      </c>
      <c r="T1380" s="235">
        <f>COUNTIFS(INP_DATA!$R$5:$R$3027,T$4,INP_DATA!$D$5:$D$3027,$D1380,INP_DATA!$B$5:$B$3027,$B1380)</f>
        <v>0</v>
      </c>
    </row>
    <row r="1381" spans="1:20" x14ac:dyDescent="0.35">
      <c r="A1381" s="3" t="str">
        <f>IF(D1381="","",(VLOOKUP($D1381,KEY!$B$5:$D$74,3,FALSE)))</f>
        <v>Arizona</v>
      </c>
      <c r="B1381" s="165">
        <f t="shared" si="5"/>
        <v>45658</v>
      </c>
      <c r="C1381" s="57" t="str">
        <f>IF($B1381="","",YEAR($B1381)&amp;"-"&amp;IFERROR(VLOOKUP(MONTH(B1381),KEY!$AE$5:$AF$16,2,FALSE),""))</f>
        <v>2025-Q1</v>
      </c>
      <c r="D1381" s="3" t="s">
        <v>119</v>
      </c>
      <c r="E1381" s="219">
        <v>10</v>
      </c>
      <c r="F1381" s="166">
        <v>28</v>
      </c>
      <c r="G1381" s="166">
        <v>23</v>
      </c>
      <c r="H1381" s="21">
        <v>34</v>
      </c>
      <c r="I1381" s="21">
        <v>7</v>
      </c>
      <c r="J1381" s="21">
        <v>18</v>
      </c>
      <c r="K1381" s="21">
        <v>5</v>
      </c>
      <c r="L1381" s="21">
        <v>123</v>
      </c>
      <c r="M1381" s="21">
        <v>13</v>
      </c>
      <c r="N1381" s="21">
        <v>26</v>
      </c>
      <c r="O1381" s="19">
        <v>88</v>
      </c>
      <c r="P1381" s="22">
        <v>2</v>
      </c>
      <c r="Q1381" s="22">
        <v>0</v>
      </c>
      <c r="R1381" s="20"/>
      <c r="S1381" s="234">
        <f>COUNTIFS(INP_DATA!$R$5:$R$3027,S$4,INP_DATA!$D$5:$D$3027,$D1381,INP_DATA!$B$5:$B$3027,$B1381)</f>
        <v>0</v>
      </c>
      <c r="T1381" s="235">
        <f>COUNTIFS(INP_DATA!$R$5:$R$3027,T$4,INP_DATA!$D$5:$D$3027,$D1381,INP_DATA!$B$5:$B$3027,$B1381)</f>
        <v>0</v>
      </c>
    </row>
    <row r="1382" spans="1:20" x14ac:dyDescent="0.35">
      <c r="A1382" s="3" t="str">
        <f>IF(D1382="","",(VLOOKUP($D1382,KEY!$B$5:$D$74,3,FALSE)))</f>
        <v/>
      </c>
      <c r="B1382" s="165">
        <f t="shared" si="5"/>
        <v>45658</v>
      </c>
      <c r="C1382" s="57" t="str">
        <f>IF($B1382="","",YEAR($B1382)&amp;"-"&amp;IFERROR(VLOOKUP(MONTH(B1382),KEY!$AE$5:$AF$16,2,FALSE),""))</f>
        <v>2025-Q1</v>
      </c>
      <c r="D1382" s="3"/>
      <c r="E1382" s="219"/>
      <c r="F1382" s="166"/>
      <c r="G1382" s="166"/>
      <c r="H1382" s="21"/>
      <c r="I1382" s="21"/>
      <c r="J1382" s="21"/>
      <c r="K1382" s="21"/>
      <c r="L1382" s="21"/>
      <c r="M1382" s="21"/>
      <c r="N1382" s="21"/>
      <c r="O1382" s="19"/>
      <c r="P1382" s="22"/>
      <c r="Q1382" s="22"/>
      <c r="R1382" s="20"/>
      <c r="S1382" s="234">
        <f>COUNTIFS(INP_DATA!$R$5:$R$3027,S$4,INP_DATA!$D$5:$D$3027,$D1382,INP_DATA!$B$5:$B$3027,$B1382)</f>
        <v>0</v>
      </c>
      <c r="T1382" s="235">
        <f>COUNTIFS(INP_DATA!$R$5:$R$3027,T$4,INP_DATA!$D$5:$D$3027,$D1382,INP_DATA!$B$5:$B$3027,$B1382)</f>
        <v>0</v>
      </c>
    </row>
    <row r="1383" spans="1:20" x14ac:dyDescent="0.35">
      <c r="A1383" s="3" t="str">
        <f>IF(D1383="","",(VLOOKUP($D1383,KEY!$B$5:$D$74,3,FALSE)))</f>
        <v>Arizona</v>
      </c>
      <c r="B1383" s="165">
        <f t="shared" si="5"/>
        <v>45658</v>
      </c>
      <c r="C1383" s="57" t="str">
        <f>IF($B1383="","",YEAR($B1383)&amp;"-"&amp;IFERROR(VLOOKUP(MONTH(B1383),KEY!$AE$5:$AF$16,2,FALSE),""))</f>
        <v>2025-Q1</v>
      </c>
      <c r="D1383" s="3" t="s">
        <v>120</v>
      </c>
      <c r="E1383" s="219">
        <v>58</v>
      </c>
      <c r="F1383" s="166">
        <v>304</v>
      </c>
      <c r="G1383" s="166">
        <v>287</v>
      </c>
      <c r="H1383" s="21">
        <v>666</v>
      </c>
      <c r="I1383" s="21">
        <v>77</v>
      </c>
      <c r="J1383" s="21">
        <v>258</v>
      </c>
      <c r="K1383" s="21">
        <v>37</v>
      </c>
      <c r="L1383" s="21">
        <v>525</v>
      </c>
      <c r="M1383" s="21">
        <v>181</v>
      </c>
      <c r="N1383" s="21">
        <v>306</v>
      </c>
      <c r="O1383" s="19">
        <v>594</v>
      </c>
      <c r="P1383" s="22">
        <v>60</v>
      </c>
      <c r="Q1383" s="22">
        <v>40</v>
      </c>
      <c r="R1383" s="20"/>
      <c r="S1383" s="234">
        <f>COUNTIFS(INP_DATA!$R$5:$R$3027,S$4,INP_DATA!$D$5:$D$3027,$D1383,INP_DATA!$B$5:$B$3027,$B1383)</f>
        <v>0</v>
      </c>
      <c r="T1383" s="235">
        <f>COUNTIFS(INP_DATA!$R$5:$R$3027,T$4,INP_DATA!$D$5:$D$3027,$D1383,INP_DATA!$B$5:$B$3027,$B1383)</f>
        <v>0</v>
      </c>
    </row>
    <row r="1384" spans="1:20" x14ac:dyDescent="0.35">
      <c r="A1384" s="3" t="str">
        <f>IF(D1384="","",(VLOOKUP($D1384,KEY!$B$5:$D$74,3,FALSE)))</f>
        <v>Texas</v>
      </c>
      <c r="B1384" s="165">
        <f t="shared" si="5"/>
        <v>45658</v>
      </c>
      <c r="C1384" s="57" t="str">
        <f>IF($B1384="","",YEAR($B1384)&amp;"-"&amp;IFERROR(VLOOKUP(MONTH(B1384),KEY!$AE$5:$AF$16,2,FALSE),""))</f>
        <v>2025-Q1</v>
      </c>
      <c r="D1384" s="3" t="s">
        <v>121</v>
      </c>
      <c r="E1384" s="219">
        <v>35</v>
      </c>
      <c r="F1384" s="166">
        <v>220</v>
      </c>
      <c r="G1384" s="166">
        <v>215</v>
      </c>
      <c r="H1384" s="21">
        <v>587</v>
      </c>
      <c r="I1384" s="21">
        <v>69</v>
      </c>
      <c r="J1384" s="21">
        <v>214</v>
      </c>
      <c r="K1384" s="21">
        <v>31</v>
      </c>
      <c r="L1384" s="21">
        <v>461</v>
      </c>
      <c r="M1384" s="21">
        <v>132</v>
      </c>
      <c r="N1384" s="21">
        <v>227</v>
      </c>
      <c r="O1384" s="19">
        <v>528</v>
      </c>
      <c r="P1384" s="22">
        <v>18</v>
      </c>
      <c r="Q1384" s="22">
        <v>13</v>
      </c>
      <c r="R1384" s="20"/>
      <c r="S1384" s="234">
        <f>COUNTIFS(INP_DATA!$R$5:$R$3027,S$4,INP_DATA!$D$5:$D$3027,$D1384,INP_DATA!$B$5:$B$3027,$B1384)</f>
        <v>0</v>
      </c>
      <c r="T1384" s="235">
        <f>COUNTIFS(INP_DATA!$R$5:$R$3027,T$4,INP_DATA!$D$5:$D$3027,$D1384,INP_DATA!$B$5:$B$3027,$B1384)</f>
        <v>0</v>
      </c>
    </row>
    <row r="1385" spans="1:20" x14ac:dyDescent="0.35">
      <c r="A1385" s="3" t="str">
        <f>IF(D1385="","",(VLOOKUP($D1385,KEY!$B$5:$D$74,3,FALSE)))</f>
        <v>Michigan &amp; Minnesota</v>
      </c>
      <c r="B1385" s="165">
        <f t="shared" si="5"/>
        <v>45658</v>
      </c>
      <c r="C1385" s="57" t="str">
        <f>IF($B1385="","",YEAR($B1385)&amp;"-"&amp;IFERROR(VLOOKUP(MONTH(B1385),KEY!$AE$5:$AF$16,2,FALSE),""))</f>
        <v>2025-Q1</v>
      </c>
      <c r="D1385" s="3" t="s">
        <v>200</v>
      </c>
      <c r="E1385" s="219">
        <v>8</v>
      </c>
      <c r="F1385" s="166">
        <v>118</v>
      </c>
      <c r="G1385" s="166">
        <v>96</v>
      </c>
      <c r="H1385" s="21">
        <v>249</v>
      </c>
      <c r="I1385" s="21">
        <v>27</v>
      </c>
      <c r="J1385" s="21">
        <v>140</v>
      </c>
      <c r="K1385" s="21">
        <v>23</v>
      </c>
      <c r="L1385" s="21">
        <v>232</v>
      </c>
      <c r="M1385" s="21">
        <v>71</v>
      </c>
      <c r="N1385" s="21">
        <v>119</v>
      </c>
      <c r="O1385" s="19">
        <v>308</v>
      </c>
      <c r="P1385" s="22">
        <v>17</v>
      </c>
      <c r="Q1385" s="22">
        <v>0</v>
      </c>
      <c r="R1385" s="20"/>
      <c r="S1385" s="234">
        <f>COUNTIFS(INP_DATA!$R$5:$R$3027,S$4,INP_DATA!$D$5:$D$3027,$D1385,INP_DATA!$B$5:$B$3027,$B1385)</f>
        <v>0</v>
      </c>
      <c r="T1385" s="235">
        <f>COUNTIFS(INP_DATA!$R$5:$R$3027,T$4,INP_DATA!$D$5:$D$3027,$D1385,INP_DATA!$B$5:$B$3027,$B1385)</f>
        <v>0</v>
      </c>
    </row>
    <row r="1386" spans="1:20" x14ac:dyDescent="0.35">
      <c r="A1386" s="3" t="str">
        <f>IF(D1386="","",(VLOOKUP($D1386,KEY!$B$5:$D$74,3,FALSE)))</f>
        <v>Southern California</v>
      </c>
      <c r="B1386" s="165">
        <f t="shared" si="5"/>
        <v>45658</v>
      </c>
      <c r="C1386" s="57" t="str">
        <f>IF($B1386="","",YEAR($B1386)&amp;"-"&amp;IFERROR(VLOOKUP(MONTH(B1386),KEY!$AE$5:$AF$16,2,FALSE),""))</f>
        <v>2025-Q1</v>
      </c>
      <c r="D1386" s="3" t="s">
        <v>122</v>
      </c>
      <c r="E1386" s="219">
        <v>13</v>
      </c>
      <c r="F1386" s="166">
        <v>77</v>
      </c>
      <c r="G1386" s="166">
        <v>80</v>
      </c>
      <c r="H1386" s="21">
        <v>247</v>
      </c>
      <c r="I1386" s="21">
        <v>35</v>
      </c>
      <c r="J1386" s="21">
        <v>101</v>
      </c>
      <c r="K1386" s="21">
        <v>10</v>
      </c>
      <c r="L1386" s="21">
        <v>125</v>
      </c>
      <c r="M1386" s="21">
        <v>41</v>
      </c>
      <c r="N1386" s="21">
        <v>79</v>
      </c>
      <c r="O1386" s="19">
        <v>176</v>
      </c>
      <c r="P1386" s="22">
        <v>12</v>
      </c>
      <c r="Q1386" s="22">
        <v>4</v>
      </c>
      <c r="R1386" s="20"/>
      <c r="S1386" s="234">
        <f>COUNTIFS(INP_DATA!$R$5:$R$3027,S$4,INP_DATA!$D$5:$D$3027,$D1386,INP_DATA!$B$5:$B$3027,$B1386)</f>
        <v>0</v>
      </c>
      <c r="T1386" s="235">
        <f>COUNTIFS(INP_DATA!$R$5:$R$3027,T$4,INP_DATA!$D$5:$D$3027,$D1386,INP_DATA!$B$5:$B$3027,$B1386)</f>
        <v>0</v>
      </c>
    </row>
    <row r="1387" spans="1:20" x14ac:dyDescent="0.35">
      <c r="A1387" s="3" t="str">
        <f>IF(D1387="","",(VLOOKUP($D1387,KEY!$B$5:$D$74,3,FALSE)))</f>
        <v>Orange County</v>
      </c>
      <c r="B1387" s="165">
        <f t="shared" si="5"/>
        <v>45658</v>
      </c>
      <c r="C1387" s="57" t="str">
        <f>IF($B1387="","",YEAR($B1387)&amp;"-"&amp;IFERROR(VLOOKUP(MONTH(B1387),KEY!$AE$5:$AF$16,2,FALSE),""))</f>
        <v>2025-Q1</v>
      </c>
      <c r="D1387" s="3" t="s">
        <v>123</v>
      </c>
      <c r="E1387" s="219">
        <v>52</v>
      </c>
      <c r="F1387" s="166">
        <v>216</v>
      </c>
      <c r="G1387" s="166">
        <v>187</v>
      </c>
      <c r="H1387" s="21">
        <v>312</v>
      </c>
      <c r="I1387" s="21">
        <v>40</v>
      </c>
      <c r="J1387" s="21">
        <v>133</v>
      </c>
      <c r="K1387" s="21">
        <v>37</v>
      </c>
      <c r="L1387" s="21">
        <v>384</v>
      </c>
      <c r="M1387" s="21">
        <v>164</v>
      </c>
      <c r="N1387" s="21">
        <v>218</v>
      </c>
      <c r="O1387" s="19">
        <v>374</v>
      </c>
      <c r="P1387" s="22">
        <v>37</v>
      </c>
      <c r="Q1387" s="22">
        <v>23</v>
      </c>
      <c r="R1387" s="20"/>
      <c r="S1387" s="234">
        <f>COUNTIFS(INP_DATA!$R$5:$R$3027,S$4,INP_DATA!$D$5:$D$3027,$D1387,INP_DATA!$B$5:$B$3027,$B1387)</f>
        <v>0</v>
      </c>
      <c r="T1387" s="235">
        <f>COUNTIFS(INP_DATA!$R$5:$R$3027,T$4,INP_DATA!$D$5:$D$3027,$D1387,INP_DATA!$B$5:$B$3027,$B1387)</f>
        <v>0</v>
      </c>
    </row>
    <row r="1388" spans="1:20" x14ac:dyDescent="0.35">
      <c r="A1388" s="3" t="str">
        <f>IF(D1388="","",(VLOOKUP($D1388,KEY!$B$5:$D$74,3,FALSE)))</f>
        <v>Southern California</v>
      </c>
      <c r="B1388" s="165">
        <f t="shared" si="5"/>
        <v>45658</v>
      </c>
      <c r="C1388" s="57" t="str">
        <f>IF($B1388="","",YEAR($B1388)&amp;"-"&amp;IFERROR(VLOOKUP(MONTH(B1388),KEY!$AE$5:$AF$16,2,FALSE),""))</f>
        <v>2025-Q1</v>
      </c>
      <c r="D1388" s="3" t="s">
        <v>124</v>
      </c>
      <c r="E1388" s="219">
        <v>58</v>
      </c>
      <c r="F1388" s="166">
        <v>210</v>
      </c>
      <c r="G1388" s="166">
        <v>198</v>
      </c>
      <c r="H1388" s="21">
        <v>271</v>
      </c>
      <c r="I1388" s="21">
        <v>53</v>
      </c>
      <c r="J1388" s="21">
        <v>188</v>
      </c>
      <c r="K1388" s="21">
        <v>33</v>
      </c>
      <c r="L1388" s="21">
        <v>348</v>
      </c>
      <c r="M1388" s="21">
        <v>134</v>
      </c>
      <c r="N1388" s="21">
        <v>210</v>
      </c>
      <c r="O1388" s="19">
        <v>462</v>
      </c>
      <c r="P1388" s="22">
        <v>84</v>
      </c>
      <c r="Q1388" s="22">
        <v>64</v>
      </c>
      <c r="R1388" s="20"/>
      <c r="S1388" s="234">
        <f>COUNTIFS(INP_DATA!$R$5:$R$3027,S$4,INP_DATA!$D$5:$D$3027,$D1388,INP_DATA!$B$5:$B$3027,$B1388)</f>
        <v>0</v>
      </c>
      <c r="T1388" s="235">
        <f>COUNTIFS(INP_DATA!$R$5:$R$3027,T$4,INP_DATA!$D$5:$D$3027,$D1388,INP_DATA!$B$5:$B$3027,$B1388)</f>
        <v>0</v>
      </c>
    </row>
    <row r="1389" spans="1:20" x14ac:dyDescent="0.35">
      <c r="A1389" s="3" t="str">
        <f>IF(D1389="","",(VLOOKUP($D1389,KEY!$B$5:$D$74,3,FALSE)))</f>
        <v>Northern California</v>
      </c>
      <c r="B1389" s="165">
        <f t="shared" si="5"/>
        <v>45658</v>
      </c>
      <c r="C1389" s="57" t="str">
        <f>IF($B1389="","",YEAR($B1389)&amp;"-"&amp;IFERROR(VLOOKUP(MONTH(B1389),KEY!$AE$5:$AF$16,2,FALSE),""))</f>
        <v>2025-Q1</v>
      </c>
      <c r="D1389" s="3" t="s">
        <v>195</v>
      </c>
      <c r="E1389" s="219">
        <v>7</v>
      </c>
      <c r="F1389" s="166">
        <v>52</v>
      </c>
      <c r="G1389" s="166">
        <v>44</v>
      </c>
      <c r="H1389" s="21">
        <v>131</v>
      </c>
      <c r="I1389" s="21">
        <v>25</v>
      </c>
      <c r="J1389" s="21">
        <v>30</v>
      </c>
      <c r="K1389" s="21">
        <v>6</v>
      </c>
      <c r="L1389" s="21">
        <v>134</v>
      </c>
      <c r="M1389" s="21">
        <v>36</v>
      </c>
      <c r="N1389" s="21">
        <v>52</v>
      </c>
      <c r="O1389" s="19">
        <v>132</v>
      </c>
      <c r="P1389" s="22">
        <v>2</v>
      </c>
      <c r="Q1389" s="22">
        <v>2</v>
      </c>
      <c r="R1389" s="20"/>
      <c r="S1389" s="234">
        <f>COUNTIFS(INP_DATA!$R$5:$R$3027,S$4,INP_DATA!$D$5:$D$3027,$D1389,INP_DATA!$B$5:$B$3027,$B1389)</f>
        <v>0</v>
      </c>
      <c r="T1389" s="235">
        <f>COUNTIFS(INP_DATA!$R$5:$R$3027,T$4,INP_DATA!$D$5:$D$3027,$D1389,INP_DATA!$B$5:$B$3027,$B1389)</f>
        <v>0</v>
      </c>
    </row>
    <row r="1390" spans="1:20" x14ac:dyDescent="0.35">
      <c r="A1390" s="3" t="str">
        <f>IF(D1390="","",(VLOOKUP($D1390,KEY!$B$5:$D$74,3,FALSE)))</f>
        <v>Northern California</v>
      </c>
      <c r="B1390" s="165">
        <f t="shared" si="5"/>
        <v>45658</v>
      </c>
      <c r="C1390" s="57" t="str">
        <f>IF($B1390="","",YEAR($B1390)&amp;"-"&amp;IFERROR(VLOOKUP(MONTH(B1390),KEY!$AE$5:$AF$16,2,FALSE),""))</f>
        <v>2025-Q1</v>
      </c>
      <c r="D1390" s="3" t="s">
        <v>125</v>
      </c>
      <c r="E1390" s="219">
        <v>45</v>
      </c>
      <c r="F1390" s="166">
        <v>217</v>
      </c>
      <c r="G1390" s="166">
        <v>210</v>
      </c>
      <c r="H1390" s="21">
        <v>421</v>
      </c>
      <c r="I1390" s="21">
        <v>57</v>
      </c>
      <c r="J1390" s="21">
        <v>125</v>
      </c>
      <c r="K1390" s="21">
        <v>32</v>
      </c>
      <c r="L1390" s="21">
        <v>432</v>
      </c>
      <c r="M1390" s="21">
        <v>92</v>
      </c>
      <c r="N1390" s="21">
        <v>226</v>
      </c>
      <c r="O1390" s="19">
        <v>352</v>
      </c>
      <c r="P1390" s="22">
        <v>17</v>
      </c>
      <c r="Q1390" s="22">
        <v>12</v>
      </c>
      <c r="R1390" s="20"/>
      <c r="S1390" s="234">
        <f>COUNTIFS(INP_DATA!$R$5:$R$3027,S$4,INP_DATA!$D$5:$D$3027,$D1390,INP_DATA!$B$5:$B$3027,$B1390)</f>
        <v>0</v>
      </c>
      <c r="T1390" s="235">
        <f>COUNTIFS(INP_DATA!$R$5:$R$3027,T$4,INP_DATA!$D$5:$D$3027,$D1390,INP_DATA!$B$5:$B$3027,$B1390)</f>
        <v>0</v>
      </c>
    </row>
    <row r="1391" spans="1:20" x14ac:dyDescent="0.35">
      <c r="A1391" s="3" t="str">
        <f>IF(D1391="","",(VLOOKUP($D1391,KEY!$B$5:$D$74,3,FALSE)))</f>
        <v>Orange County</v>
      </c>
      <c r="B1391" s="165">
        <f t="shared" si="5"/>
        <v>45658</v>
      </c>
      <c r="C1391" s="57" t="str">
        <f>IF($B1391="","",YEAR($B1391)&amp;"-"&amp;IFERROR(VLOOKUP(MONTH(B1391),KEY!$AE$5:$AF$16,2,FALSE),""))</f>
        <v>2025-Q1</v>
      </c>
      <c r="D1391" s="3" t="s">
        <v>126</v>
      </c>
      <c r="E1391" s="219">
        <v>64</v>
      </c>
      <c r="F1391" s="166">
        <v>406</v>
      </c>
      <c r="G1391" s="166">
        <v>379</v>
      </c>
      <c r="H1391" s="21">
        <v>522</v>
      </c>
      <c r="I1391" s="21">
        <v>92</v>
      </c>
      <c r="J1391" s="21">
        <v>446</v>
      </c>
      <c r="K1391" s="21">
        <v>116</v>
      </c>
      <c r="L1391" s="21">
        <v>653</v>
      </c>
      <c r="M1391" s="21">
        <v>268</v>
      </c>
      <c r="N1391" s="21">
        <v>407</v>
      </c>
      <c r="O1391" s="19">
        <v>682</v>
      </c>
      <c r="P1391" s="22">
        <v>127</v>
      </c>
      <c r="Q1391" s="22">
        <v>85</v>
      </c>
      <c r="R1391" s="20"/>
      <c r="S1391" s="234">
        <f>COUNTIFS(INP_DATA!$R$5:$R$3027,S$4,INP_DATA!$D$5:$D$3027,$D1391,INP_DATA!$B$5:$B$3027,$B1391)</f>
        <v>0</v>
      </c>
      <c r="T1391" s="235">
        <f>COUNTIFS(INP_DATA!$R$5:$R$3027,T$4,INP_DATA!$D$5:$D$3027,$D1391,INP_DATA!$B$5:$B$3027,$B1391)</f>
        <v>0</v>
      </c>
    </row>
    <row r="1392" spans="1:20" x14ac:dyDescent="0.35">
      <c r="A1392" s="3" t="str">
        <f>IF(D1392="","",(VLOOKUP($D1392,KEY!$B$5:$D$74,3,FALSE)))</f>
        <v>Orange County</v>
      </c>
      <c r="B1392" s="165">
        <f t="shared" si="5"/>
        <v>45658</v>
      </c>
      <c r="C1392" s="57" t="str">
        <f>IF($B1392="","",YEAR($B1392)&amp;"-"&amp;IFERROR(VLOOKUP(MONTH(B1392),KEY!$AE$5:$AF$16,2,FALSE),""))</f>
        <v>2025-Q1</v>
      </c>
      <c r="D1392" s="3" t="s">
        <v>127</v>
      </c>
      <c r="E1392" s="219">
        <v>12</v>
      </c>
      <c r="F1392" s="166">
        <v>44</v>
      </c>
      <c r="G1392" s="166">
        <v>47</v>
      </c>
      <c r="H1392" s="21">
        <v>65</v>
      </c>
      <c r="I1392" s="21">
        <v>12</v>
      </c>
      <c r="J1392" s="21">
        <v>26</v>
      </c>
      <c r="K1392" s="21">
        <v>9</v>
      </c>
      <c r="L1392" s="21">
        <v>60</v>
      </c>
      <c r="M1392" s="21">
        <v>37</v>
      </c>
      <c r="N1392" s="21">
        <v>44</v>
      </c>
      <c r="O1392" s="19">
        <v>88</v>
      </c>
      <c r="P1392" s="22">
        <v>15</v>
      </c>
      <c r="Q1392" s="22">
        <v>9</v>
      </c>
      <c r="R1392" s="20"/>
      <c r="S1392" s="234">
        <f>COUNTIFS(INP_DATA!$R$5:$R$3027,S$4,INP_DATA!$D$5:$D$3027,$D1392,INP_DATA!$B$5:$B$3027,$B1392)</f>
        <v>0</v>
      </c>
      <c r="T1392" s="235">
        <f>COUNTIFS(INP_DATA!$R$5:$R$3027,T$4,INP_DATA!$D$5:$D$3027,$D1392,INP_DATA!$B$5:$B$3027,$B1392)</f>
        <v>0</v>
      </c>
    </row>
    <row r="1393" spans="1:20" x14ac:dyDescent="0.35">
      <c r="A1393" s="3" t="str">
        <f>IF(D1393="","",(VLOOKUP($D1393,KEY!$B$5:$D$74,3,FALSE)))</f>
        <v>Wisconsin</v>
      </c>
      <c r="B1393" s="165">
        <f t="shared" si="5"/>
        <v>45658</v>
      </c>
      <c r="C1393" s="57" t="str">
        <f>IF($B1393="","",YEAR($B1393)&amp;"-"&amp;IFERROR(VLOOKUP(MONTH(B1393),KEY!$AE$5:$AF$16,2,FALSE),""))</f>
        <v>2025-Q1</v>
      </c>
      <c r="D1393" s="3" t="s">
        <v>201</v>
      </c>
      <c r="E1393" s="219">
        <v>13</v>
      </c>
      <c r="F1393" s="166">
        <v>197</v>
      </c>
      <c r="G1393" s="166">
        <v>191</v>
      </c>
      <c r="H1393" s="21">
        <v>296</v>
      </c>
      <c r="I1393" s="21">
        <v>48</v>
      </c>
      <c r="J1393" s="21">
        <v>203</v>
      </c>
      <c r="K1393" s="21">
        <v>31</v>
      </c>
      <c r="L1393" s="21">
        <v>239</v>
      </c>
      <c r="M1393" s="21">
        <v>83</v>
      </c>
      <c r="N1393" s="21">
        <v>197</v>
      </c>
      <c r="O1393" s="19">
        <v>286</v>
      </c>
      <c r="P1393" s="22">
        <v>18</v>
      </c>
      <c r="Q1393" s="22">
        <v>12</v>
      </c>
      <c r="R1393" s="20"/>
      <c r="S1393" s="234">
        <f>COUNTIFS(INP_DATA!$R$5:$R$3027,S$4,INP_DATA!$D$5:$D$3027,$D1393,INP_DATA!$B$5:$B$3027,$B1393)</f>
        <v>0</v>
      </c>
      <c r="T1393" s="235">
        <f>COUNTIFS(INP_DATA!$R$5:$R$3027,T$4,INP_DATA!$D$5:$D$3027,$D1393,INP_DATA!$B$5:$B$3027,$B1393)</f>
        <v>0</v>
      </c>
    </row>
    <row r="1394" spans="1:20" x14ac:dyDescent="0.35">
      <c r="A1394" s="3" t="e">
        <f>IF(D1394="","",(VLOOKUP($D1394,KEY!$B$5:$D$74,3,FALSE)))</f>
        <v>#N/A</v>
      </c>
      <c r="B1394" s="165">
        <f t="shared" si="5"/>
        <v>45658</v>
      </c>
      <c r="C1394" s="57" t="str">
        <f>IF($B1394="","",YEAR($B1394)&amp;"-"&amp;IFERROR(VLOOKUP(MONTH(B1394),KEY!$AE$5:$AF$16,2,FALSE),""))</f>
        <v>2025-Q1</v>
      </c>
      <c r="D1394" s="3" t="s">
        <v>202</v>
      </c>
      <c r="E1394" s="219">
        <v>2</v>
      </c>
      <c r="F1394" s="166">
        <v>36</v>
      </c>
      <c r="G1394" s="166">
        <v>39</v>
      </c>
      <c r="H1394" s="21">
        <v>78</v>
      </c>
      <c r="I1394" s="21">
        <v>15</v>
      </c>
      <c r="J1394" s="21">
        <v>29</v>
      </c>
      <c r="K1394" s="21">
        <v>4</v>
      </c>
      <c r="L1394" s="21">
        <v>44</v>
      </c>
      <c r="M1394" s="21">
        <v>27</v>
      </c>
      <c r="N1394" s="21">
        <v>36</v>
      </c>
      <c r="O1394" s="19">
        <v>66</v>
      </c>
      <c r="P1394" s="22">
        <v>9</v>
      </c>
      <c r="Q1394" s="22">
        <v>0</v>
      </c>
      <c r="R1394" s="20"/>
      <c r="S1394" s="234">
        <f>COUNTIFS(INP_DATA!$R$5:$R$3027,S$4,INP_DATA!$D$5:$D$3027,$D1394,INP_DATA!$B$5:$B$3027,$B1394)</f>
        <v>0</v>
      </c>
      <c r="T1394" s="235">
        <f>COUNTIFS(INP_DATA!$R$5:$R$3027,T$4,INP_DATA!$D$5:$D$3027,$D1394,INP_DATA!$B$5:$B$3027,$B1394)</f>
        <v>0</v>
      </c>
    </row>
    <row r="1395" spans="1:20" x14ac:dyDescent="0.35">
      <c r="A1395" s="3" t="str">
        <f>IF(D1395="","",(VLOOKUP($D1395,KEY!$B$5:$D$74,3,FALSE)))</f>
        <v>Texas</v>
      </c>
      <c r="B1395" s="165">
        <f t="shared" si="5"/>
        <v>45658</v>
      </c>
      <c r="C1395" s="57" t="str">
        <f>IF($B1395="","",YEAR($B1395)&amp;"-"&amp;IFERROR(VLOOKUP(MONTH(B1395),KEY!$AE$5:$AF$16,2,FALSE),""))</f>
        <v>2025-Q1</v>
      </c>
      <c r="D1395" s="3" t="s">
        <v>198</v>
      </c>
      <c r="E1395" s="219">
        <v>2</v>
      </c>
      <c r="F1395" s="166">
        <v>58</v>
      </c>
      <c r="G1395" s="166">
        <v>40</v>
      </c>
      <c r="H1395" s="21">
        <v>194</v>
      </c>
      <c r="I1395" s="21">
        <v>22</v>
      </c>
      <c r="J1395" s="21">
        <v>90</v>
      </c>
      <c r="K1395" s="21">
        <v>9</v>
      </c>
      <c r="L1395" s="21">
        <v>93</v>
      </c>
      <c r="M1395" s="21">
        <v>33</v>
      </c>
      <c r="N1395" s="21">
        <v>58</v>
      </c>
      <c r="O1395" s="19">
        <v>176</v>
      </c>
      <c r="P1395" s="22">
        <v>1</v>
      </c>
      <c r="Q1395" s="22">
        <v>0</v>
      </c>
      <c r="R1395" s="20"/>
      <c r="S1395" s="234">
        <f>COUNTIFS(INP_DATA!$R$5:$R$3027,S$4,INP_DATA!$D$5:$D$3027,$D1395,INP_DATA!$B$5:$B$3027,$B1395)</f>
        <v>0</v>
      </c>
      <c r="T1395" s="235">
        <f>COUNTIFS(INP_DATA!$R$5:$R$3027,T$4,INP_DATA!$D$5:$D$3027,$D1395,INP_DATA!$B$5:$B$3027,$B1395)</f>
        <v>0</v>
      </c>
    </row>
    <row r="1396" spans="1:20" x14ac:dyDescent="0.35">
      <c r="A1396" s="3" t="str">
        <f>IF(D1396="","",(VLOOKUP($D1396,KEY!$B$5:$D$74,3,FALSE)))</f>
        <v>Texas</v>
      </c>
      <c r="B1396" s="165">
        <f t="shared" si="5"/>
        <v>45658</v>
      </c>
      <c r="C1396" s="57" t="str">
        <f>IF($B1396="","",YEAR($B1396)&amp;"-"&amp;IFERROR(VLOOKUP(MONTH(B1396),KEY!$AE$5:$AF$16,2,FALSE),""))</f>
        <v>2025-Q1</v>
      </c>
      <c r="D1396" s="3" t="s">
        <v>128</v>
      </c>
      <c r="E1396" s="219">
        <v>6</v>
      </c>
      <c r="F1396" s="166">
        <v>150</v>
      </c>
      <c r="G1396" s="166">
        <v>202</v>
      </c>
      <c r="H1396" s="21">
        <v>368</v>
      </c>
      <c r="I1396" s="21">
        <v>42</v>
      </c>
      <c r="J1396" s="21">
        <v>196</v>
      </c>
      <c r="K1396" s="21">
        <v>34</v>
      </c>
      <c r="L1396" s="21">
        <v>285</v>
      </c>
      <c r="M1396" s="21">
        <v>86</v>
      </c>
      <c r="N1396" s="21">
        <v>151</v>
      </c>
      <c r="O1396" s="19">
        <v>308</v>
      </c>
      <c r="P1396" s="22">
        <v>25</v>
      </c>
      <c r="Q1396" s="22">
        <v>8</v>
      </c>
      <c r="R1396" s="20"/>
      <c r="S1396" s="234">
        <f>COUNTIFS(INP_DATA!$R$5:$R$3027,S$4,INP_DATA!$D$5:$D$3027,$D1396,INP_DATA!$B$5:$B$3027,$B1396)</f>
        <v>0</v>
      </c>
      <c r="T1396" s="235">
        <f>COUNTIFS(INP_DATA!$R$5:$R$3027,T$4,INP_DATA!$D$5:$D$3027,$D1396,INP_DATA!$B$5:$B$3027,$B1396)</f>
        <v>0</v>
      </c>
    </row>
    <row r="1397" spans="1:20" x14ac:dyDescent="0.35">
      <c r="A1397" s="3" t="str">
        <f>IF(D1397="","",(VLOOKUP($D1397,KEY!$B$5:$D$74,3,FALSE)))</f>
        <v>Northern California</v>
      </c>
      <c r="B1397" s="165">
        <f t="shared" si="5"/>
        <v>45658</v>
      </c>
      <c r="C1397" s="57" t="str">
        <f>IF($B1397="","",YEAR($B1397)&amp;"-"&amp;IFERROR(VLOOKUP(MONTH(B1397),KEY!$AE$5:$AF$16,2,FALSE),""))</f>
        <v>2025-Q1</v>
      </c>
      <c r="D1397" s="3" t="s">
        <v>129</v>
      </c>
      <c r="E1397" s="219">
        <v>16</v>
      </c>
      <c r="F1397" s="166">
        <v>179</v>
      </c>
      <c r="G1397" s="166">
        <v>166</v>
      </c>
      <c r="H1397" s="21">
        <v>299</v>
      </c>
      <c r="I1397" s="21">
        <v>39</v>
      </c>
      <c r="J1397" s="21">
        <v>235</v>
      </c>
      <c r="K1397" s="21">
        <v>23</v>
      </c>
      <c r="L1397" s="21">
        <v>286</v>
      </c>
      <c r="M1397" s="21">
        <v>68</v>
      </c>
      <c r="N1397" s="21">
        <v>181</v>
      </c>
      <c r="O1397" s="19">
        <v>352</v>
      </c>
      <c r="P1397" s="22">
        <v>17</v>
      </c>
      <c r="Q1397" s="22">
        <v>12</v>
      </c>
      <c r="R1397" s="20"/>
      <c r="S1397" s="234">
        <f>COUNTIFS(INP_DATA!$R$5:$R$3027,S$4,INP_DATA!$D$5:$D$3027,$D1397,INP_DATA!$B$5:$B$3027,$B1397)</f>
        <v>0</v>
      </c>
      <c r="T1397" s="235">
        <f>COUNTIFS(INP_DATA!$R$5:$R$3027,T$4,INP_DATA!$D$5:$D$3027,$D1397,INP_DATA!$B$5:$B$3027,$B1397)</f>
        <v>0</v>
      </c>
    </row>
    <row r="1398" spans="1:20" x14ac:dyDescent="0.35">
      <c r="A1398" s="3" t="str">
        <f>IF(D1398="","",(VLOOKUP($D1398,KEY!$B$5:$D$74,3,FALSE)))</f>
        <v>Southern California</v>
      </c>
      <c r="B1398" s="165">
        <f t="shared" si="5"/>
        <v>45658</v>
      </c>
      <c r="C1398" s="57" t="str">
        <f>IF($B1398="","",YEAR($B1398)&amp;"-"&amp;IFERROR(VLOOKUP(MONTH(B1398),KEY!$AE$5:$AF$16,2,FALSE),""))</f>
        <v>2025-Q1</v>
      </c>
      <c r="D1398" s="3" t="s">
        <v>130</v>
      </c>
      <c r="E1398" s="219">
        <v>18</v>
      </c>
      <c r="F1398" s="166">
        <v>158</v>
      </c>
      <c r="G1398" s="166">
        <v>143</v>
      </c>
      <c r="H1398" s="21">
        <v>360</v>
      </c>
      <c r="I1398" s="21">
        <v>50</v>
      </c>
      <c r="J1398" s="21">
        <v>108</v>
      </c>
      <c r="K1398" s="21">
        <v>28</v>
      </c>
      <c r="L1398" s="21">
        <v>222</v>
      </c>
      <c r="M1398" s="21">
        <v>86</v>
      </c>
      <c r="N1398" s="21">
        <v>163</v>
      </c>
      <c r="O1398" s="19">
        <v>198</v>
      </c>
      <c r="P1398" s="22">
        <v>27</v>
      </c>
      <c r="Q1398" s="22">
        <v>18</v>
      </c>
      <c r="R1398" s="20"/>
      <c r="S1398" s="234">
        <f>COUNTIFS(INP_DATA!$R$5:$R$3027,S$4,INP_DATA!$D$5:$D$3027,$D1398,INP_DATA!$B$5:$B$3027,$B1398)</f>
        <v>0</v>
      </c>
      <c r="T1398" s="235">
        <f>COUNTIFS(INP_DATA!$R$5:$R$3027,T$4,INP_DATA!$D$5:$D$3027,$D1398,INP_DATA!$B$5:$B$3027,$B1398)</f>
        <v>0</v>
      </c>
    </row>
    <row r="1399" spans="1:20" x14ac:dyDescent="0.35">
      <c r="A1399" s="3" t="e">
        <f>IF(D1399="","",(VLOOKUP($D1399,KEY!$B$5:$D$74,3,FALSE)))</f>
        <v>#N/A</v>
      </c>
      <c r="B1399" s="165">
        <f t="shared" si="5"/>
        <v>45658</v>
      </c>
      <c r="C1399" s="57" t="str">
        <f>IF($B1399="","",YEAR($B1399)&amp;"-"&amp;IFERROR(VLOOKUP(MONTH(B1399),KEY!$AE$5:$AF$16,2,FALSE),""))</f>
        <v>2025-Q1</v>
      </c>
      <c r="D1399" s="3" t="s">
        <v>203</v>
      </c>
      <c r="E1399" s="219">
        <v>4</v>
      </c>
      <c r="F1399" s="166">
        <v>80</v>
      </c>
      <c r="G1399" s="166">
        <v>72</v>
      </c>
      <c r="H1399" s="21">
        <v>104</v>
      </c>
      <c r="I1399" s="21">
        <v>17</v>
      </c>
      <c r="J1399" s="21">
        <v>57</v>
      </c>
      <c r="K1399" s="21">
        <v>15</v>
      </c>
      <c r="L1399" s="21">
        <v>69</v>
      </c>
      <c r="M1399" s="21">
        <v>42</v>
      </c>
      <c r="N1399" s="21">
        <v>81</v>
      </c>
      <c r="O1399" s="19">
        <v>176</v>
      </c>
      <c r="P1399" s="22">
        <v>11</v>
      </c>
      <c r="Q1399" s="22">
        <v>7</v>
      </c>
      <c r="R1399" s="20"/>
      <c r="S1399" s="234">
        <f>COUNTIFS(INP_DATA!$R$5:$R$3027,S$4,INP_DATA!$D$5:$D$3027,$D1399,INP_DATA!$B$5:$B$3027,$B1399)</f>
        <v>0</v>
      </c>
      <c r="T1399" s="235">
        <f>COUNTIFS(INP_DATA!$R$5:$R$3027,T$4,INP_DATA!$D$5:$D$3027,$D1399,INP_DATA!$B$5:$B$3027,$B1399)</f>
        <v>0</v>
      </c>
    </row>
    <row r="1400" spans="1:20" x14ac:dyDescent="0.35">
      <c r="A1400" s="3">
        <f>IF(D1400="","",(VLOOKUP($D1400,KEY!$B$5:$D$74,3,FALSE)))</f>
        <v>0</v>
      </c>
      <c r="B1400" s="165">
        <f t="shared" si="5"/>
        <v>45658</v>
      </c>
      <c r="C1400" s="57" t="str">
        <f>IF($B1400="","",YEAR($B1400)&amp;"-"&amp;IFERROR(VLOOKUP(MONTH(B1400),KEY!$AE$5:$AF$16,2,FALSE),""))</f>
        <v>2025-Q1</v>
      </c>
      <c r="D1400" s="3" t="s">
        <v>131</v>
      </c>
      <c r="E1400" s="219">
        <v>37</v>
      </c>
      <c r="F1400" s="166">
        <v>137</v>
      </c>
      <c r="G1400" s="166">
        <v>122</v>
      </c>
      <c r="H1400" s="21">
        <v>111</v>
      </c>
      <c r="I1400" s="21">
        <v>23</v>
      </c>
      <c r="J1400" s="21">
        <v>114</v>
      </c>
      <c r="K1400" s="21">
        <v>35</v>
      </c>
      <c r="L1400" s="21">
        <v>242</v>
      </c>
      <c r="M1400" s="21">
        <v>60</v>
      </c>
      <c r="N1400" s="21">
        <v>143</v>
      </c>
      <c r="O1400" s="19">
        <v>264</v>
      </c>
      <c r="P1400" s="22">
        <v>3</v>
      </c>
      <c r="Q1400" s="22">
        <v>2</v>
      </c>
      <c r="R1400" s="20"/>
      <c r="S1400" s="234">
        <f>COUNTIFS(INP_DATA!$R$5:$R$3027,S$4,INP_DATA!$D$5:$D$3027,$D1400,INP_DATA!$B$5:$B$3027,$B1400)</f>
        <v>0</v>
      </c>
      <c r="T1400" s="235">
        <f>COUNTIFS(INP_DATA!$R$5:$R$3027,T$4,INP_DATA!$D$5:$D$3027,$D1400,INP_DATA!$B$5:$B$3027,$B1400)</f>
        <v>0</v>
      </c>
    </row>
    <row r="1401" spans="1:20" x14ac:dyDescent="0.35">
      <c r="A1401" s="3" t="e">
        <f>IF(D1401="","",(VLOOKUP($D1401,KEY!$B$5:$D$74,3,FALSE)))</f>
        <v>#N/A</v>
      </c>
      <c r="B1401" s="165">
        <f t="shared" si="5"/>
        <v>45658</v>
      </c>
      <c r="C1401" s="57" t="str">
        <f>IF($B1401="","",YEAR($B1401)&amp;"-"&amp;IFERROR(VLOOKUP(MONTH(B1401),KEY!$AE$5:$AF$16,2,FALSE),""))</f>
        <v>2025-Q1</v>
      </c>
      <c r="D1401" s="3" t="s">
        <v>134</v>
      </c>
      <c r="E1401" s="219">
        <v>13</v>
      </c>
      <c r="F1401" s="166">
        <v>39</v>
      </c>
      <c r="G1401" s="166">
        <v>36</v>
      </c>
      <c r="H1401" s="21">
        <v>81</v>
      </c>
      <c r="I1401" s="21">
        <v>13</v>
      </c>
      <c r="J1401" s="21">
        <v>25</v>
      </c>
      <c r="K1401" s="21">
        <v>5</v>
      </c>
      <c r="L1401" s="21">
        <v>52</v>
      </c>
      <c r="M1401" s="21">
        <v>28</v>
      </c>
      <c r="N1401" s="21">
        <v>43</v>
      </c>
      <c r="O1401" s="19">
        <v>88</v>
      </c>
      <c r="P1401" s="22">
        <v>9</v>
      </c>
      <c r="Q1401" s="22">
        <v>8</v>
      </c>
      <c r="R1401" s="20"/>
      <c r="S1401" s="234">
        <f>COUNTIFS(INP_DATA!$R$5:$R$3027,S$4,INP_DATA!$D$5:$D$3027,$D1401,INP_DATA!$B$5:$B$3027,$B1401)</f>
        <v>0</v>
      </c>
      <c r="T1401" s="235">
        <f>COUNTIFS(INP_DATA!$R$5:$R$3027,T$4,INP_DATA!$D$5:$D$3027,$D1401,INP_DATA!$B$5:$B$3027,$B1401)</f>
        <v>0</v>
      </c>
    </row>
    <row r="1402" spans="1:20" x14ac:dyDescent="0.35">
      <c r="A1402" s="3" t="str">
        <f>IF(D1402="","",(VLOOKUP($D1402,KEY!$B$5:$D$74,3,FALSE)))</f>
        <v>Southern California</v>
      </c>
      <c r="B1402" s="165">
        <f t="shared" si="5"/>
        <v>45658</v>
      </c>
      <c r="C1402" s="57" t="str">
        <f>IF($B1402="","",YEAR($B1402)&amp;"-"&amp;IFERROR(VLOOKUP(MONTH(B1402),KEY!$AE$5:$AF$16,2,FALSE),""))</f>
        <v>2025-Q1</v>
      </c>
      <c r="D1402" s="3" t="s">
        <v>135</v>
      </c>
      <c r="E1402" s="219">
        <v>33</v>
      </c>
      <c r="F1402" s="166">
        <v>197</v>
      </c>
      <c r="G1402" s="166">
        <v>200</v>
      </c>
      <c r="H1402" s="21">
        <v>473</v>
      </c>
      <c r="I1402" s="21">
        <v>63</v>
      </c>
      <c r="J1402" s="21">
        <v>266</v>
      </c>
      <c r="K1402" s="21">
        <v>68</v>
      </c>
      <c r="L1402" s="21">
        <v>419</v>
      </c>
      <c r="M1402" s="21">
        <v>117</v>
      </c>
      <c r="N1402" s="21">
        <v>199</v>
      </c>
      <c r="O1402" s="19">
        <v>242</v>
      </c>
      <c r="P1402" s="22">
        <v>12</v>
      </c>
      <c r="Q1402" s="22">
        <v>8</v>
      </c>
      <c r="R1402" s="20"/>
      <c r="S1402" s="234">
        <f>COUNTIFS(INP_DATA!$R$5:$R$3027,S$4,INP_DATA!$D$5:$D$3027,$D1402,INP_DATA!$B$5:$B$3027,$B1402)</f>
        <v>0</v>
      </c>
      <c r="T1402" s="235">
        <f>COUNTIFS(INP_DATA!$R$5:$R$3027,T$4,INP_DATA!$D$5:$D$3027,$D1402,INP_DATA!$B$5:$B$3027,$B1402)</f>
        <v>0</v>
      </c>
    </row>
    <row r="1403" spans="1:20" x14ac:dyDescent="0.35">
      <c r="A1403" s="3" t="str">
        <f>IF(D1403="","",(VLOOKUP($D1403,KEY!$B$5:$D$74,3,FALSE)))</f>
        <v>Arizona</v>
      </c>
      <c r="B1403" s="165">
        <f t="shared" si="5"/>
        <v>45658</v>
      </c>
      <c r="C1403" s="57" t="str">
        <f>IF($B1403="","",YEAR($B1403)&amp;"-"&amp;IFERROR(VLOOKUP(MONTH(B1403),KEY!$AE$5:$AF$16,2,FALSE),""))</f>
        <v>2025-Q1</v>
      </c>
      <c r="D1403" s="3" t="s">
        <v>204</v>
      </c>
      <c r="E1403" s="219">
        <v>0</v>
      </c>
      <c r="F1403" s="166">
        <v>6</v>
      </c>
      <c r="G1403" s="166">
        <v>0</v>
      </c>
      <c r="H1403" s="21">
        <v>52</v>
      </c>
      <c r="I1403" s="21">
        <v>0</v>
      </c>
      <c r="J1403" s="21">
        <v>29</v>
      </c>
      <c r="K1403" s="21">
        <v>1</v>
      </c>
      <c r="L1403" s="21">
        <v>17</v>
      </c>
      <c r="M1403" s="21">
        <v>1</v>
      </c>
      <c r="N1403" s="21">
        <v>6</v>
      </c>
      <c r="O1403" s="19">
        <v>22</v>
      </c>
      <c r="P1403" s="22">
        <v>0</v>
      </c>
      <c r="Q1403" s="22">
        <v>0</v>
      </c>
      <c r="R1403" s="20"/>
      <c r="S1403" s="234">
        <f>COUNTIFS(INP_DATA!$R$5:$R$3027,S$4,INP_DATA!$D$5:$D$3027,$D1403,INP_DATA!$B$5:$B$3027,$B1403)</f>
        <v>0</v>
      </c>
      <c r="T1403" s="235">
        <f>COUNTIFS(INP_DATA!$R$5:$R$3027,T$4,INP_DATA!$D$5:$D$3027,$D1403,INP_DATA!$B$5:$B$3027,$B1403)</f>
        <v>0</v>
      </c>
    </row>
    <row r="1404" spans="1:20" x14ac:dyDescent="0.35">
      <c r="A1404" s="3" t="str">
        <f>IF(D1404="","",(VLOOKUP($D1404,KEY!$B$5:$D$74,3,FALSE)))</f>
        <v>Arizona</v>
      </c>
      <c r="B1404" s="165">
        <f t="shared" si="5"/>
        <v>45658</v>
      </c>
      <c r="C1404" s="57" t="str">
        <f>IF($B1404="","",YEAR($B1404)&amp;"-"&amp;IFERROR(VLOOKUP(MONTH(B1404),KEY!$AE$5:$AF$16,2,FALSE),""))</f>
        <v>2025-Q1</v>
      </c>
      <c r="D1404" s="3" t="s">
        <v>196</v>
      </c>
      <c r="E1404" s="219">
        <v>15</v>
      </c>
      <c r="F1404" s="166">
        <v>51</v>
      </c>
      <c r="G1404" s="166">
        <v>48</v>
      </c>
      <c r="H1404" s="21">
        <v>92</v>
      </c>
      <c r="I1404" s="21">
        <v>12</v>
      </c>
      <c r="J1404" s="21">
        <v>62</v>
      </c>
      <c r="K1404" s="21">
        <v>14</v>
      </c>
      <c r="L1404" s="21">
        <v>108</v>
      </c>
      <c r="M1404" s="21">
        <v>43</v>
      </c>
      <c r="N1404" s="21">
        <v>51</v>
      </c>
      <c r="O1404" s="19">
        <v>110</v>
      </c>
      <c r="P1404" s="22">
        <v>0</v>
      </c>
      <c r="Q1404" s="22">
        <v>0</v>
      </c>
      <c r="R1404" s="20"/>
      <c r="S1404" s="234">
        <f>COUNTIFS(INP_DATA!$R$5:$R$3027,S$4,INP_DATA!$D$5:$D$3027,$D1404,INP_DATA!$B$5:$B$3027,$B1404)</f>
        <v>0</v>
      </c>
      <c r="T1404" s="235">
        <f>COUNTIFS(INP_DATA!$R$5:$R$3027,T$4,INP_DATA!$D$5:$D$3027,$D1404,INP_DATA!$B$5:$B$3027,$B1404)</f>
        <v>0</v>
      </c>
    </row>
    <row r="1405" spans="1:20" x14ac:dyDescent="0.35">
      <c r="A1405" s="3" t="str">
        <f>IF(D1405="","",(VLOOKUP($D1405,KEY!$B$5:$D$74,3,FALSE)))</f>
        <v>Arizona</v>
      </c>
      <c r="B1405" s="165">
        <f t="shared" si="5"/>
        <v>45658</v>
      </c>
      <c r="C1405" s="57" t="str">
        <f>IF($B1405="","",YEAR($B1405)&amp;"-"&amp;IFERROR(VLOOKUP(MONTH(B1405),KEY!$AE$5:$AF$16,2,FALSE),""))</f>
        <v>2025-Q1</v>
      </c>
      <c r="D1405" s="3" t="s">
        <v>197</v>
      </c>
      <c r="E1405" s="219">
        <v>19</v>
      </c>
      <c r="F1405" s="166">
        <v>98</v>
      </c>
      <c r="G1405" s="166">
        <v>98</v>
      </c>
      <c r="H1405" s="21">
        <v>122</v>
      </c>
      <c r="I1405" s="21">
        <v>19</v>
      </c>
      <c r="J1405" s="21">
        <v>83</v>
      </c>
      <c r="K1405" s="21">
        <v>19</v>
      </c>
      <c r="L1405" s="21">
        <v>207</v>
      </c>
      <c r="M1405" s="21">
        <v>80</v>
      </c>
      <c r="N1405" s="21">
        <v>103</v>
      </c>
      <c r="O1405" s="19">
        <v>176</v>
      </c>
      <c r="P1405" s="22">
        <v>2</v>
      </c>
      <c r="Q1405" s="22">
        <v>1</v>
      </c>
      <c r="R1405" s="20"/>
      <c r="S1405" s="234">
        <f>COUNTIFS(INP_DATA!$R$5:$R$3027,S$4,INP_DATA!$D$5:$D$3027,$D1405,INP_DATA!$B$5:$B$3027,$B1405)</f>
        <v>0</v>
      </c>
      <c r="T1405" s="235">
        <f>COUNTIFS(INP_DATA!$R$5:$R$3027,T$4,INP_DATA!$D$5:$D$3027,$D1405,INP_DATA!$B$5:$B$3027,$B1405)</f>
        <v>0</v>
      </c>
    </row>
    <row r="1406" spans="1:20" x14ac:dyDescent="0.35">
      <c r="A1406" s="3" t="str">
        <f>IF(D1406="","",(VLOOKUP($D1406,KEY!$B$5:$D$74,3,FALSE)))</f>
        <v>Texas</v>
      </c>
      <c r="B1406" s="165">
        <f t="shared" si="5"/>
        <v>45658</v>
      </c>
      <c r="C1406" s="57" t="str">
        <f>IF($B1406="","",YEAR($B1406)&amp;"-"&amp;IFERROR(VLOOKUP(MONTH(B1406),KEY!$AE$5:$AF$16,2,FALSE),""))</f>
        <v>2025-Q1</v>
      </c>
      <c r="D1406" s="3" t="s">
        <v>136</v>
      </c>
      <c r="E1406" s="219">
        <v>58</v>
      </c>
      <c r="F1406" s="166">
        <v>239</v>
      </c>
      <c r="G1406" s="166">
        <v>270</v>
      </c>
      <c r="H1406" s="21">
        <v>384</v>
      </c>
      <c r="I1406" s="21">
        <v>63</v>
      </c>
      <c r="J1406" s="21">
        <v>302</v>
      </c>
      <c r="K1406" s="21">
        <v>37</v>
      </c>
      <c r="L1406" s="21">
        <v>400</v>
      </c>
      <c r="M1406" s="21">
        <v>141</v>
      </c>
      <c r="N1406" s="21">
        <v>245</v>
      </c>
      <c r="O1406" s="19">
        <v>352</v>
      </c>
      <c r="P1406" s="22">
        <v>12</v>
      </c>
      <c r="Q1406" s="22">
        <v>10</v>
      </c>
      <c r="R1406" s="20"/>
      <c r="S1406" s="234">
        <f>COUNTIFS(INP_DATA!$R$5:$R$3027,S$4,INP_DATA!$D$5:$D$3027,$D1406,INP_DATA!$B$5:$B$3027,$B1406)</f>
        <v>0</v>
      </c>
      <c r="T1406" s="235">
        <f>COUNTIFS(INP_DATA!$R$5:$R$3027,T$4,INP_DATA!$D$5:$D$3027,$D1406,INP_DATA!$B$5:$B$3027,$B1406)</f>
        <v>0</v>
      </c>
    </row>
    <row r="1407" spans="1:20" x14ac:dyDescent="0.35">
      <c r="A1407" s="3" t="str">
        <f>IF(D1407="","",(VLOOKUP($D1407,KEY!$B$5:$D$74,3,FALSE)))</f>
        <v>Arizona</v>
      </c>
      <c r="B1407" s="165">
        <f t="shared" si="5"/>
        <v>45658</v>
      </c>
      <c r="C1407" s="57" t="str">
        <f>IF($B1407="","",YEAR($B1407)&amp;"-"&amp;IFERROR(VLOOKUP(MONTH(B1407),KEY!$AE$5:$AF$16,2,FALSE),""))</f>
        <v>2025-Q1</v>
      </c>
      <c r="D1407" s="3" t="s">
        <v>137</v>
      </c>
      <c r="E1407" s="219">
        <v>12</v>
      </c>
      <c r="F1407" s="166">
        <v>74</v>
      </c>
      <c r="G1407" s="166">
        <v>85</v>
      </c>
      <c r="H1407" s="21">
        <v>190</v>
      </c>
      <c r="I1407" s="21">
        <v>24</v>
      </c>
      <c r="J1407" s="21">
        <v>170</v>
      </c>
      <c r="K1407" s="21">
        <v>30</v>
      </c>
      <c r="L1407" s="21">
        <v>148</v>
      </c>
      <c r="M1407" s="21">
        <v>57</v>
      </c>
      <c r="N1407" s="21">
        <v>75</v>
      </c>
      <c r="O1407" s="19">
        <v>198</v>
      </c>
      <c r="P1407" s="22">
        <v>3</v>
      </c>
      <c r="Q1407" s="22">
        <v>2</v>
      </c>
      <c r="R1407" s="20"/>
      <c r="S1407" s="234">
        <f>COUNTIFS(INP_DATA!$R$5:$R$3027,S$4,INP_DATA!$D$5:$D$3027,$D1407,INP_DATA!$B$5:$B$3027,$B1407)</f>
        <v>0</v>
      </c>
      <c r="T1407" s="235">
        <f>COUNTIFS(INP_DATA!$R$5:$R$3027,T$4,INP_DATA!$D$5:$D$3027,$D1407,INP_DATA!$B$5:$B$3027,$B1407)</f>
        <v>0</v>
      </c>
    </row>
    <row r="1408" spans="1:20" x14ac:dyDescent="0.35">
      <c r="A1408" s="3" t="str">
        <f>IF(D1408="","",(VLOOKUP($D1408,KEY!$B$5:$D$74,3,FALSE)))</f>
        <v>Texas</v>
      </c>
      <c r="B1408" s="165">
        <f t="shared" si="5"/>
        <v>45658</v>
      </c>
      <c r="C1408" s="57" t="str">
        <f>IF($B1408="","",YEAR($B1408)&amp;"-"&amp;IFERROR(VLOOKUP(MONTH(B1408),KEY!$AE$5:$AF$16,2,FALSE),""))</f>
        <v>2025-Q1</v>
      </c>
      <c r="D1408" s="3" t="s">
        <v>138</v>
      </c>
      <c r="E1408" s="219">
        <v>30</v>
      </c>
      <c r="F1408" s="166">
        <v>134</v>
      </c>
      <c r="G1408" s="166">
        <v>157</v>
      </c>
      <c r="H1408" s="21">
        <v>242</v>
      </c>
      <c r="I1408" s="21">
        <v>42</v>
      </c>
      <c r="J1408" s="21">
        <v>146</v>
      </c>
      <c r="K1408" s="21">
        <v>27</v>
      </c>
      <c r="L1408" s="21">
        <v>295</v>
      </c>
      <c r="M1408" s="21">
        <v>97</v>
      </c>
      <c r="N1408" s="21">
        <v>136</v>
      </c>
      <c r="O1408" s="19">
        <v>220</v>
      </c>
      <c r="P1408" s="22">
        <v>5</v>
      </c>
      <c r="Q1408" s="22">
        <v>3</v>
      </c>
      <c r="R1408" s="20"/>
      <c r="S1408" s="234">
        <f>COUNTIFS(INP_DATA!$R$5:$R$3027,S$4,INP_DATA!$D$5:$D$3027,$D1408,INP_DATA!$B$5:$B$3027,$B1408)</f>
        <v>0</v>
      </c>
      <c r="T1408" s="235">
        <f>COUNTIFS(INP_DATA!$R$5:$R$3027,T$4,INP_DATA!$D$5:$D$3027,$D1408,INP_DATA!$B$5:$B$3027,$B1408)</f>
        <v>0</v>
      </c>
    </row>
    <row r="1409" spans="1:20" x14ac:dyDescent="0.35">
      <c r="A1409" s="3" t="str">
        <f>IF(D1409="","",(VLOOKUP($D1409,KEY!$B$5:$D$74,3,FALSE)))</f>
        <v>Southern California</v>
      </c>
      <c r="B1409" s="165">
        <f t="shared" si="5"/>
        <v>45658</v>
      </c>
      <c r="C1409" s="57" t="str">
        <f>IF($B1409="","",YEAR($B1409)&amp;"-"&amp;IFERROR(VLOOKUP(MONTH(B1409),KEY!$AE$5:$AF$16,2,FALSE),""))</f>
        <v>2025-Q1</v>
      </c>
      <c r="D1409" s="3" t="s">
        <v>139</v>
      </c>
      <c r="E1409" s="219">
        <v>40</v>
      </c>
      <c r="F1409" s="166">
        <v>201</v>
      </c>
      <c r="G1409" s="166">
        <v>171</v>
      </c>
      <c r="H1409" s="21">
        <v>286</v>
      </c>
      <c r="I1409" s="21">
        <v>46</v>
      </c>
      <c r="J1409" s="21">
        <v>121</v>
      </c>
      <c r="K1409" s="21">
        <v>36</v>
      </c>
      <c r="L1409" s="21">
        <v>546</v>
      </c>
      <c r="M1409" s="21">
        <v>134</v>
      </c>
      <c r="N1409" s="21">
        <v>205</v>
      </c>
      <c r="O1409" s="19">
        <v>330</v>
      </c>
      <c r="P1409" s="22">
        <v>19</v>
      </c>
      <c r="Q1409" s="22">
        <v>16</v>
      </c>
      <c r="R1409" s="20"/>
      <c r="S1409" s="234">
        <f>COUNTIFS(INP_DATA!$R$5:$R$3027,S$4,INP_DATA!$D$5:$D$3027,$D1409,INP_DATA!$B$5:$B$3027,$B1409)</f>
        <v>0</v>
      </c>
      <c r="T1409" s="235">
        <f>COUNTIFS(INP_DATA!$R$5:$R$3027,T$4,INP_DATA!$D$5:$D$3027,$D1409,INP_DATA!$B$5:$B$3027,$B1409)</f>
        <v>0</v>
      </c>
    </row>
    <row r="1410" spans="1:20" x14ac:dyDescent="0.35">
      <c r="A1410" s="3" t="str">
        <f>IF(D1410="","",(VLOOKUP($D1410,KEY!$B$5:$D$74,3,FALSE)))</f>
        <v>Orange County</v>
      </c>
      <c r="B1410" s="165">
        <f t="shared" si="5"/>
        <v>45658</v>
      </c>
      <c r="C1410" s="57" t="str">
        <f>IF($B1410="","",YEAR($B1410)&amp;"-"&amp;IFERROR(VLOOKUP(MONTH(B1410),KEY!$AE$5:$AF$16,2,FALSE),""))</f>
        <v>2025-Q1</v>
      </c>
      <c r="D1410" s="3" t="s">
        <v>140</v>
      </c>
      <c r="E1410" s="219">
        <v>4</v>
      </c>
      <c r="F1410" s="166">
        <v>23</v>
      </c>
      <c r="G1410" s="166">
        <v>31</v>
      </c>
      <c r="H1410" s="21">
        <v>52</v>
      </c>
      <c r="I1410" s="21">
        <v>8</v>
      </c>
      <c r="J1410" s="21">
        <v>24</v>
      </c>
      <c r="K1410" s="21">
        <v>4</v>
      </c>
      <c r="L1410" s="21">
        <v>68</v>
      </c>
      <c r="M1410" s="21">
        <v>20</v>
      </c>
      <c r="N1410" s="21">
        <v>23</v>
      </c>
      <c r="O1410" s="19">
        <v>88</v>
      </c>
      <c r="P1410" s="22">
        <v>6</v>
      </c>
      <c r="Q1410" s="22">
        <v>2</v>
      </c>
      <c r="R1410" s="20"/>
      <c r="S1410" s="234">
        <f>COUNTIFS(INP_DATA!$R$5:$R$3027,S$4,INP_DATA!$D$5:$D$3027,$D1410,INP_DATA!$B$5:$B$3027,$B1410)</f>
        <v>0</v>
      </c>
      <c r="T1410" s="235">
        <f>COUNTIFS(INP_DATA!$R$5:$R$3027,T$4,INP_DATA!$D$5:$D$3027,$D1410,INP_DATA!$B$5:$B$3027,$B1410)</f>
        <v>0</v>
      </c>
    </row>
    <row r="1411" spans="1:20" x14ac:dyDescent="0.35">
      <c r="A1411" s="3" t="str">
        <f>IF(D1411="","",(VLOOKUP($D1411,KEY!$B$5:$D$74,3,FALSE)))</f>
        <v>Southern California</v>
      </c>
      <c r="B1411" s="165">
        <f t="shared" si="5"/>
        <v>45658</v>
      </c>
      <c r="C1411" s="57" t="str">
        <f>IF($B1411="","",YEAR($B1411)&amp;"-"&amp;IFERROR(VLOOKUP(MONTH(B1411),KEY!$AE$5:$AF$16,2,FALSE),""))</f>
        <v>2025-Q1</v>
      </c>
      <c r="D1411" s="3" t="s">
        <v>142</v>
      </c>
      <c r="E1411" s="219">
        <v>17</v>
      </c>
      <c r="F1411" s="166">
        <v>84</v>
      </c>
      <c r="G1411" s="166">
        <v>59</v>
      </c>
      <c r="H1411" s="21">
        <v>166</v>
      </c>
      <c r="I1411" s="21">
        <v>24</v>
      </c>
      <c r="J1411" s="21">
        <v>45</v>
      </c>
      <c r="K1411" s="21">
        <v>12</v>
      </c>
      <c r="L1411" s="21">
        <v>128</v>
      </c>
      <c r="M1411" s="21">
        <v>51</v>
      </c>
      <c r="N1411" s="21">
        <v>85</v>
      </c>
      <c r="O1411" s="19">
        <v>132</v>
      </c>
      <c r="P1411" s="22">
        <v>21</v>
      </c>
      <c r="Q1411" s="22">
        <v>12</v>
      </c>
      <c r="R1411" s="20"/>
      <c r="S1411" s="234">
        <f>COUNTIFS(INP_DATA!$R$5:$R$3027,S$4,INP_DATA!$D$5:$D$3027,$D1411,INP_DATA!$B$5:$B$3027,$B1411)</f>
        <v>0</v>
      </c>
      <c r="T1411" s="235">
        <f>COUNTIFS(INP_DATA!$R$5:$R$3027,T$4,INP_DATA!$D$5:$D$3027,$D1411,INP_DATA!$B$5:$B$3027,$B1411)</f>
        <v>0</v>
      </c>
    </row>
    <row r="1412" spans="1:20" x14ac:dyDescent="0.35">
      <c r="A1412" s="3" t="str">
        <f>IF(D1412="","",(VLOOKUP($D1412,KEY!$B$5:$D$74,3,FALSE)))</f>
        <v>Arizona</v>
      </c>
      <c r="B1412" s="165">
        <f t="shared" si="5"/>
        <v>45658</v>
      </c>
      <c r="C1412" s="57" t="str">
        <f>IF($B1412="","",YEAR($B1412)&amp;"-"&amp;IFERROR(VLOOKUP(MONTH(B1412),KEY!$AE$5:$AF$16,2,FALSE),""))</f>
        <v>2025-Q1</v>
      </c>
      <c r="D1412" s="3" t="s">
        <v>143</v>
      </c>
      <c r="E1412" s="219">
        <v>16</v>
      </c>
      <c r="F1412" s="166">
        <v>81</v>
      </c>
      <c r="G1412" s="166">
        <v>59</v>
      </c>
      <c r="H1412" s="21">
        <v>181</v>
      </c>
      <c r="I1412" s="21">
        <v>19</v>
      </c>
      <c r="J1412" s="21">
        <v>72</v>
      </c>
      <c r="K1412" s="21">
        <v>21</v>
      </c>
      <c r="L1412" s="21">
        <v>100</v>
      </c>
      <c r="M1412" s="21">
        <v>42</v>
      </c>
      <c r="N1412" s="21">
        <v>82</v>
      </c>
      <c r="O1412" s="19">
        <v>176</v>
      </c>
      <c r="P1412" s="22">
        <v>6</v>
      </c>
      <c r="Q1412" s="22">
        <v>4</v>
      </c>
      <c r="R1412" s="20"/>
      <c r="S1412" s="234">
        <f>COUNTIFS(INP_DATA!$R$5:$R$3027,S$4,INP_DATA!$D$5:$D$3027,$D1412,INP_DATA!$B$5:$B$3027,$B1412)</f>
        <v>0</v>
      </c>
      <c r="T1412" s="235">
        <f>COUNTIFS(INP_DATA!$R$5:$R$3027,T$4,INP_DATA!$D$5:$D$3027,$D1412,INP_DATA!$B$5:$B$3027,$B1412)</f>
        <v>0</v>
      </c>
    </row>
    <row r="1413" spans="1:20" x14ac:dyDescent="0.35">
      <c r="A1413" s="3" t="str">
        <f>IF(D1413="","",(VLOOKUP($D1413,KEY!$B$5:$D$74,3,FALSE)))</f>
        <v>Arizona</v>
      </c>
      <c r="B1413" s="165">
        <f t="shared" si="5"/>
        <v>45658</v>
      </c>
      <c r="C1413" s="57" t="str">
        <f>IF($B1413="","",YEAR($B1413)&amp;"-"&amp;IFERROR(VLOOKUP(MONTH(B1413),KEY!$AE$5:$AF$16,2,FALSE),""))</f>
        <v>2025-Q1</v>
      </c>
      <c r="D1413" s="3" t="s">
        <v>144</v>
      </c>
      <c r="E1413" s="219">
        <v>37</v>
      </c>
      <c r="F1413" s="166">
        <v>211</v>
      </c>
      <c r="G1413" s="166">
        <v>201</v>
      </c>
      <c r="H1413" s="21">
        <v>257</v>
      </c>
      <c r="I1413" s="21">
        <v>47</v>
      </c>
      <c r="J1413" s="21">
        <v>177</v>
      </c>
      <c r="K1413" s="21">
        <v>39</v>
      </c>
      <c r="L1413" s="21">
        <v>539</v>
      </c>
      <c r="M1413" s="21">
        <v>139</v>
      </c>
      <c r="N1413" s="21">
        <v>214</v>
      </c>
      <c r="O1413" s="19">
        <v>462</v>
      </c>
      <c r="P1413" s="22">
        <v>12</v>
      </c>
      <c r="Q1413" s="22">
        <v>10</v>
      </c>
      <c r="R1413" s="20"/>
      <c r="S1413" s="234">
        <f>COUNTIFS(INP_DATA!$R$5:$R$3027,S$4,INP_DATA!$D$5:$D$3027,$D1413,INP_DATA!$B$5:$B$3027,$B1413)</f>
        <v>0</v>
      </c>
      <c r="T1413" s="235">
        <f>COUNTIFS(INP_DATA!$R$5:$R$3027,T$4,INP_DATA!$D$5:$D$3027,$D1413,INP_DATA!$B$5:$B$3027,$B1413)</f>
        <v>0</v>
      </c>
    </row>
    <row r="1414" spans="1:20" x14ac:dyDescent="0.35">
      <c r="A1414" s="3" t="str">
        <f>IF(D1414="","",(VLOOKUP($D1414,KEY!$B$5:$D$74,3,FALSE)))</f>
        <v>Southern California</v>
      </c>
      <c r="B1414" s="165">
        <f t="shared" si="5"/>
        <v>45658</v>
      </c>
      <c r="C1414" s="57" t="str">
        <f>IF($B1414="","",YEAR($B1414)&amp;"-"&amp;IFERROR(VLOOKUP(MONTH(B1414),KEY!$AE$5:$AF$16,2,FALSE),""))</f>
        <v>2025-Q1</v>
      </c>
      <c r="D1414" s="3" t="s">
        <v>145</v>
      </c>
      <c r="E1414" s="219">
        <v>39</v>
      </c>
      <c r="F1414" s="166">
        <v>168</v>
      </c>
      <c r="G1414" s="166">
        <v>149</v>
      </c>
      <c r="H1414" s="21">
        <v>362</v>
      </c>
      <c r="I1414" s="21">
        <v>39</v>
      </c>
      <c r="J1414" s="21">
        <v>188</v>
      </c>
      <c r="K1414" s="21">
        <v>35</v>
      </c>
      <c r="L1414" s="21">
        <v>358</v>
      </c>
      <c r="M1414" s="21">
        <v>89</v>
      </c>
      <c r="N1414" s="21">
        <v>166</v>
      </c>
      <c r="O1414" s="19">
        <v>352</v>
      </c>
      <c r="P1414" s="22">
        <v>37</v>
      </c>
      <c r="Q1414" s="22">
        <v>25</v>
      </c>
      <c r="R1414" s="20"/>
      <c r="S1414" s="234">
        <f>COUNTIFS(INP_DATA!$R$5:$R$3027,S$4,INP_DATA!$D$5:$D$3027,$D1414,INP_DATA!$B$5:$B$3027,$B1414)</f>
        <v>0</v>
      </c>
      <c r="T1414" s="235">
        <f>COUNTIFS(INP_DATA!$R$5:$R$3027,T$4,INP_DATA!$D$5:$D$3027,$D1414,INP_DATA!$B$5:$B$3027,$B1414)</f>
        <v>0</v>
      </c>
    </row>
    <row r="1415" spans="1:20" x14ac:dyDescent="0.35">
      <c r="A1415" s="3" t="str">
        <f>IF(D1415="","",(VLOOKUP($D1415,KEY!$B$5:$D$74,3,FALSE)))</f>
        <v>Arizona</v>
      </c>
      <c r="B1415" s="165">
        <f t="shared" si="5"/>
        <v>45658</v>
      </c>
      <c r="C1415" s="57" t="str">
        <f>IF($B1415="","",YEAR($B1415)&amp;"-"&amp;IFERROR(VLOOKUP(MONTH(B1415),KEY!$AE$5:$AF$16,2,FALSE),""))</f>
        <v>2025-Q1</v>
      </c>
      <c r="D1415" s="3" t="s">
        <v>146</v>
      </c>
      <c r="E1415" s="219">
        <v>7</v>
      </c>
      <c r="F1415" s="166">
        <v>41</v>
      </c>
      <c r="G1415" s="166">
        <v>34</v>
      </c>
      <c r="H1415" s="21">
        <v>60</v>
      </c>
      <c r="I1415" s="21">
        <v>13</v>
      </c>
      <c r="J1415" s="21">
        <v>34</v>
      </c>
      <c r="K1415" s="21">
        <v>7</v>
      </c>
      <c r="L1415" s="21">
        <v>53</v>
      </c>
      <c r="M1415" s="21">
        <v>32</v>
      </c>
      <c r="N1415" s="21">
        <v>41</v>
      </c>
      <c r="O1415" s="19">
        <v>66</v>
      </c>
      <c r="P1415" s="22">
        <v>6</v>
      </c>
      <c r="Q1415" s="22">
        <v>4</v>
      </c>
      <c r="R1415" s="20"/>
      <c r="S1415" s="234">
        <f>COUNTIFS(INP_DATA!$R$5:$R$3027,S$4,INP_DATA!$D$5:$D$3027,$D1415,INP_DATA!$B$5:$B$3027,$B1415)</f>
        <v>0</v>
      </c>
      <c r="T1415" s="235">
        <f>COUNTIFS(INP_DATA!$R$5:$R$3027,T$4,INP_DATA!$D$5:$D$3027,$D1415,INP_DATA!$B$5:$B$3027,$B1415)</f>
        <v>0</v>
      </c>
    </row>
    <row r="1416" spans="1:20" x14ac:dyDescent="0.35">
      <c r="A1416" s="3" t="str">
        <f>IF(D1416="","",(VLOOKUP($D1416,KEY!$B$5:$D$74,3,FALSE)))</f>
        <v>Texas</v>
      </c>
      <c r="B1416" s="165">
        <f t="shared" si="5"/>
        <v>45658</v>
      </c>
      <c r="C1416" s="57" t="str">
        <f>IF($B1416="","",YEAR($B1416)&amp;"-"&amp;IFERROR(VLOOKUP(MONTH(B1416),KEY!$AE$5:$AF$16,2,FALSE),""))</f>
        <v>2025-Q1</v>
      </c>
      <c r="D1416" s="3" t="s">
        <v>147</v>
      </c>
      <c r="E1416" s="219">
        <v>4</v>
      </c>
      <c r="F1416" s="166">
        <v>37</v>
      </c>
      <c r="G1416" s="166">
        <v>49</v>
      </c>
      <c r="H1416" s="21">
        <v>51</v>
      </c>
      <c r="I1416" s="21">
        <v>12</v>
      </c>
      <c r="J1416" s="21">
        <v>28</v>
      </c>
      <c r="K1416" s="21">
        <v>10</v>
      </c>
      <c r="L1416" s="21">
        <v>69</v>
      </c>
      <c r="M1416" s="21">
        <v>27</v>
      </c>
      <c r="N1416" s="21">
        <v>38</v>
      </c>
      <c r="O1416" s="19">
        <v>88</v>
      </c>
      <c r="P1416" s="22">
        <v>8</v>
      </c>
      <c r="Q1416" s="22">
        <v>5</v>
      </c>
      <c r="R1416" s="20"/>
      <c r="S1416" s="234">
        <f>COUNTIFS(INP_DATA!$R$5:$R$3027,S$4,INP_DATA!$D$5:$D$3027,$D1416,INP_DATA!$B$5:$B$3027,$B1416)</f>
        <v>0</v>
      </c>
      <c r="T1416" s="235">
        <f>COUNTIFS(INP_DATA!$R$5:$R$3027,T$4,INP_DATA!$D$5:$D$3027,$D1416,INP_DATA!$B$5:$B$3027,$B1416)</f>
        <v>0</v>
      </c>
    </row>
    <row r="1417" spans="1:20" x14ac:dyDescent="0.35">
      <c r="A1417" s="3" t="str">
        <f>IF(D1417="","",(VLOOKUP($D1417,KEY!$B$5:$D$74,3,FALSE)))</f>
        <v>Northern California</v>
      </c>
      <c r="B1417" s="165">
        <f t="shared" si="5"/>
        <v>45658</v>
      </c>
      <c r="C1417" s="57" t="str">
        <f>IF($B1417="","",YEAR($B1417)&amp;"-"&amp;IFERROR(VLOOKUP(MONTH(B1417),KEY!$AE$5:$AF$16,2,FALSE),""))</f>
        <v>2025-Q1</v>
      </c>
      <c r="D1417" s="3" t="s">
        <v>148</v>
      </c>
      <c r="E1417" s="219">
        <v>16</v>
      </c>
      <c r="F1417" s="166">
        <v>45</v>
      </c>
      <c r="G1417" s="166">
        <v>40</v>
      </c>
      <c r="H1417" s="21">
        <v>108</v>
      </c>
      <c r="I1417" s="21">
        <v>12</v>
      </c>
      <c r="J1417" s="21">
        <v>47</v>
      </c>
      <c r="K1417" s="21">
        <v>6</v>
      </c>
      <c r="L1417" s="21">
        <v>90</v>
      </c>
      <c r="M1417" s="21">
        <v>30</v>
      </c>
      <c r="N1417" s="21">
        <v>45</v>
      </c>
      <c r="O1417" s="19">
        <v>66</v>
      </c>
      <c r="P1417" s="22">
        <v>7</v>
      </c>
      <c r="Q1417" s="22">
        <v>3</v>
      </c>
      <c r="R1417" s="20"/>
      <c r="S1417" s="234">
        <f>COUNTIFS(INP_DATA!$R$5:$R$3027,S$4,INP_DATA!$D$5:$D$3027,$D1417,INP_DATA!$B$5:$B$3027,$B1417)</f>
        <v>0</v>
      </c>
      <c r="T1417" s="235">
        <f>COUNTIFS(INP_DATA!$R$5:$R$3027,T$4,INP_DATA!$D$5:$D$3027,$D1417,INP_DATA!$B$5:$B$3027,$B1417)</f>
        <v>0</v>
      </c>
    </row>
    <row r="1418" spans="1:20" x14ac:dyDescent="0.35">
      <c r="A1418" s="3" t="str">
        <f>IF(D1418="","",(VLOOKUP($D1418,KEY!$B$5:$D$74,3,FALSE)))</f>
        <v>Orange County</v>
      </c>
      <c r="B1418" s="165">
        <f t="shared" si="5"/>
        <v>45658</v>
      </c>
      <c r="C1418" s="57" t="str">
        <f>IF($B1418="","",YEAR($B1418)&amp;"-"&amp;IFERROR(VLOOKUP(MONTH(B1418),KEY!$AE$5:$AF$16,2,FALSE),""))</f>
        <v>2025-Q1</v>
      </c>
      <c r="D1418" s="3" t="s">
        <v>149</v>
      </c>
      <c r="E1418" s="219">
        <v>9</v>
      </c>
      <c r="F1418" s="166">
        <v>23</v>
      </c>
      <c r="G1418" s="166">
        <v>28</v>
      </c>
      <c r="H1418" s="21">
        <v>30</v>
      </c>
      <c r="I1418" s="21">
        <v>3</v>
      </c>
      <c r="J1418" s="21">
        <v>13</v>
      </c>
      <c r="K1418" s="21">
        <v>5</v>
      </c>
      <c r="L1418" s="21">
        <v>46</v>
      </c>
      <c r="M1418" s="21">
        <v>21</v>
      </c>
      <c r="N1418" s="21">
        <v>23</v>
      </c>
      <c r="O1418" s="19">
        <v>66</v>
      </c>
      <c r="P1418" s="22">
        <v>0</v>
      </c>
      <c r="Q1418" s="22">
        <v>0</v>
      </c>
      <c r="R1418" s="20"/>
      <c r="S1418" s="234">
        <f>COUNTIFS(INP_DATA!$R$5:$R$3027,S$4,INP_DATA!$D$5:$D$3027,$D1418,INP_DATA!$B$5:$B$3027,$B1418)</f>
        <v>0</v>
      </c>
      <c r="T1418" s="235">
        <f>COUNTIFS(INP_DATA!$R$5:$R$3027,T$4,INP_DATA!$D$5:$D$3027,$D1418,INP_DATA!$B$5:$B$3027,$B1418)</f>
        <v>0</v>
      </c>
    </row>
    <row r="1419" spans="1:20" x14ac:dyDescent="0.35">
      <c r="A1419" s="3" t="str">
        <f>IF(D1419="","",(VLOOKUP($D1419,KEY!$B$5:$D$74,3,FALSE)))</f>
        <v>Southern California</v>
      </c>
      <c r="B1419" s="165">
        <f t="shared" si="5"/>
        <v>45658</v>
      </c>
      <c r="C1419" s="57" t="str">
        <f>IF($B1419="","",YEAR($B1419)&amp;"-"&amp;IFERROR(VLOOKUP(MONTH(B1419),KEY!$AE$5:$AF$16,2,FALSE),""))</f>
        <v>2025-Q1</v>
      </c>
      <c r="D1419" s="3" t="s">
        <v>150</v>
      </c>
      <c r="E1419" s="219">
        <v>11</v>
      </c>
      <c r="F1419" s="166">
        <v>37</v>
      </c>
      <c r="G1419" s="166">
        <v>47</v>
      </c>
      <c r="H1419" s="21">
        <v>39</v>
      </c>
      <c r="I1419" s="21">
        <v>7</v>
      </c>
      <c r="J1419" s="21">
        <v>24</v>
      </c>
      <c r="K1419" s="21">
        <v>6</v>
      </c>
      <c r="L1419" s="21">
        <v>52</v>
      </c>
      <c r="M1419" s="21">
        <v>19</v>
      </c>
      <c r="N1419" s="21">
        <v>37</v>
      </c>
      <c r="O1419" s="19">
        <v>66</v>
      </c>
      <c r="P1419" s="22">
        <v>11</v>
      </c>
      <c r="Q1419" s="22">
        <v>6</v>
      </c>
      <c r="R1419" s="20"/>
      <c r="S1419" s="234">
        <f>COUNTIFS(INP_DATA!$R$5:$R$3027,S$4,INP_DATA!$D$5:$D$3027,$D1419,INP_DATA!$B$5:$B$3027,$B1419)</f>
        <v>0</v>
      </c>
      <c r="T1419" s="235">
        <f>COUNTIFS(INP_DATA!$R$5:$R$3027,T$4,INP_DATA!$D$5:$D$3027,$D1419,INP_DATA!$B$5:$B$3027,$B1419)</f>
        <v>0</v>
      </c>
    </row>
    <row r="1420" spans="1:20" x14ac:dyDescent="0.35">
      <c r="A1420" s="3" t="str">
        <f>IF(D1420="","",(VLOOKUP($D1420,KEY!$B$5:$D$74,3,FALSE)))</f>
        <v>Arizona</v>
      </c>
      <c r="B1420" s="165">
        <f t="shared" si="5"/>
        <v>45658</v>
      </c>
      <c r="C1420" s="57" t="str">
        <f>IF($B1420="","",YEAR($B1420)&amp;"-"&amp;IFERROR(VLOOKUP(MONTH(B1420),KEY!$AE$5:$AF$16,2,FALSE),""))</f>
        <v>2025-Q1</v>
      </c>
      <c r="D1420" s="3" t="s">
        <v>151</v>
      </c>
      <c r="E1420" s="219">
        <v>8</v>
      </c>
      <c r="F1420" s="166">
        <v>26</v>
      </c>
      <c r="G1420" s="166">
        <v>24</v>
      </c>
      <c r="H1420" s="21">
        <v>62</v>
      </c>
      <c r="I1420" s="21">
        <v>8</v>
      </c>
      <c r="J1420" s="21">
        <v>14</v>
      </c>
      <c r="K1420" s="21">
        <v>2</v>
      </c>
      <c r="L1420" s="21">
        <v>44</v>
      </c>
      <c r="M1420" s="21">
        <v>19</v>
      </c>
      <c r="N1420" s="21">
        <v>26</v>
      </c>
      <c r="O1420" s="19">
        <v>88</v>
      </c>
      <c r="P1420" s="22">
        <v>5</v>
      </c>
      <c r="Q1420" s="22">
        <v>1</v>
      </c>
      <c r="R1420" s="20"/>
      <c r="S1420" s="234">
        <f>COUNTIFS(INP_DATA!$R$5:$R$3027,S$4,INP_DATA!$D$5:$D$3027,$D1420,INP_DATA!$B$5:$B$3027,$B1420)</f>
        <v>0</v>
      </c>
      <c r="T1420" s="235">
        <f>COUNTIFS(INP_DATA!$R$5:$R$3027,T$4,INP_DATA!$D$5:$D$3027,$D1420,INP_DATA!$B$5:$B$3027,$B1420)</f>
        <v>0</v>
      </c>
    </row>
    <row r="1421" spans="1:20" x14ac:dyDescent="0.35">
      <c r="A1421" s="3" t="str">
        <f>IF(D1421="","",(VLOOKUP($D1421,KEY!$B$5:$D$74,3,FALSE)))</f>
        <v>Michigan &amp; Minnesota</v>
      </c>
      <c r="B1421" s="165">
        <f t="shared" si="5"/>
        <v>45658</v>
      </c>
      <c r="C1421" s="57" t="str">
        <f>IF($B1421="","",YEAR($B1421)&amp;"-"&amp;IFERROR(VLOOKUP(MONTH(B1421),KEY!$AE$5:$AF$16,2,FALSE),""))</f>
        <v>2025-Q1</v>
      </c>
      <c r="D1421" s="3" t="s">
        <v>206</v>
      </c>
      <c r="E1421" s="219">
        <v>15</v>
      </c>
      <c r="F1421" s="166">
        <v>213</v>
      </c>
      <c r="G1421" s="166">
        <v>184</v>
      </c>
      <c r="H1421" s="21">
        <v>367</v>
      </c>
      <c r="I1421" s="21">
        <v>69</v>
      </c>
      <c r="J1421" s="21">
        <v>167</v>
      </c>
      <c r="K1421" s="21">
        <v>35</v>
      </c>
      <c r="L1421" s="21">
        <v>440</v>
      </c>
      <c r="M1421" s="21">
        <v>133</v>
      </c>
      <c r="N1421" s="21">
        <v>215</v>
      </c>
      <c r="O1421" s="19">
        <v>374</v>
      </c>
      <c r="P1421" s="22">
        <v>32</v>
      </c>
      <c r="Q1421" s="22">
        <v>19</v>
      </c>
      <c r="R1421" s="20"/>
      <c r="S1421" s="234">
        <f>COUNTIFS(INP_DATA!$R$5:$R$3027,S$4,INP_DATA!$D$5:$D$3027,$D1421,INP_DATA!$B$5:$B$3027,$B1421)</f>
        <v>0</v>
      </c>
      <c r="T1421" s="235">
        <f>COUNTIFS(INP_DATA!$R$5:$R$3027,T$4,INP_DATA!$D$5:$D$3027,$D1421,INP_DATA!$B$5:$B$3027,$B1421)</f>
        <v>0</v>
      </c>
    </row>
    <row r="1422" spans="1:20" x14ac:dyDescent="0.35">
      <c r="A1422" s="3" t="str">
        <f>IF(D1422="","",(VLOOKUP($D1422,KEY!$B$5:$D$74,3,FALSE)))</f>
        <v>Michigan &amp; Minnesota</v>
      </c>
      <c r="B1422" s="165">
        <f t="shared" si="5"/>
        <v>45658</v>
      </c>
      <c r="C1422" s="57" t="str">
        <f>IF($B1422="","",YEAR($B1422)&amp;"-"&amp;IFERROR(VLOOKUP(MONTH(B1422),KEY!$AE$5:$AF$16,2,FALSE),""))</f>
        <v>2025-Q1</v>
      </c>
      <c r="D1422" s="3" t="s">
        <v>207</v>
      </c>
      <c r="E1422" s="219">
        <v>1</v>
      </c>
      <c r="F1422" s="166">
        <v>27</v>
      </c>
      <c r="G1422" s="166">
        <v>51</v>
      </c>
      <c r="H1422" s="21">
        <v>62</v>
      </c>
      <c r="I1422" s="21">
        <v>5</v>
      </c>
      <c r="J1422" s="21">
        <v>28</v>
      </c>
      <c r="K1422" s="21">
        <v>6</v>
      </c>
      <c r="L1422" s="21">
        <v>34</v>
      </c>
      <c r="M1422" s="21">
        <v>9</v>
      </c>
      <c r="N1422" s="21">
        <v>27</v>
      </c>
      <c r="O1422" s="19">
        <v>110</v>
      </c>
      <c r="P1422" s="22">
        <v>8</v>
      </c>
      <c r="Q1422" s="22">
        <v>4</v>
      </c>
      <c r="R1422" s="20"/>
      <c r="S1422" s="234">
        <f>COUNTIFS(INP_DATA!$R$5:$R$3027,S$4,INP_DATA!$D$5:$D$3027,$D1422,INP_DATA!$B$5:$B$3027,$B1422)</f>
        <v>0</v>
      </c>
      <c r="T1422" s="235">
        <f>COUNTIFS(INP_DATA!$R$5:$R$3027,T$4,INP_DATA!$D$5:$D$3027,$D1422,INP_DATA!$B$5:$B$3027,$B1422)</f>
        <v>0</v>
      </c>
    </row>
    <row r="1423" spans="1:20" x14ac:dyDescent="0.35">
      <c r="A1423" s="3" t="str">
        <f>IF(D1423="","",(VLOOKUP($D1423,KEY!$B$5:$D$74,3,FALSE)))</f>
        <v>Indiana</v>
      </c>
      <c r="B1423" s="165">
        <f t="shared" si="5"/>
        <v>45658</v>
      </c>
      <c r="C1423" s="57" t="str">
        <f>IF($B1423="","",YEAR($B1423)&amp;"-"&amp;IFERROR(VLOOKUP(MONTH(B1423),KEY!$AE$5:$AF$16,2,FALSE),""))</f>
        <v>2025-Q1</v>
      </c>
      <c r="D1423" s="3" t="s">
        <v>208</v>
      </c>
      <c r="E1423" s="219">
        <v>0</v>
      </c>
      <c r="F1423" s="166">
        <v>100</v>
      </c>
      <c r="G1423" s="166">
        <v>85</v>
      </c>
      <c r="H1423" s="21">
        <v>291</v>
      </c>
      <c r="I1423" s="21">
        <v>31</v>
      </c>
      <c r="J1423" s="21">
        <v>93</v>
      </c>
      <c r="K1423" s="21">
        <v>19</v>
      </c>
      <c r="L1423" s="21">
        <v>141</v>
      </c>
      <c r="M1423" s="21">
        <v>55</v>
      </c>
      <c r="N1423" s="21">
        <v>100</v>
      </c>
      <c r="O1423" s="19">
        <v>242</v>
      </c>
      <c r="P1423" s="22">
        <v>12</v>
      </c>
      <c r="Q1423" s="22">
        <v>5</v>
      </c>
      <c r="R1423" s="20"/>
      <c r="S1423" s="234">
        <f>COUNTIFS(INP_DATA!$R$5:$R$3027,S$4,INP_DATA!$D$5:$D$3027,$D1423,INP_DATA!$B$5:$B$3027,$B1423)</f>
        <v>0</v>
      </c>
      <c r="T1423" s="235">
        <f>COUNTIFS(INP_DATA!$R$5:$R$3027,T$4,INP_DATA!$D$5:$D$3027,$D1423,INP_DATA!$B$5:$B$3027,$B1423)</f>
        <v>0</v>
      </c>
    </row>
    <row r="1424" spans="1:20" x14ac:dyDescent="0.35">
      <c r="A1424" s="3" t="str">
        <f>IF(D1424="","",(VLOOKUP($D1424,KEY!$B$5:$D$74,3,FALSE)))</f>
        <v>Indiana</v>
      </c>
      <c r="B1424" s="165">
        <f t="shared" si="5"/>
        <v>45658</v>
      </c>
      <c r="C1424" s="57" t="str">
        <f>IF($B1424="","",YEAR($B1424)&amp;"-"&amp;IFERROR(VLOOKUP(MONTH(B1424),KEY!$AE$5:$AF$16,2,FALSE),""))</f>
        <v>2025-Q1</v>
      </c>
      <c r="D1424" s="3" t="s">
        <v>209</v>
      </c>
      <c r="E1424" s="219">
        <v>10</v>
      </c>
      <c r="F1424" s="166">
        <v>408</v>
      </c>
      <c r="G1424" s="166">
        <v>444</v>
      </c>
      <c r="H1424" s="21">
        <v>564</v>
      </c>
      <c r="I1424" s="21">
        <v>99</v>
      </c>
      <c r="J1424" s="21">
        <v>259</v>
      </c>
      <c r="K1424" s="21">
        <v>76</v>
      </c>
      <c r="L1424" s="21">
        <v>397</v>
      </c>
      <c r="M1424" s="21">
        <v>184</v>
      </c>
      <c r="N1424" s="21">
        <v>409</v>
      </c>
      <c r="O1424" s="19">
        <v>528</v>
      </c>
      <c r="P1424" s="22">
        <v>52</v>
      </c>
      <c r="Q1424" s="22">
        <v>31</v>
      </c>
      <c r="R1424" s="20"/>
      <c r="S1424" s="234">
        <f>COUNTIFS(INP_DATA!$R$5:$R$3027,S$4,INP_DATA!$D$5:$D$3027,$D1424,INP_DATA!$B$5:$B$3027,$B1424)</f>
        <v>0</v>
      </c>
      <c r="T1424" s="235">
        <f>COUNTIFS(INP_DATA!$R$5:$R$3027,T$4,INP_DATA!$D$5:$D$3027,$D1424,INP_DATA!$B$5:$B$3027,$B1424)</f>
        <v>0</v>
      </c>
    </row>
    <row r="1425" spans="1:20" x14ac:dyDescent="0.35">
      <c r="A1425" s="3" t="str">
        <f>IF(D1425="","",(VLOOKUP($D1425,KEY!$B$5:$D$74,3,FALSE)))</f>
        <v>Northern California</v>
      </c>
      <c r="B1425" s="165">
        <f t="shared" si="5"/>
        <v>45658</v>
      </c>
      <c r="C1425" s="57" t="str">
        <f>IF($B1425="","",YEAR($B1425)&amp;"-"&amp;IFERROR(VLOOKUP(MONTH(B1425),KEY!$AE$5:$AF$16,2,FALSE),""))</f>
        <v>2025-Q1</v>
      </c>
      <c r="D1425" s="3" t="s">
        <v>152</v>
      </c>
      <c r="E1425" s="219">
        <v>46</v>
      </c>
      <c r="F1425" s="166">
        <v>174</v>
      </c>
      <c r="G1425" s="166">
        <v>188</v>
      </c>
      <c r="H1425" s="21">
        <v>387</v>
      </c>
      <c r="I1425" s="21">
        <v>59</v>
      </c>
      <c r="J1425" s="21">
        <v>140</v>
      </c>
      <c r="K1425" s="21">
        <v>35</v>
      </c>
      <c r="L1425" s="21">
        <v>379</v>
      </c>
      <c r="M1425" s="21">
        <v>132</v>
      </c>
      <c r="N1425" s="21">
        <v>176</v>
      </c>
      <c r="O1425" s="19">
        <v>286</v>
      </c>
      <c r="P1425" s="22">
        <v>76</v>
      </c>
      <c r="Q1425" s="22">
        <v>47</v>
      </c>
      <c r="R1425" s="20"/>
      <c r="S1425" s="234">
        <f>COUNTIFS(INP_DATA!$R$5:$R$3027,S$4,INP_DATA!$D$5:$D$3027,$D1425,INP_DATA!$B$5:$B$3027,$B1425)</f>
        <v>0</v>
      </c>
      <c r="T1425" s="235">
        <f>COUNTIFS(INP_DATA!$R$5:$R$3027,T$4,INP_DATA!$D$5:$D$3027,$D1425,INP_DATA!$B$5:$B$3027,$B1425)</f>
        <v>0</v>
      </c>
    </row>
    <row r="1426" spans="1:20" x14ac:dyDescent="0.35">
      <c r="A1426" s="3" t="str">
        <f>IF(D1426="","",(VLOOKUP($D1426,KEY!$B$5:$D$74,3,FALSE)))</f>
        <v>Arizona</v>
      </c>
      <c r="B1426" s="165">
        <f t="shared" si="5"/>
        <v>45658</v>
      </c>
      <c r="C1426" s="57" t="str">
        <f>IF($B1426="","",YEAR($B1426)&amp;"-"&amp;IFERROR(VLOOKUP(MONTH(B1426),KEY!$AE$5:$AF$16,2,FALSE),""))</f>
        <v>2025-Q1</v>
      </c>
      <c r="D1426" s="3" t="s">
        <v>153</v>
      </c>
      <c r="E1426" s="219">
        <v>40</v>
      </c>
      <c r="F1426" s="166">
        <v>97</v>
      </c>
      <c r="G1426" s="166">
        <v>117</v>
      </c>
      <c r="H1426" s="21">
        <v>150</v>
      </c>
      <c r="I1426" s="21">
        <v>15</v>
      </c>
      <c r="J1426" s="21">
        <v>89</v>
      </c>
      <c r="K1426" s="21">
        <v>11</v>
      </c>
      <c r="L1426" s="21">
        <v>330</v>
      </c>
      <c r="M1426" s="21">
        <v>62</v>
      </c>
      <c r="N1426" s="21">
        <v>97</v>
      </c>
      <c r="O1426" s="19">
        <v>286</v>
      </c>
      <c r="P1426" s="22">
        <v>8</v>
      </c>
      <c r="Q1426" s="22">
        <v>0</v>
      </c>
      <c r="R1426" s="20"/>
      <c r="S1426" s="234">
        <f>COUNTIFS(INP_DATA!$R$5:$R$3027,S$4,INP_DATA!$D$5:$D$3027,$D1426,INP_DATA!$B$5:$B$3027,$B1426)</f>
        <v>0</v>
      </c>
      <c r="T1426" s="235">
        <f>COUNTIFS(INP_DATA!$R$5:$R$3027,T$4,INP_DATA!$D$5:$D$3027,$D1426,INP_DATA!$B$5:$B$3027,$B1426)</f>
        <v>0</v>
      </c>
    </row>
    <row r="1427" spans="1:20" x14ac:dyDescent="0.35">
      <c r="A1427" s="3" t="str">
        <f>IF(D1427="","",(VLOOKUP($D1427,KEY!$B$5:$D$74,3,FALSE)))</f>
        <v>Northern California</v>
      </c>
      <c r="B1427" s="165">
        <f t="shared" si="5"/>
        <v>45658</v>
      </c>
      <c r="C1427" s="57" t="str">
        <f>IF($B1427="","",YEAR($B1427)&amp;"-"&amp;IFERROR(VLOOKUP(MONTH(B1427),KEY!$AE$5:$AF$16,2,FALSE),""))</f>
        <v>2025-Q1</v>
      </c>
      <c r="D1427" s="3" t="s">
        <v>154</v>
      </c>
      <c r="E1427" s="219">
        <v>18</v>
      </c>
      <c r="F1427" s="166">
        <v>76</v>
      </c>
      <c r="G1427" s="166">
        <v>60</v>
      </c>
      <c r="H1427" s="21">
        <v>264</v>
      </c>
      <c r="I1427" s="21">
        <v>31</v>
      </c>
      <c r="J1427" s="21">
        <v>125</v>
      </c>
      <c r="K1427" s="21">
        <v>13</v>
      </c>
      <c r="L1427" s="21">
        <v>226</v>
      </c>
      <c r="M1427" s="21">
        <v>39</v>
      </c>
      <c r="N1427" s="21">
        <v>75</v>
      </c>
      <c r="O1427" s="19">
        <v>176</v>
      </c>
      <c r="P1427" s="22">
        <v>11</v>
      </c>
      <c r="Q1427" s="22">
        <v>8</v>
      </c>
      <c r="R1427" s="20"/>
      <c r="S1427" s="234">
        <f>COUNTIFS(INP_DATA!$R$5:$R$3027,S$4,INP_DATA!$D$5:$D$3027,$D1427,INP_DATA!$B$5:$B$3027,$B1427)</f>
        <v>0</v>
      </c>
      <c r="T1427" s="235">
        <f>COUNTIFS(INP_DATA!$R$5:$R$3027,T$4,INP_DATA!$D$5:$D$3027,$D1427,INP_DATA!$B$5:$B$3027,$B1427)</f>
        <v>0</v>
      </c>
    </row>
    <row r="1428" spans="1:20" x14ac:dyDescent="0.35">
      <c r="A1428" s="3" t="str">
        <f>IF(D1428="","",(VLOOKUP($D1428,KEY!$B$5:$D$74,3,FALSE)))</f>
        <v>Texas</v>
      </c>
      <c r="B1428" s="165">
        <f t="shared" si="5"/>
        <v>45658</v>
      </c>
      <c r="C1428" s="57" t="str">
        <f>IF($B1428="","",YEAR($B1428)&amp;"-"&amp;IFERROR(VLOOKUP(MONTH(B1428),KEY!$AE$5:$AF$16,2,FALSE),""))</f>
        <v>2025-Q1</v>
      </c>
      <c r="D1428" s="3" t="s">
        <v>155</v>
      </c>
      <c r="E1428" s="219">
        <v>43</v>
      </c>
      <c r="F1428" s="166">
        <v>295</v>
      </c>
      <c r="G1428" s="166">
        <v>292</v>
      </c>
      <c r="H1428" s="21">
        <v>701</v>
      </c>
      <c r="I1428" s="21">
        <v>107</v>
      </c>
      <c r="J1428" s="21">
        <v>197</v>
      </c>
      <c r="K1428" s="21">
        <v>34</v>
      </c>
      <c r="L1428" s="21">
        <v>373</v>
      </c>
      <c r="M1428" s="21">
        <v>134</v>
      </c>
      <c r="N1428" s="21">
        <v>295</v>
      </c>
      <c r="O1428" s="19">
        <v>506</v>
      </c>
      <c r="P1428" s="22">
        <v>28</v>
      </c>
      <c r="Q1428" s="22">
        <v>17</v>
      </c>
      <c r="R1428" s="20"/>
      <c r="S1428" s="234">
        <f>COUNTIFS(INP_DATA!$R$5:$R$3027,S$4,INP_DATA!$D$5:$D$3027,$D1428,INP_DATA!$B$5:$B$3027,$B1428)</f>
        <v>0</v>
      </c>
      <c r="T1428" s="235">
        <f>COUNTIFS(INP_DATA!$R$5:$R$3027,T$4,INP_DATA!$D$5:$D$3027,$D1428,INP_DATA!$B$5:$B$3027,$B1428)</f>
        <v>0</v>
      </c>
    </row>
    <row r="1429" spans="1:20" x14ac:dyDescent="0.35">
      <c r="A1429" s="3" t="str">
        <f>IF(D1429="","",(VLOOKUP($D1429,KEY!$B$5:$D$74,3,FALSE)))</f>
        <v>Texas</v>
      </c>
      <c r="B1429" s="165">
        <f t="shared" si="5"/>
        <v>45658</v>
      </c>
      <c r="C1429" s="57" t="str">
        <f>IF($B1429="","",YEAR($B1429)&amp;"-"&amp;IFERROR(VLOOKUP(MONTH(B1429),KEY!$AE$5:$AF$16,2,FALSE),""))</f>
        <v>2025-Q1</v>
      </c>
      <c r="D1429" s="3" t="s">
        <v>156</v>
      </c>
      <c r="E1429" s="219">
        <v>34</v>
      </c>
      <c r="F1429" s="166">
        <v>198</v>
      </c>
      <c r="G1429" s="166">
        <v>194</v>
      </c>
      <c r="H1429" s="21">
        <v>378</v>
      </c>
      <c r="I1429" s="21">
        <v>71</v>
      </c>
      <c r="J1429" s="21">
        <v>132</v>
      </c>
      <c r="K1429" s="21">
        <v>31</v>
      </c>
      <c r="L1429" s="21">
        <v>236</v>
      </c>
      <c r="M1429" s="21">
        <v>85</v>
      </c>
      <c r="N1429" s="21">
        <v>203</v>
      </c>
      <c r="O1429" s="19">
        <v>374</v>
      </c>
      <c r="P1429" s="22">
        <v>5</v>
      </c>
      <c r="Q1429" s="22">
        <v>3</v>
      </c>
      <c r="R1429" s="20"/>
      <c r="S1429" s="234">
        <f>COUNTIFS(INP_DATA!$R$5:$R$3027,S$4,INP_DATA!$D$5:$D$3027,$D1429,INP_DATA!$B$5:$B$3027,$B1429)</f>
        <v>0</v>
      </c>
      <c r="T1429" s="235">
        <f>COUNTIFS(INP_DATA!$R$5:$R$3027,T$4,INP_DATA!$D$5:$D$3027,$D1429,INP_DATA!$B$5:$B$3027,$B1429)</f>
        <v>0</v>
      </c>
    </row>
    <row r="1430" spans="1:20" x14ac:dyDescent="0.35">
      <c r="A1430" s="3" t="str">
        <f>IF(D1430="","",(VLOOKUP($D1430,KEY!$B$5:$D$74,3,FALSE)))</f>
        <v>Texas</v>
      </c>
      <c r="B1430" s="165">
        <f t="shared" si="5"/>
        <v>45658</v>
      </c>
      <c r="C1430" s="57" t="str">
        <f>IF($B1430="","",YEAR($B1430)&amp;"-"&amp;IFERROR(VLOOKUP(MONTH(B1430),KEY!$AE$5:$AF$16,2,FALSE),""))</f>
        <v>2025-Q1</v>
      </c>
      <c r="D1430" s="3" t="s">
        <v>157</v>
      </c>
      <c r="E1430" s="219">
        <v>9</v>
      </c>
      <c r="F1430" s="166">
        <v>411</v>
      </c>
      <c r="G1430" s="166">
        <v>406</v>
      </c>
      <c r="H1430" s="21">
        <v>603</v>
      </c>
      <c r="I1430" s="21">
        <v>87</v>
      </c>
      <c r="J1430" s="21">
        <v>326</v>
      </c>
      <c r="K1430" s="21">
        <v>47</v>
      </c>
      <c r="L1430" s="21">
        <v>845</v>
      </c>
      <c r="M1430" s="21">
        <v>193</v>
      </c>
      <c r="N1430" s="21">
        <v>425</v>
      </c>
      <c r="O1430" s="19">
        <v>814</v>
      </c>
      <c r="P1430" s="22">
        <v>7</v>
      </c>
      <c r="Q1430" s="22">
        <v>4</v>
      </c>
      <c r="R1430" s="20"/>
      <c r="S1430" s="234">
        <f>COUNTIFS(INP_DATA!$R$5:$R$3027,S$4,INP_DATA!$D$5:$D$3027,$D1430,INP_DATA!$B$5:$B$3027,$B1430)</f>
        <v>0</v>
      </c>
      <c r="T1430" s="235">
        <f>COUNTIFS(INP_DATA!$R$5:$R$3027,T$4,INP_DATA!$D$5:$D$3027,$D1430,INP_DATA!$B$5:$B$3027,$B1430)</f>
        <v>0</v>
      </c>
    </row>
    <row r="1431" spans="1:20" x14ac:dyDescent="0.35">
      <c r="A1431" s="3" t="str">
        <f>IF(D1431="","",(VLOOKUP($D1431,KEY!$B$5:$D$74,3,FALSE)))</f>
        <v>Arizona</v>
      </c>
      <c r="B1431" s="165">
        <f t="shared" si="5"/>
        <v>45658</v>
      </c>
      <c r="C1431" s="57" t="str">
        <f>IF($B1431="","",YEAR($B1431)&amp;"-"&amp;IFERROR(VLOOKUP(MONTH(B1431),KEY!$AE$5:$AF$16,2,FALSE),""))</f>
        <v>2025-Q1</v>
      </c>
      <c r="D1431" s="3" t="s">
        <v>158</v>
      </c>
      <c r="E1431" s="219">
        <v>8</v>
      </c>
      <c r="F1431" s="166">
        <v>27</v>
      </c>
      <c r="G1431" s="166">
        <v>33</v>
      </c>
      <c r="H1431" s="21">
        <v>83</v>
      </c>
      <c r="I1431" s="21">
        <v>6</v>
      </c>
      <c r="J1431" s="21">
        <v>30</v>
      </c>
      <c r="K1431" s="21">
        <v>4</v>
      </c>
      <c r="L1431" s="21">
        <v>67</v>
      </c>
      <c r="M1431" s="21">
        <v>25</v>
      </c>
      <c r="N1431" s="21">
        <v>27</v>
      </c>
      <c r="O1431" s="19">
        <v>132</v>
      </c>
      <c r="P1431" s="22">
        <v>3</v>
      </c>
      <c r="Q1431" s="22">
        <v>0</v>
      </c>
      <c r="R1431" s="20"/>
      <c r="S1431" s="234">
        <f>COUNTIFS(INP_DATA!$R$5:$R$3027,S$4,INP_DATA!$D$5:$D$3027,$D1431,INP_DATA!$B$5:$B$3027,$B1431)</f>
        <v>0</v>
      </c>
      <c r="T1431" s="235">
        <f>COUNTIFS(INP_DATA!$R$5:$R$3027,T$4,INP_DATA!$D$5:$D$3027,$D1431,INP_DATA!$B$5:$B$3027,$B1431)</f>
        <v>0</v>
      </c>
    </row>
    <row r="1432" spans="1:20" x14ac:dyDescent="0.35">
      <c r="A1432" s="3" t="str">
        <f>IF(D1432="","",(VLOOKUP($D1432,KEY!$B$5:$D$74,3,FALSE)))</f>
        <v>Orange County</v>
      </c>
      <c r="B1432" s="165">
        <f t="shared" si="5"/>
        <v>45658</v>
      </c>
      <c r="C1432" s="57" t="str">
        <f>IF($B1432="","",YEAR($B1432)&amp;"-"&amp;IFERROR(VLOOKUP(MONTH(B1432),KEY!$AE$5:$AF$16,2,FALSE),""))</f>
        <v>2025-Q1</v>
      </c>
      <c r="D1432" s="3" t="s">
        <v>159</v>
      </c>
      <c r="E1432" s="219">
        <v>17</v>
      </c>
      <c r="F1432" s="166">
        <v>100</v>
      </c>
      <c r="G1432" s="166">
        <v>106</v>
      </c>
      <c r="H1432" s="21">
        <v>214</v>
      </c>
      <c r="I1432" s="21">
        <v>32</v>
      </c>
      <c r="J1432" s="21">
        <v>64</v>
      </c>
      <c r="K1432" s="21">
        <v>15</v>
      </c>
      <c r="L1432" s="21">
        <v>174</v>
      </c>
      <c r="M1432" s="21">
        <v>66</v>
      </c>
      <c r="N1432" s="21">
        <v>100</v>
      </c>
      <c r="O1432" s="19">
        <v>220</v>
      </c>
      <c r="P1432" s="22">
        <v>15</v>
      </c>
      <c r="Q1432" s="22">
        <v>13</v>
      </c>
      <c r="R1432" s="20"/>
      <c r="S1432" s="234">
        <f>COUNTIFS(INP_DATA!$R$5:$R$3027,S$4,INP_DATA!$D$5:$D$3027,$D1432,INP_DATA!$B$5:$B$3027,$B1432)</f>
        <v>0</v>
      </c>
      <c r="T1432" s="235">
        <f>COUNTIFS(INP_DATA!$R$5:$R$3027,T$4,INP_DATA!$D$5:$D$3027,$D1432,INP_DATA!$B$5:$B$3027,$B1432)</f>
        <v>0</v>
      </c>
    </row>
    <row r="1433" spans="1:20" x14ac:dyDescent="0.35">
      <c r="A1433" s="3" t="str">
        <f>IF(D1433="","",(VLOOKUP($D1433,KEY!$B$5:$D$74,3,FALSE)))</f>
        <v>Arizona</v>
      </c>
      <c r="B1433" s="165">
        <f t="shared" si="5"/>
        <v>45658</v>
      </c>
      <c r="C1433" s="57" t="str">
        <f>IF($B1433="","",YEAR($B1433)&amp;"-"&amp;IFERROR(VLOOKUP(MONTH(B1433),KEY!$AE$5:$AF$16,2,FALSE),""))</f>
        <v>2025-Q1</v>
      </c>
      <c r="D1433" s="3" t="s">
        <v>160</v>
      </c>
      <c r="E1433" s="219">
        <v>66</v>
      </c>
      <c r="F1433" s="166">
        <v>321</v>
      </c>
      <c r="G1433" s="166">
        <v>308</v>
      </c>
      <c r="H1433" s="21">
        <v>577</v>
      </c>
      <c r="I1433" s="21">
        <v>105</v>
      </c>
      <c r="J1433" s="21">
        <v>183</v>
      </c>
      <c r="K1433" s="21">
        <v>28</v>
      </c>
      <c r="L1433" s="21">
        <v>438</v>
      </c>
      <c r="M1433" s="21">
        <v>208</v>
      </c>
      <c r="N1433" s="21">
        <v>322</v>
      </c>
      <c r="O1433" s="19">
        <v>550</v>
      </c>
      <c r="P1433" s="22">
        <v>31</v>
      </c>
      <c r="Q1433" s="22">
        <v>17</v>
      </c>
      <c r="R1433" s="20"/>
      <c r="S1433" s="234">
        <f>COUNTIFS(INP_DATA!$R$5:$R$3027,S$4,INP_DATA!$D$5:$D$3027,$D1433,INP_DATA!$B$5:$B$3027,$B1433)</f>
        <v>0</v>
      </c>
      <c r="T1433" s="235">
        <f>COUNTIFS(INP_DATA!$R$5:$R$3027,T$4,INP_DATA!$D$5:$D$3027,$D1433,INP_DATA!$B$5:$B$3027,$B1433)</f>
        <v>0</v>
      </c>
    </row>
    <row r="1434" spans="1:20" x14ac:dyDescent="0.35">
      <c r="A1434" s="3" t="str">
        <f>IF(D1434="","",(VLOOKUP($D1434,KEY!$B$5:$D$74,3,FALSE)))</f>
        <v>Northern California</v>
      </c>
      <c r="B1434" s="165">
        <f t="shared" si="5"/>
        <v>45658</v>
      </c>
      <c r="C1434" s="57" t="str">
        <f>IF($B1434="","",YEAR($B1434)&amp;"-"&amp;IFERROR(VLOOKUP(MONTH(B1434),KEY!$AE$5:$AF$16,2,FALSE),""))</f>
        <v>2025-Q1</v>
      </c>
      <c r="D1434" s="3" t="s">
        <v>161</v>
      </c>
      <c r="E1434" s="219">
        <v>34</v>
      </c>
      <c r="F1434" s="166">
        <v>253</v>
      </c>
      <c r="G1434" s="166">
        <v>258</v>
      </c>
      <c r="H1434" s="21">
        <v>454</v>
      </c>
      <c r="I1434" s="21">
        <v>70</v>
      </c>
      <c r="J1434" s="21">
        <v>227</v>
      </c>
      <c r="K1434" s="21">
        <v>51</v>
      </c>
      <c r="L1434" s="21">
        <v>380</v>
      </c>
      <c r="M1434" s="21">
        <v>103</v>
      </c>
      <c r="N1434" s="21">
        <v>272</v>
      </c>
      <c r="O1434" s="19">
        <v>440</v>
      </c>
      <c r="P1434" s="22">
        <v>9</v>
      </c>
      <c r="Q1434" s="22">
        <v>6</v>
      </c>
      <c r="R1434" s="20"/>
      <c r="S1434" s="234">
        <f>COUNTIFS(INP_DATA!$R$5:$R$3027,S$4,INP_DATA!$D$5:$D$3027,$D1434,INP_DATA!$B$5:$B$3027,$B1434)</f>
        <v>0</v>
      </c>
      <c r="T1434" s="235">
        <f>COUNTIFS(INP_DATA!$R$5:$R$3027,T$4,INP_DATA!$D$5:$D$3027,$D1434,INP_DATA!$B$5:$B$3027,$B1434)</f>
        <v>0</v>
      </c>
    </row>
    <row r="1435" spans="1:20" x14ac:dyDescent="0.35">
      <c r="A1435" s="3" t="e">
        <f>IF(D1435="","",(VLOOKUP($D1435,KEY!$B$5:$D$74,3,FALSE)))</f>
        <v>#N/A</v>
      </c>
      <c r="B1435" s="165">
        <f t="shared" si="5"/>
        <v>45658</v>
      </c>
      <c r="C1435" s="57" t="str">
        <f>IF($B1435="","",YEAR($B1435)&amp;"-"&amp;IFERROR(VLOOKUP(MONTH(B1435),KEY!$AE$5:$AF$16,2,FALSE),""))</f>
        <v>2025-Q1</v>
      </c>
      <c r="D1435" s="3" t="s">
        <v>162</v>
      </c>
      <c r="E1435" s="219">
        <v>103</v>
      </c>
      <c r="F1435" s="166">
        <v>391</v>
      </c>
      <c r="G1435" s="166">
        <v>361</v>
      </c>
      <c r="H1435" s="21">
        <v>376</v>
      </c>
      <c r="I1435" s="21">
        <v>79</v>
      </c>
      <c r="J1435" s="21">
        <v>217</v>
      </c>
      <c r="K1435" s="21">
        <v>95</v>
      </c>
      <c r="L1435" s="21">
        <v>851</v>
      </c>
      <c r="M1435" s="21">
        <v>202</v>
      </c>
      <c r="N1435" s="21">
        <v>379</v>
      </c>
      <c r="O1435" s="19">
        <v>682</v>
      </c>
      <c r="P1435" s="22">
        <v>26</v>
      </c>
      <c r="Q1435" s="22">
        <v>14</v>
      </c>
      <c r="R1435" s="20"/>
      <c r="S1435" s="234">
        <f>COUNTIFS(INP_DATA!$R$5:$R$3027,S$4,INP_DATA!$D$5:$D$3027,$D1435,INP_DATA!$B$5:$B$3027,$B1435)</f>
        <v>0</v>
      </c>
      <c r="T1435" s="235">
        <f>COUNTIFS(INP_DATA!$R$5:$R$3027,T$4,INP_DATA!$D$5:$D$3027,$D1435,INP_DATA!$B$5:$B$3027,$B1435)</f>
        <v>0</v>
      </c>
    </row>
    <row r="1436" spans="1:20" x14ac:dyDescent="0.35">
      <c r="A1436" s="3" t="str">
        <f>IF(D1436="","",(VLOOKUP($D1436,KEY!$B$5:$D$74,3,FALSE)))</f>
        <v>Arizona</v>
      </c>
      <c r="B1436" s="165">
        <f t="shared" si="5"/>
        <v>45658</v>
      </c>
      <c r="C1436" s="57" t="str">
        <f>IF($B1436="","",YEAR($B1436)&amp;"-"&amp;IFERROR(VLOOKUP(MONTH(B1436),KEY!$AE$5:$AF$16,2,FALSE),""))</f>
        <v>2025-Q1</v>
      </c>
      <c r="D1436" s="3" t="s">
        <v>163</v>
      </c>
      <c r="E1436" s="219">
        <v>35</v>
      </c>
      <c r="F1436" s="166">
        <v>205</v>
      </c>
      <c r="G1436" s="166">
        <v>219</v>
      </c>
      <c r="H1436" s="21">
        <v>304</v>
      </c>
      <c r="I1436" s="21">
        <v>47</v>
      </c>
      <c r="J1436" s="21">
        <v>103</v>
      </c>
      <c r="K1436" s="21">
        <v>28</v>
      </c>
      <c r="L1436" s="21">
        <v>301</v>
      </c>
      <c r="M1436" s="21">
        <v>110</v>
      </c>
      <c r="N1436" s="21">
        <v>207</v>
      </c>
      <c r="O1436" s="19">
        <v>352</v>
      </c>
      <c r="P1436" s="22">
        <v>7</v>
      </c>
      <c r="Q1436" s="22">
        <v>3</v>
      </c>
      <c r="R1436" s="20"/>
      <c r="S1436" s="234">
        <f>COUNTIFS(INP_DATA!$R$5:$R$3027,S$4,INP_DATA!$D$5:$D$3027,$D1436,INP_DATA!$B$5:$B$3027,$B1436)</f>
        <v>0</v>
      </c>
      <c r="T1436" s="235">
        <f>COUNTIFS(INP_DATA!$R$5:$R$3027,T$4,INP_DATA!$D$5:$D$3027,$D1436,INP_DATA!$B$5:$B$3027,$B1436)</f>
        <v>0</v>
      </c>
    </row>
    <row r="1437" spans="1:20" x14ac:dyDescent="0.35">
      <c r="A1437" s="3" t="str">
        <f>IF(D1437="","",(VLOOKUP($D1437,KEY!$B$5:$D$74,3,FALSE)))</f>
        <v>Arizona</v>
      </c>
      <c r="B1437" s="165">
        <f t="shared" si="5"/>
        <v>45658</v>
      </c>
      <c r="C1437" s="57" t="str">
        <f>IF($B1437="","",YEAR($B1437)&amp;"-"&amp;IFERROR(VLOOKUP(MONTH(B1437),KEY!$AE$5:$AF$16,2,FALSE),""))</f>
        <v>2025-Q1</v>
      </c>
      <c r="D1437" s="3" t="s">
        <v>164</v>
      </c>
      <c r="E1437" s="219">
        <v>11</v>
      </c>
      <c r="F1437" s="166">
        <v>88</v>
      </c>
      <c r="G1437" s="166">
        <v>67</v>
      </c>
      <c r="H1437" s="21">
        <v>129</v>
      </c>
      <c r="I1437" s="21">
        <v>23</v>
      </c>
      <c r="J1437" s="21">
        <v>30</v>
      </c>
      <c r="K1437" s="21">
        <v>13</v>
      </c>
      <c r="L1437" s="21">
        <v>149</v>
      </c>
      <c r="M1437" s="21">
        <v>72</v>
      </c>
      <c r="N1437" s="21">
        <v>88</v>
      </c>
      <c r="O1437" s="19">
        <v>132</v>
      </c>
      <c r="P1437" s="22">
        <v>12</v>
      </c>
      <c r="Q1437" s="22">
        <v>6</v>
      </c>
      <c r="R1437" s="20"/>
      <c r="S1437" s="234">
        <f>COUNTIFS(INP_DATA!$R$5:$R$3027,S$4,INP_DATA!$D$5:$D$3027,$D1437,INP_DATA!$B$5:$B$3027,$B1437)</f>
        <v>0</v>
      </c>
      <c r="T1437" s="235">
        <f>COUNTIFS(INP_DATA!$R$5:$R$3027,T$4,INP_DATA!$D$5:$D$3027,$D1437,INP_DATA!$B$5:$B$3027,$B1437)</f>
        <v>0</v>
      </c>
    </row>
    <row r="1438" spans="1:20" x14ac:dyDescent="0.35">
      <c r="A1438" s="3" t="str">
        <f>IF(D1438="","",(VLOOKUP($D1438,KEY!$B$5:$D$74,3,FALSE)))</f>
        <v>Orange County</v>
      </c>
      <c r="B1438" s="165">
        <f t="shared" ref="B1438:B1442" si="6">B1437</f>
        <v>45658</v>
      </c>
      <c r="C1438" s="57" t="str">
        <f>IF($B1438="","",YEAR($B1438)&amp;"-"&amp;IFERROR(VLOOKUP(MONTH(B1438),KEY!$AE$5:$AF$16,2,FALSE),""))</f>
        <v>2025-Q1</v>
      </c>
      <c r="D1438" s="3" t="s">
        <v>165</v>
      </c>
      <c r="E1438" s="219">
        <v>21</v>
      </c>
      <c r="F1438" s="166">
        <v>106</v>
      </c>
      <c r="G1438" s="166">
        <v>71</v>
      </c>
      <c r="H1438" s="21">
        <v>289</v>
      </c>
      <c r="I1438" s="21">
        <v>24</v>
      </c>
      <c r="J1438" s="21">
        <v>136</v>
      </c>
      <c r="K1438" s="21">
        <v>22</v>
      </c>
      <c r="L1438" s="21">
        <v>137</v>
      </c>
      <c r="M1438" s="21">
        <v>50</v>
      </c>
      <c r="N1438" s="21">
        <v>107</v>
      </c>
      <c r="O1438" s="19">
        <v>176</v>
      </c>
      <c r="P1438" s="22">
        <v>31</v>
      </c>
      <c r="Q1438" s="22">
        <v>18</v>
      </c>
      <c r="R1438" s="20"/>
      <c r="S1438" s="234">
        <f>COUNTIFS(INP_DATA!$R$5:$R$3027,S$4,INP_DATA!$D$5:$D$3027,$D1438,INP_DATA!$B$5:$B$3027,$B1438)</f>
        <v>0</v>
      </c>
      <c r="T1438" s="235">
        <f>COUNTIFS(INP_DATA!$R$5:$R$3027,T$4,INP_DATA!$D$5:$D$3027,$D1438,INP_DATA!$B$5:$B$3027,$B1438)</f>
        <v>0</v>
      </c>
    </row>
    <row r="1439" spans="1:20" x14ac:dyDescent="0.35">
      <c r="A1439" s="3" t="str">
        <f>IF(D1439="","",(VLOOKUP($D1439,KEY!$B$5:$D$74,3,FALSE)))</f>
        <v/>
      </c>
      <c r="B1439" s="165">
        <f t="shared" si="6"/>
        <v>45658</v>
      </c>
      <c r="C1439" s="57" t="str">
        <f>IF($B1439="","",YEAR($B1439)&amp;"-"&amp;IFERROR(VLOOKUP(MONTH(B1439),KEY!$AE$5:$AF$16,2,FALSE),""))</f>
        <v>2025-Q1</v>
      </c>
      <c r="D1439" s="3"/>
      <c r="E1439" s="219"/>
      <c r="F1439" s="166"/>
      <c r="G1439" s="166"/>
      <c r="H1439" s="21"/>
      <c r="I1439" s="21"/>
      <c r="J1439" s="21"/>
      <c r="K1439" s="21"/>
      <c r="L1439" s="21"/>
      <c r="M1439" s="21"/>
      <c r="N1439" s="21"/>
      <c r="O1439" s="19"/>
      <c r="P1439" s="22"/>
      <c r="Q1439" s="22"/>
      <c r="R1439" s="20"/>
      <c r="S1439" s="234">
        <f>COUNTIFS(INP_DATA!$R$5:$R$3027,S$4,INP_DATA!$D$5:$D$3027,$D1439,INP_DATA!$B$5:$B$3027,$B1439)</f>
        <v>0</v>
      </c>
      <c r="T1439" s="235">
        <f>COUNTIFS(INP_DATA!$R$5:$R$3027,T$4,INP_DATA!$D$5:$D$3027,$D1439,INP_DATA!$B$5:$B$3027,$B1439)</f>
        <v>0</v>
      </c>
    </row>
    <row r="1440" spans="1:20" x14ac:dyDescent="0.35">
      <c r="A1440" s="3" t="str">
        <f>IF(D1440="","",(VLOOKUP($D1440,KEY!$B$5:$D$74,3,FALSE)))</f>
        <v/>
      </c>
      <c r="B1440" s="165">
        <f t="shared" si="6"/>
        <v>45658</v>
      </c>
      <c r="C1440" s="57" t="str">
        <f>IF($B1440="","",YEAR($B1440)&amp;"-"&amp;IFERROR(VLOOKUP(MONTH(B1440),KEY!$AE$5:$AF$16,2,FALSE),""))</f>
        <v>2025-Q1</v>
      </c>
      <c r="D1440" s="3"/>
      <c r="E1440" s="219"/>
      <c r="F1440" s="166"/>
      <c r="G1440" s="166"/>
      <c r="H1440" s="21"/>
      <c r="I1440" s="21"/>
      <c r="J1440" s="21"/>
      <c r="K1440" s="21"/>
      <c r="L1440" s="21"/>
      <c r="M1440" s="21"/>
      <c r="N1440" s="21"/>
      <c r="O1440" s="19"/>
      <c r="P1440" s="22"/>
      <c r="Q1440" s="22"/>
      <c r="R1440" s="20"/>
      <c r="S1440" s="234">
        <f>COUNTIFS(INP_DATA!$R$5:$R$3027,S$4,INP_DATA!$D$5:$D$3027,$D1440,INP_DATA!$B$5:$B$3027,$B1440)</f>
        <v>0</v>
      </c>
      <c r="T1440" s="235">
        <f>COUNTIFS(INP_DATA!$R$5:$R$3027,T$4,INP_DATA!$D$5:$D$3027,$D1440,INP_DATA!$B$5:$B$3027,$B1440)</f>
        <v>0</v>
      </c>
    </row>
    <row r="1441" spans="1:20" x14ac:dyDescent="0.35">
      <c r="A1441" s="3" t="str">
        <f>IF(D1441="","",(VLOOKUP($D1441,KEY!$B$5:$D$74,3,FALSE)))</f>
        <v/>
      </c>
      <c r="B1441" s="165">
        <f t="shared" si="6"/>
        <v>45658</v>
      </c>
      <c r="C1441" s="57" t="str">
        <f>IF($B1441="","",YEAR($B1441)&amp;"-"&amp;IFERROR(VLOOKUP(MONTH(B1441),KEY!$AE$5:$AF$16,2,FALSE),""))</f>
        <v>2025-Q1</v>
      </c>
      <c r="D1441" s="3"/>
      <c r="E1441" s="219"/>
      <c r="F1441" s="166"/>
      <c r="G1441" s="166"/>
      <c r="H1441" s="21"/>
      <c r="I1441" s="21"/>
      <c r="J1441" s="21"/>
      <c r="K1441" s="21"/>
      <c r="L1441" s="21"/>
      <c r="M1441" s="21"/>
      <c r="N1441" s="21"/>
      <c r="O1441" s="19"/>
      <c r="P1441" s="22"/>
      <c r="Q1441" s="22"/>
      <c r="R1441" s="20"/>
      <c r="S1441" s="234">
        <f>COUNTIFS(INP_DATA!$R$5:$R$3027,S$4,INP_DATA!$D$5:$D$3027,$D1441,INP_DATA!$B$5:$B$3027,$B1441)</f>
        <v>0</v>
      </c>
      <c r="T1441" s="235">
        <f>COUNTIFS(INP_DATA!$R$5:$R$3027,T$4,INP_DATA!$D$5:$D$3027,$D1441,INP_DATA!$B$5:$B$3027,$B1441)</f>
        <v>0</v>
      </c>
    </row>
    <row r="1442" spans="1:20" x14ac:dyDescent="0.35">
      <c r="A1442" s="3" t="str">
        <f>IF(D1442="","",(VLOOKUP($D1442,KEY!$B$5:$D$74,3,FALSE)))</f>
        <v/>
      </c>
      <c r="B1442" s="426">
        <f t="shared" si="6"/>
        <v>45658</v>
      </c>
      <c r="C1442" s="427" t="str">
        <f>IF($B1442="","",YEAR($B1442)&amp;"-"&amp;IFERROR(VLOOKUP(MONTH(B1442),KEY!$AE$5:$AF$16,2,FALSE),""))</f>
        <v>2025-Q1</v>
      </c>
      <c r="D1442" s="428"/>
      <c r="E1442" s="429"/>
      <c r="F1442" s="430"/>
      <c r="G1442" s="430"/>
      <c r="H1442" s="431"/>
      <c r="I1442" s="431"/>
      <c r="J1442" s="431"/>
      <c r="K1442" s="431"/>
      <c r="L1442" s="431"/>
      <c r="M1442" s="431"/>
      <c r="N1442" s="431"/>
      <c r="O1442" s="432"/>
      <c r="P1442" s="433"/>
      <c r="Q1442" s="433"/>
      <c r="R1442" s="20"/>
      <c r="S1442" s="234">
        <f>COUNTIFS(INP_DATA!$R$5:$R$3027,S$4,INP_DATA!$D$5:$D$3027,$D1442,INP_DATA!$B$5:$B$3027,$B1442)</f>
        <v>0</v>
      </c>
      <c r="T1442" s="235">
        <f>COUNTIFS(INP_DATA!$R$5:$R$3027,T$4,INP_DATA!$D$5:$D$3027,$D1442,INP_DATA!$B$5:$B$3027,$B1442)</f>
        <v>0</v>
      </c>
    </row>
    <row r="1443" spans="1:20" x14ac:dyDescent="0.35">
      <c r="A1443" s="3" t="str">
        <f>IF(D1443="","",(VLOOKUP($D1443,KEY!$B$5:$D$74,3,FALSE)))</f>
        <v>Arizona</v>
      </c>
      <c r="B1443" s="165">
        <f>DATE(YEAR(B1442+31),MONTH(B1442+31),1)</f>
        <v>45689</v>
      </c>
      <c r="C1443" s="57" t="str">
        <f>IF($B1443="","",YEAR($B1443)&amp;"-"&amp;IFERROR(VLOOKUP(MONTH(B1443),KEY!$AE$5:$AF$16,2,FALSE),""))</f>
        <v>2025-Q1</v>
      </c>
      <c r="D1443" s="3" t="s">
        <v>111</v>
      </c>
      <c r="E1443" s="219">
        <v>14</v>
      </c>
      <c r="F1443" s="166">
        <v>69</v>
      </c>
      <c r="G1443" s="166">
        <v>63</v>
      </c>
      <c r="H1443" s="21">
        <v>198</v>
      </c>
      <c r="I1443" s="21">
        <v>25</v>
      </c>
      <c r="J1443" s="21">
        <v>56</v>
      </c>
      <c r="K1443" s="21">
        <v>6</v>
      </c>
      <c r="L1443" s="21">
        <v>126</v>
      </c>
      <c r="M1443" s="21">
        <v>48</v>
      </c>
      <c r="N1443" s="21">
        <v>68</v>
      </c>
      <c r="O1443" s="19">
        <v>160</v>
      </c>
      <c r="P1443" s="22">
        <v>13</v>
      </c>
      <c r="Q1443" s="22">
        <v>8</v>
      </c>
      <c r="R1443" s="20"/>
      <c r="S1443" s="234">
        <f>COUNTIFS(INP_DATA!$R$5:$R$3027,S$4,INP_DATA!$D$5:$D$3027,$D1443,INP_DATA!$B$5:$B$3027,$B1443)</f>
        <v>0</v>
      </c>
      <c r="T1443" s="235">
        <f>COUNTIFS(INP_DATA!$R$5:$R$3027,T$4,INP_DATA!$D$5:$D$3027,$D1443,INP_DATA!$B$5:$B$3027,$B1443)</f>
        <v>0</v>
      </c>
    </row>
    <row r="1444" spans="1:20" x14ac:dyDescent="0.35">
      <c r="A1444" s="3" t="str">
        <f>IF(D1444="","",(VLOOKUP($D1444,KEY!$B$5:$D$74,3,FALSE)))</f>
        <v>Southern California</v>
      </c>
      <c r="B1444" s="165">
        <f t="shared" ref="B1444:B1507" si="7">B1443</f>
        <v>45689</v>
      </c>
      <c r="C1444" s="57" t="str">
        <f>IF($B1444="","",YEAR($B1444)&amp;"-"&amp;IFERROR(VLOOKUP(MONTH(B1444),KEY!$AE$5:$AF$16,2,FALSE),""))</f>
        <v>2025-Q1</v>
      </c>
      <c r="D1444" s="3" t="s">
        <v>112</v>
      </c>
      <c r="E1444" s="219">
        <v>10</v>
      </c>
      <c r="F1444" s="166">
        <v>45</v>
      </c>
      <c r="G1444" s="166">
        <v>29</v>
      </c>
      <c r="H1444" s="21">
        <v>67</v>
      </c>
      <c r="I1444" s="21">
        <v>9</v>
      </c>
      <c r="J1444" s="21">
        <v>26</v>
      </c>
      <c r="K1444" s="21">
        <v>8</v>
      </c>
      <c r="L1444" s="21">
        <v>88</v>
      </c>
      <c r="M1444" s="21">
        <v>30</v>
      </c>
      <c r="N1444" s="21">
        <v>45</v>
      </c>
      <c r="O1444" s="19">
        <v>80</v>
      </c>
      <c r="P1444" s="22">
        <v>2</v>
      </c>
      <c r="Q1444" s="22">
        <v>2</v>
      </c>
      <c r="R1444" s="20"/>
      <c r="S1444" s="234">
        <f>COUNTIFS(INP_DATA!$R$5:$R$3027,S$4,INP_DATA!$D$5:$D$3027,$D1444,INP_DATA!$B$5:$B$3027,$B1444)</f>
        <v>0</v>
      </c>
      <c r="T1444" s="235">
        <f>COUNTIFS(INP_DATA!$R$5:$R$3027,T$4,INP_DATA!$D$5:$D$3027,$D1444,INP_DATA!$B$5:$B$3027,$B1444)</f>
        <v>0</v>
      </c>
    </row>
    <row r="1445" spans="1:20" x14ac:dyDescent="0.35">
      <c r="A1445" s="3" t="str">
        <f>IF(D1445="","",(VLOOKUP($D1445,KEY!$B$5:$D$74,3,FALSE)))</f>
        <v>Arizona</v>
      </c>
      <c r="B1445" s="165">
        <f t="shared" si="7"/>
        <v>45689</v>
      </c>
      <c r="C1445" s="57" t="str">
        <f>IF($B1445="","",YEAR($B1445)&amp;"-"&amp;IFERROR(VLOOKUP(MONTH(B1445),KEY!$AE$5:$AF$16,2,FALSE),""))</f>
        <v>2025-Q1</v>
      </c>
      <c r="D1445" s="3" t="s">
        <v>113</v>
      </c>
      <c r="E1445" s="219">
        <v>8</v>
      </c>
      <c r="F1445" s="166">
        <v>61</v>
      </c>
      <c r="G1445" s="166">
        <v>73</v>
      </c>
      <c r="H1445" s="21">
        <v>159</v>
      </c>
      <c r="I1445" s="21">
        <v>31</v>
      </c>
      <c r="J1445" s="21">
        <v>34</v>
      </c>
      <c r="K1445" s="21">
        <v>9</v>
      </c>
      <c r="L1445" s="21">
        <v>142</v>
      </c>
      <c r="M1445" s="21">
        <v>51</v>
      </c>
      <c r="N1445" s="21">
        <v>63</v>
      </c>
      <c r="O1445" s="19">
        <v>120</v>
      </c>
      <c r="P1445" s="22">
        <v>6</v>
      </c>
      <c r="Q1445" s="22">
        <v>4</v>
      </c>
      <c r="R1445" s="20"/>
      <c r="S1445" s="234">
        <f>COUNTIFS(INP_DATA!$R$5:$R$3027,S$4,INP_DATA!$D$5:$D$3027,$D1445,INP_DATA!$B$5:$B$3027,$B1445)</f>
        <v>0</v>
      </c>
      <c r="T1445" s="235">
        <f>COUNTIFS(INP_DATA!$R$5:$R$3027,T$4,INP_DATA!$D$5:$D$3027,$D1445,INP_DATA!$B$5:$B$3027,$B1445)</f>
        <v>0</v>
      </c>
    </row>
    <row r="1446" spans="1:20" x14ac:dyDescent="0.35">
      <c r="A1446" s="3" t="str">
        <f>IF(D1446="","",(VLOOKUP($D1446,KEY!$B$5:$D$74,3,FALSE)))</f>
        <v>Southern California</v>
      </c>
      <c r="B1446" s="165">
        <f t="shared" si="7"/>
        <v>45689</v>
      </c>
      <c r="C1446" s="57" t="str">
        <f>IF($B1446="","",YEAR($B1446)&amp;"-"&amp;IFERROR(VLOOKUP(MONTH(B1446),KEY!$AE$5:$AF$16,2,FALSE),""))</f>
        <v>2025-Q1</v>
      </c>
      <c r="D1446" s="3" t="s">
        <v>114</v>
      </c>
      <c r="E1446" s="219">
        <v>11</v>
      </c>
      <c r="F1446" s="166">
        <v>39</v>
      </c>
      <c r="G1446" s="166">
        <v>62</v>
      </c>
      <c r="H1446" s="21">
        <v>61</v>
      </c>
      <c r="I1446" s="21">
        <v>12</v>
      </c>
      <c r="J1446" s="21">
        <v>31</v>
      </c>
      <c r="K1446" s="21">
        <v>7</v>
      </c>
      <c r="L1446" s="21">
        <v>71</v>
      </c>
      <c r="M1446" s="21">
        <v>28</v>
      </c>
      <c r="N1446" s="21">
        <v>38</v>
      </c>
      <c r="O1446" s="19">
        <v>100</v>
      </c>
      <c r="P1446" s="22">
        <v>18</v>
      </c>
      <c r="Q1446" s="22">
        <v>11</v>
      </c>
      <c r="R1446" s="20"/>
      <c r="S1446" s="234">
        <f>COUNTIFS(INP_DATA!$R$5:$R$3027,S$4,INP_DATA!$D$5:$D$3027,$D1446,INP_DATA!$B$5:$B$3027,$B1446)</f>
        <v>0</v>
      </c>
      <c r="T1446" s="235">
        <f>COUNTIFS(INP_DATA!$R$5:$R$3027,T$4,INP_DATA!$D$5:$D$3027,$D1446,INP_DATA!$B$5:$B$3027,$B1446)</f>
        <v>0</v>
      </c>
    </row>
    <row r="1447" spans="1:20" x14ac:dyDescent="0.35">
      <c r="A1447" s="3" t="str">
        <f>IF(D1447="","",(VLOOKUP($D1447,KEY!$B$5:$D$74,3,FALSE)))</f>
        <v>Orange County</v>
      </c>
      <c r="B1447" s="165">
        <f t="shared" si="7"/>
        <v>45689</v>
      </c>
      <c r="C1447" s="57" t="str">
        <f>IF($B1447="","",YEAR($B1447)&amp;"-"&amp;IFERROR(VLOOKUP(MONTH(B1447),KEY!$AE$5:$AF$16,2,FALSE),""))</f>
        <v>2025-Q1</v>
      </c>
      <c r="D1447" s="3" t="s">
        <v>115</v>
      </c>
      <c r="E1447" s="219">
        <v>6</v>
      </c>
      <c r="F1447" s="166">
        <v>48</v>
      </c>
      <c r="G1447" s="166">
        <v>59</v>
      </c>
      <c r="H1447" s="21">
        <v>54</v>
      </c>
      <c r="I1447" s="21">
        <v>12</v>
      </c>
      <c r="J1447" s="21">
        <v>30</v>
      </c>
      <c r="K1447" s="21">
        <v>13</v>
      </c>
      <c r="L1447" s="21">
        <v>90</v>
      </c>
      <c r="M1447" s="21">
        <v>40</v>
      </c>
      <c r="N1447" s="21">
        <v>50</v>
      </c>
      <c r="O1447" s="19">
        <v>80</v>
      </c>
      <c r="P1447" s="22">
        <v>2</v>
      </c>
      <c r="Q1447" s="22">
        <v>1</v>
      </c>
      <c r="R1447" s="20"/>
      <c r="S1447" s="234">
        <f>COUNTIFS(INP_DATA!$R$5:$R$3027,S$4,INP_DATA!$D$5:$D$3027,$D1447,INP_DATA!$B$5:$B$3027,$B1447)</f>
        <v>0</v>
      </c>
      <c r="T1447" s="235">
        <f>COUNTIFS(INP_DATA!$R$5:$R$3027,T$4,INP_DATA!$D$5:$D$3027,$D1447,INP_DATA!$B$5:$B$3027,$B1447)</f>
        <v>0</v>
      </c>
    </row>
    <row r="1448" spans="1:20" x14ac:dyDescent="0.35">
      <c r="A1448" s="3" t="str">
        <f>IF(D1448="","",(VLOOKUP($D1448,KEY!$B$5:$D$74,3,FALSE)))</f>
        <v>Arizona</v>
      </c>
      <c r="B1448" s="165">
        <f t="shared" si="7"/>
        <v>45689</v>
      </c>
      <c r="C1448" s="57" t="str">
        <f>IF($B1448="","",YEAR($B1448)&amp;"-"&amp;IFERROR(VLOOKUP(MONTH(B1448),KEY!$AE$5:$AF$16,2,FALSE),""))</f>
        <v>2025-Q1</v>
      </c>
      <c r="D1448" s="3" t="s">
        <v>116</v>
      </c>
      <c r="E1448" s="219">
        <v>19</v>
      </c>
      <c r="F1448" s="166">
        <v>119</v>
      </c>
      <c r="G1448" s="166">
        <v>138</v>
      </c>
      <c r="H1448" s="21">
        <v>221</v>
      </c>
      <c r="I1448" s="21">
        <v>26</v>
      </c>
      <c r="J1448" s="21">
        <v>105</v>
      </c>
      <c r="K1448" s="21">
        <v>15</v>
      </c>
      <c r="L1448" s="21">
        <v>205</v>
      </c>
      <c r="M1448" s="21">
        <v>75</v>
      </c>
      <c r="N1448" s="21">
        <v>124</v>
      </c>
      <c r="O1448" s="19">
        <v>220</v>
      </c>
      <c r="P1448" s="22">
        <v>15</v>
      </c>
      <c r="Q1448" s="22">
        <v>4</v>
      </c>
      <c r="R1448" s="20"/>
      <c r="S1448" s="234">
        <f>COUNTIFS(INP_DATA!$R$5:$R$3027,S$4,INP_DATA!$D$5:$D$3027,$D1448,INP_DATA!$B$5:$B$3027,$B1448)</f>
        <v>0</v>
      </c>
      <c r="T1448" s="235">
        <f>COUNTIFS(INP_DATA!$R$5:$R$3027,T$4,INP_DATA!$D$5:$D$3027,$D1448,INP_DATA!$B$5:$B$3027,$B1448)</f>
        <v>0</v>
      </c>
    </row>
    <row r="1449" spans="1:20" x14ac:dyDescent="0.35">
      <c r="A1449" s="3" t="str">
        <f>IF(D1449="","",(VLOOKUP($D1449,KEY!$B$5:$D$74,3,FALSE)))</f>
        <v>Northern California</v>
      </c>
      <c r="B1449" s="165">
        <f t="shared" si="7"/>
        <v>45689</v>
      </c>
      <c r="C1449" s="57" t="str">
        <f>IF($B1449="","",YEAR($B1449)&amp;"-"&amp;IFERROR(VLOOKUP(MONTH(B1449),KEY!$AE$5:$AF$16,2,FALSE),""))</f>
        <v>2025-Q1</v>
      </c>
      <c r="D1449" s="3" t="s">
        <v>118</v>
      </c>
      <c r="E1449" s="219">
        <v>31</v>
      </c>
      <c r="F1449" s="166">
        <v>175</v>
      </c>
      <c r="G1449" s="166">
        <v>168</v>
      </c>
      <c r="H1449" s="21">
        <v>450</v>
      </c>
      <c r="I1449" s="21">
        <v>55</v>
      </c>
      <c r="J1449" s="21">
        <v>119</v>
      </c>
      <c r="K1449" s="21">
        <v>26</v>
      </c>
      <c r="L1449" s="21">
        <v>320</v>
      </c>
      <c r="M1449" s="21">
        <v>102</v>
      </c>
      <c r="N1449" s="21">
        <v>182</v>
      </c>
      <c r="O1449" s="19">
        <v>240</v>
      </c>
      <c r="P1449" s="22">
        <v>57</v>
      </c>
      <c r="Q1449" s="22">
        <v>37</v>
      </c>
      <c r="R1449" s="20"/>
      <c r="S1449" s="234">
        <f>COUNTIFS(INP_DATA!$R$5:$R$3027,S$4,INP_DATA!$D$5:$D$3027,$D1449,INP_DATA!$B$5:$B$3027,$B1449)</f>
        <v>0</v>
      </c>
      <c r="T1449" s="235">
        <f>COUNTIFS(INP_DATA!$R$5:$R$3027,T$4,INP_DATA!$D$5:$D$3027,$D1449,INP_DATA!$B$5:$B$3027,$B1449)</f>
        <v>0</v>
      </c>
    </row>
    <row r="1450" spans="1:20" x14ac:dyDescent="0.35">
      <c r="A1450" s="3" t="str">
        <f>IF(D1450="","",(VLOOKUP($D1450,KEY!$B$5:$D$74,3,FALSE)))</f>
        <v>Orange County</v>
      </c>
      <c r="B1450" s="165">
        <f t="shared" si="7"/>
        <v>45689</v>
      </c>
      <c r="C1450" s="57" t="str">
        <f>IF($B1450="","",YEAR($B1450)&amp;"-"&amp;IFERROR(VLOOKUP(MONTH(B1450),KEY!$AE$5:$AF$16,2,FALSE),""))</f>
        <v>2025-Q1</v>
      </c>
      <c r="D1450" s="3" t="s">
        <v>117</v>
      </c>
      <c r="E1450" s="219">
        <v>7</v>
      </c>
      <c r="F1450" s="166">
        <v>75</v>
      </c>
      <c r="G1450" s="166">
        <v>94</v>
      </c>
      <c r="H1450" s="21">
        <v>131</v>
      </c>
      <c r="I1450" s="21">
        <v>25</v>
      </c>
      <c r="J1450" s="21">
        <v>42</v>
      </c>
      <c r="K1450" s="21">
        <v>11</v>
      </c>
      <c r="L1450" s="21">
        <v>130</v>
      </c>
      <c r="M1450" s="21">
        <v>45</v>
      </c>
      <c r="N1450" s="21">
        <v>75</v>
      </c>
      <c r="O1450" s="19">
        <v>160</v>
      </c>
      <c r="P1450" s="22">
        <v>31</v>
      </c>
      <c r="Q1450" s="22">
        <v>15</v>
      </c>
      <c r="R1450" s="20"/>
      <c r="S1450" s="234">
        <f>COUNTIFS(INP_DATA!$R$5:$R$3027,S$4,INP_DATA!$D$5:$D$3027,$D1450,INP_DATA!$B$5:$B$3027,$B1450)</f>
        <v>0</v>
      </c>
      <c r="T1450" s="235">
        <f>COUNTIFS(INP_DATA!$R$5:$R$3027,T$4,INP_DATA!$D$5:$D$3027,$D1450,INP_DATA!$B$5:$B$3027,$B1450)</f>
        <v>0</v>
      </c>
    </row>
    <row r="1451" spans="1:20" x14ac:dyDescent="0.35">
      <c r="A1451" s="3" t="str">
        <f>IF(D1451="","",(VLOOKUP($D1451,KEY!$B$5:$D$74,3,FALSE)))</f>
        <v>Arizona</v>
      </c>
      <c r="B1451" s="165">
        <f t="shared" si="7"/>
        <v>45689</v>
      </c>
      <c r="C1451" s="57" t="str">
        <f>IF($B1451="","",YEAR($B1451)&amp;"-"&amp;IFERROR(VLOOKUP(MONTH(B1451),KEY!$AE$5:$AF$16,2,FALSE),""))</f>
        <v>2025-Q1</v>
      </c>
      <c r="D1451" s="3" t="s">
        <v>119</v>
      </c>
      <c r="E1451" s="219">
        <v>10</v>
      </c>
      <c r="F1451" s="166">
        <v>27</v>
      </c>
      <c r="G1451" s="166">
        <v>16</v>
      </c>
      <c r="H1451" s="21">
        <v>29</v>
      </c>
      <c r="I1451" s="21">
        <v>6</v>
      </c>
      <c r="J1451" s="21">
        <v>16</v>
      </c>
      <c r="K1451" s="21">
        <v>5</v>
      </c>
      <c r="L1451" s="21">
        <v>132</v>
      </c>
      <c r="M1451" s="21">
        <v>14</v>
      </c>
      <c r="N1451" s="21">
        <v>27</v>
      </c>
      <c r="O1451" s="19">
        <v>80</v>
      </c>
      <c r="P1451" s="22">
        <v>1</v>
      </c>
      <c r="Q1451" s="22">
        <v>1</v>
      </c>
      <c r="R1451" s="20"/>
      <c r="S1451" s="234">
        <f>COUNTIFS(INP_DATA!$R$5:$R$3027,S$4,INP_DATA!$D$5:$D$3027,$D1451,INP_DATA!$B$5:$B$3027,$B1451)</f>
        <v>0</v>
      </c>
      <c r="T1451" s="235">
        <f>COUNTIFS(INP_DATA!$R$5:$R$3027,T$4,INP_DATA!$D$5:$D$3027,$D1451,INP_DATA!$B$5:$B$3027,$B1451)</f>
        <v>0</v>
      </c>
    </row>
    <row r="1452" spans="1:20" x14ac:dyDescent="0.35">
      <c r="A1452" s="3" t="str">
        <f>IF(D1452="","",(VLOOKUP($D1452,KEY!$B$5:$D$74,3,FALSE)))</f>
        <v/>
      </c>
      <c r="B1452" s="165">
        <f t="shared" si="7"/>
        <v>45689</v>
      </c>
      <c r="C1452" s="57" t="str">
        <f>IF($B1452="","",YEAR($B1452)&amp;"-"&amp;IFERROR(VLOOKUP(MONTH(B1452),KEY!$AE$5:$AF$16,2,FALSE),""))</f>
        <v>2025-Q1</v>
      </c>
      <c r="D1452" s="3"/>
      <c r="E1452" s="219"/>
      <c r="F1452" s="166"/>
      <c r="G1452" s="166"/>
      <c r="H1452" s="21"/>
      <c r="I1452" s="21"/>
      <c r="J1452" s="21"/>
      <c r="K1452" s="21"/>
      <c r="L1452" s="21"/>
      <c r="M1452" s="21"/>
      <c r="N1452" s="21"/>
      <c r="O1452" s="19"/>
      <c r="P1452" s="22"/>
      <c r="Q1452" s="22"/>
      <c r="R1452" s="20"/>
      <c r="S1452" s="234">
        <f>COUNTIFS(INP_DATA!$R$5:$R$3027,S$4,INP_DATA!$D$5:$D$3027,$D1452,INP_DATA!$B$5:$B$3027,$B1452)</f>
        <v>0</v>
      </c>
      <c r="T1452" s="235">
        <f>COUNTIFS(INP_DATA!$R$5:$R$3027,T$4,INP_DATA!$D$5:$D$3027,$D1452,INP_DATA!$B$5:$B$3027,$B1452)</f>
        <v>0</v>
      </c>
    </row>
    <row r="1453" spans="1:20" x14ac:dyDescent="0.35">
      <c r="A1453" s="3" t="str">
        <f>IF(D1453="","",(VLOOKUP($D1453,KEY!$B$5:$D$74,3,FALSE)))</f>
        <v>Arizona</v>
      </c>
      <c r="B1453" s="165">
        <f t="shared" si="7"/>
        <v>45689</v>
      </c>
      <c r="C1453" s="57" t="str">
        <f>IF($B1453="","",YEAR($B1453)&amp;"-"&amp;IFERROR(VLOOKUP(MONTH(B1453),KEY!$AE$5:$AF$16,2,FALSE),""))</f>
        <v>2025-Q1</v>
      </c>
      <c r="D1453" s="3" t="s">
        <v>120</v>
      </c>
      <c r="E1453" s="219">
        <v>70</v>
      </c>
      <c r="F1453" s="166">
        <v>343</v>
      </c>
      <c r="G1453" s="166">
        <v>313</v>
      </c>
      <c r="H1453" s="21">
        <v>679</v>
      </c>
      <c r="I1453" s="21">
        <v>78</v>
      </c>
      <c r="J1453" s="21">
        <v>233</v>
      </c>
      <c r="K1453" s="21">
        <v>43</v>
      </c>
      <c r="L1453" s="21">
        <v>541</v>
      </c>
      <c r="M1453" s="21">
        <v>201</v>
      </c>
      <c r="N1453" s="21">
        <v>347</v>
      </c>
      <c r="O1453" s="19">
        <v>540</v>
      </c>
      <c r="P1453" s="22">
        <v>65</v>
      </c>
      <c r="Q1453" s="22">
        <v>39</v>
      </c>
      <c r="R1453" s="20"/>
      <c r="S1453" s="234">
        <f>COUNTIFS(INP_DATA!$R$5:$R$3027,S$4,INP_DATA!$D$5:$D$3027,$D1453,INP_DATA!$B$5:$B$3027,$B1453)</f>
        <v>0</v>
      </c>
      <c r="T1453" s="235">
        <f>COUNTIFS(INP_DATA!$R$5:$R$3027,T$4,INP_DATA!$D$5:$D$3027,$D1453,INP_DATA!$B$5:$B$3027,$B1453)</f>
        <v>0</v>
      </c>
    </row>
    <row r="1454" spans="1:20" x14ac:dyDescent="0.35">
      <c r="A1454" s="3" t="str">
        <f>IF(D1454="","",(VLOOKUP($D1454,KEY!$B$5:$D$74,3,FALSE)))</f>
        <v>Texas</v>
      </c>
      <c r="B1454" s="165">
        <f t="shared" si="7"/>
        <v>45689</v>
      </c>
      <c r="C1454" s="57" t="str">
        <f>IF($B1454="","",YEAR($B1454)&amp;"-"&amp;IFERROR(VLOOKUP(MONTH(B1454),KEY!$AE$5:$AF$16,2,FALSE),""))</f>
        <v>2025-Q1</v>
      </c>
      <c r="D1454" s="3" t="s">
        <v>121</v>
      </c>
      <c r="E1454" s="219">
        <v>46</v>
      </c>
      <c r="F1454" s="166">
        <v>253</v>
      </c>
      <c r="G1454" s="166">
        <v>223</v>
      </c>
      <c r="H1454" s="21">
        <v>632</v>
      </c>
      <c r="I1454" s="21">
        <v>93</v>
      </c>
      <c r="J1454" s="21">
        <v>199</v>
      </c>
      <c r="K1454" s="21">
        <v>30</v>
      </c>
      <c r="L1454" s="21">
        <v>516</v>
      </c>
      <c r="M1454" s="21">
        <v>165</v>
      </c>
      <c r="N1454" s="21">
        <v>254</v>
      </c>
      <c r="O1454" s="19">
        <v>480</v>
      </c>
      <c r="P1454" s="22">
        <v>18</v>
      </c>
      <c r="Q1454" s="22">
        <v>15</v>
      </c>
      <c r="R1454" s="20"/>
      <c r="S1454" s="234">
        <f>COUNTIFS(INP_DATA!$R$5:$R$3027,S$4,INP_DATA!$D$5:$D$3027,$D1454,INP_DATA!$B$5:$B$3027,$B1454)</f>
        <v>0</v>
      </c>
      <c r="T1454" s="235">
        <f>COUNTIFS(INP_DATA!$R$5:$R$3027,T$4,INP_DATA!$D$5:$D$3027,$D1454,INP_DATA!$B$5:$B$3027,$B1454)</f>
        <v>0</v>
      </c>
    </row>
    <row r="1455" spans="1:20" x14ac:dyDescent="0.35">
      <c r="A1455" s="3" t="str">
        <f>IF(D1455="","",(VLOOKUP($D1455,KEY!$B$5:$D$74,3,FALSE)))</f>
        <v>Michigan &amp; Minnesota</v>
      </c>
      <c r="B1455" s="165">
        <f t="shared" si="7"/>
        <v>45689</v>
      </c>
      <c r="C1455" s="57" t="str">
        <f>IF($B1455="","",YEAR($B1455)&amp;"-"&amp;IFERROR(VLOOKUP(MONTH(B1455),KEY!$AE$5:$AF$16,2,FALSE),""))</f>
        <v>2025-Q1</v>
      </c>
      <c r="D1455" s="3" t="s">
        <v>200</v>
      </c>
      <c r="E1455" s="219">
        <v>7</v>
      </c>
      <c r="F1455" s="166">
        <v>104</v>
      </c>
      <c r="G1455" s="166">
        <v>115</v>
      </c>
      <c r="H1455" s="21">
        <v>326</v>
      </c>
      <c r="I1455" s="21">
        <v>25</v>
      </c>
      <c r="J1455" s="21">
        <v>163</v>
      </c>
      <c r="K1455" s="21">
        <v>24</v>
      </c>
      <c r="L1455" s="21">
        <v>210</v>
      </c>
      <c r="M1455" s="21">
        <v>56</v>
      </c>
      <c r="N1455" s="21">
        <v>104</v>
      </c>
      <c r="O1455" s="19">
        <v>260</v>
      </c>
      <c r="P1455" s="22">
        <v>27</v>
      </c>
      <c r="Q1455" s="22">
        <v>11</v>
      </c>
      <c r="R1455" s="20"/>
      <c r="S1455" s="234">
        <f>COUNTIFS(INP_DATA!$R$5:$R$3027,S$4,INP_DATA!$D$5:$D$3027,$D1455,INP_DATA!$B$5:$B$3027,$B1455)</f>
        <v>0</v>
      </c>
      <c r="T1455" s="235">
        <f>COUNTIFS(INP_DATA!$R$5:$R$3027,T$4,INP_DATA!$D$5:$D$3027,$D1455,INP_DATA!$B$5:$B$3027,$B1455)</f>
        <v>0</v>
      </c>
    </row>
    <row r="1456" spans="1:20" x14ac:dyDescent="0.35">
      <c r="A1456" s="3" t="str">
        <f>IF(D1456="","",(VLOOKUP($D1456,KEY!$B$5:$D$74,3,FALSE)))</f>
        <v>Southern California</v>
      </c>
      <c r="B1456" s="165">
        <f t="shared" si="7"/>
        <v>45689</v>
      </c>
      <c r="C1456" s="57" t="str">
        <f>IF($B1456="","",YEAR($B1456)&amp;"-"&amp;IFERROR(VLOOKUP(MONTH(B1456),KEY!$AE$5:$AF$16,2,FALSE),""))</f>
        <v>2025-Q1</v>
      </c>
      <c r="D1456" s="3" t="s">
        <v>122</v>
      </c>
      <c r="E1456" s="219">
        <v>6</v>
      </c>
      <c r="F1456" s="166">
        <v>81</v>
      </c>
      <c r="G1456" s="166">
        <v>44</v>
      </c>
      <c r="H1456" s="21">
        <v>184</v>
      </c>
      <c r="I1456" s="21">
        <v>31</v>
      </c>
      <c r="J1456" s="21">
        <v>100</v>
      </c>
      <c r="K1456" s="21">
        <v>12</v>
      </c>
      <c r="L1456" s="21">
        <v>108</v>
      </c>
      <c r="M1456" s="21">
        <v>39</v>
      </c>
      <c r="N1456" s="21">
        <v>82</v>
      </c>
      <c r="O1456" s="19">
        <v>200</v>
      </c>
      <c r="P1456" s="22">
        <v>8</v>
      </c>
      <c r="Q1456" s="22">
        <v>2</v>
      </c>
      <c r="R1456" s="20"/>
      <c r="S1456" s="234">
        <f>COUNTIFS(INP_DATA!$R$5:$R$3027,S$4,INP_DATA!$D$5:$D$3027,$D1456,INP_DATA!$B$5:$B$3027,$B1456)</f>
        <v>0</v>
      </c>
      <c r="T1456" s="235">
        <f>COUNTIFS(INP_DATA!$R$5:$R$3027,T$4,INP_DATA!$D$5:$D$3027,$D1456,INP_DATA!$B$5:$B$3027,$B1456)</f>
        <v>0</v>
      </c>
    </row>
    <row r="1457" spans="1:20" x14ac:dyDescent="0.35">
      <c r="A1457" s="3" t="str">
        <f>IF(D1457="","",(VLOOKUP($D1457,KEY!$B$5:$D$74,3,FALSE)))</f>
        <v>Orange County</v>
      </c>
      <c r="B1457" s="165">
        <f t="shared" si="7"/>
        <v>45689</v>
      </c>
      <c r="C1457" s="57" t="str">
        <f>IF($B1457="","",YEAR($B1457)&amp;"-"&amp;IFERROR(VLOOKUP(MONTH(B1457),KEY!$AE$5:$AF$16,2,FALSE),""))</f>
        <v>2025-Q1</v>
      </c>
      <c r="D1457" s="3" t="s">
        <v>123</v>
      </c>
      <c r="E1457" s="219">
        <v>49</v>
      </c>
      <c r="F1457" s="166">
        <v>279</v>
      </c>
      <c r="G1457" s="166">
        <v>199</v>
      </c>
      <c r="H1457" s="21">
        <v>426</v>
      </c>
      <c r="I1457" s="21">
        <v>67</v>
      </c>
      <c r="J1457" s="21">
        <v>217</v>
      </c>
      <c r="K1457" s="21">
        <v>41</v>
      </c>
      <c r="L1457" s="21">
        <v>436</v>
      </c>
      <c r="M1457" s="21">
        <v>184</v>
      </c>
      <c r="N1457" s="21">
        <v>265</v>
      </c>
      <c r="O1457" s="19">
        <v>380</v>
      </c>
      <c r="P1457" s="22">
        <v>23</v>
      </c>
      <c r="Q1457" s="22">
        <v>13</v>
      </c>
      <c r="R1457" s="20"/>
      <c r="S1457" s="234">
        <f>COUNTIFS(INP_DATA!$R$5:$R$3027,S$4,INP_DATA!$D$5:$D$3027,$D1457,INP_DATA!$B$5:$B$3027,$B1457)</f>
        <v>0</v>
      </c>
      <c r="T1457" s="235">
        <f>COUNTIFS(INP_DATA!$R$5:$R$3027,T$4,INP_DATA!$D$5:$D$3027,$D1457,INP_DATA!$B$5:$B$3027,$B1457)</f>
        <v>0</v>
      </c>
    </row>
    <row r="1458" spans="1:20" x14ac:dyDescent="0.35">
      <c r="A1458" s="3" t="str">
        <f>IF(D1458="","",(VLOOKUP($D1458,KEY!$B$5:$D$74,3,FALSE)))</f>
        <v>Southern California</v>
      </c>
      <c r="B1458" s="165">
        <f t="shared" si="7"/>
        <v>45689</v>
      </c>
      <c r="C1458" s="57" t="str">
        <f>IF($B1458="","",YEAR($B1458)&amp;"-"&amp;IFERROR(VLOOKUP(MONTH(B1458),KEY!$AE$5:$AF$16,2,FALSE),""))</f>
        <v>2025-Q1</v>
      </c>
      <c r="D1458" s="3" t="s">
        <v>124</v>
      </c>
      <c r="E1458" s="219">
        <v>41</v>
      </c>
      <c r="F1458" s="166">
        <v>200</v>
      </c>
      <c r="G1458" s="166">
        <v>202</v>
      </c>
      <c r="H1458" s="21">
        <v>260</v>
      </c>
      <c r="I1458" s="21">
        <v>43</v>
      </c>
      <c r="J1458" s="21">
        <v>205</v>
      </c>
      <c r="K1458" s="21">
        <v>46</v>
      </c>
      <c r="L1458" s="21">
        <v>336</v>
      </c>
      <c r="M1458" s="21">
        <v>120</v>
      </c>
      <c r="N1458" s="21">
        <v>202</v>
      </c>
      <c r="O1458" s="19">
        <v>420</v>
      </c>
      <c r="P1458" s="22">
        <v>62</v>
      </c>
      <c r="Q1458" s="22">
        <v>40</v>
      </c>
      <c r="R1458" s="20"/>
      <c r="S1458" s="234">
        <f>COUNTIFS(INP_DATA!$R$5:$R$3027,S$4,INP_DATA!$D$5:$D$3027,$D1458,INP_DATA!$B$5:$B$3027,$B1458)</f>
        <v>0</v>
      </c>
      <c r="T1458" s="235">
        <f>COUNTIFS(INP_DATA!$R$5:$R$3027,T$4,INP_DATA!$D$5:$D$3027,$D1458,INP_DATA!$B$5:$B$3027,$B1458)</f>
        <v>0</v>
      </c>
    </row>
    <row r="1459" spans="1:20" x14ac:dyDescent="0.35">
      <c r="A1459" s="3" t="str">
        <f>IF(D1459="","",(VLOOKUP($D1459,KEY!$B$5:$D$74,3,FALSE)))</f>
        <v>Northern California</v>
      </c>
      <c r="B1459" s="165">
        <f t="shared" si="7"/>
        <v>45689</v>
      </c>
      <c r="C1459" s="57" t="str">
        <f>IF($B1459="","",YEAR($B1459)&amp;"-"&amp;IFERROR(VLOOKUP(MONTH(B1459),KEY!$AE$5:$AF$16,2,FALSE),""))</f>
        <v>2025-Q1</v>
      </c>
      <c r="D1459" s="3" t="s">
        <v>195</v>
      </c>
      <c r="E1459" s="219">
        <v>7</v>
      </c>
      <c r="F1459" s="166">
        <v>56</v>
      </c>
      <c r="G1459" s="166">
        <v>28</v>
      </c>
      <c r="H1459" s="21">
        <v>150</v>
      </c>
      <c r="I1459" s="21">
        <v>24</v>
      </c>
      <c r="J1459" s="21">
        <v>34</v>
      </c>
      <c r="K1459" s="21">
        <v>8</v>
      </c>
      <c r="L1459" s="21">
        <v>120</v>
      </c>
      <c r="M1459" s="21">
        <v>34</v>
      </c>
      <c r="N1459" s="21">
        <v>56</v>
      </c>
      <c r="O1459" s="19">
        <v>100</v>
      </c>
      <c r="P1459" s="22">
        <v>4</v>
      </c>
      <c r="Q1459" s="22">
        <v>4</v>
      </c>
      <c r="R1459" s="20"/>
      <c r="S1459" s="234">
        <f>COUNTIFS(INP_DATA!$R$5:$R$3027,S$4,INP_DATA!$D$5:$D$3027,$D1459,INP_DATA!$B$5:$B$3027,$B1459)</f>
        <v>0</v>
      </c>
      <c r="T1459" s="235">
        <f>COUNTIFS(INP_DATA!$R$5:$R$3027,T$4,INP_DATA!$D$5:$D$3027,$D1459,INP_DATA!$B$5:$B$3027,$B1459)</f>
        <v>0</v>
      </c>
    </row>
    <row r="1460" spans="1:20" x14ac:dyDescent="0.35">
      <c r="A1460" s="3" t="str">
        <f>IF(D1460="","",(VLOOKUP($D1460,KEY!$B$5:$D$74,3,FALSE)))</f>
        <v>Northern California</v>
      </c>
      <c r="B1460" s="165">
        <f t="shared" si="7"/>
        <v>45689</v>
      </c>
      <c r="C1460" s="57" t="str">
        <f>IF($B1460="","",YEAR($B1460)&amp;"-"&amp;IFERROR(VLOOKUP(MONTH(B1460),KEY!$AE$5:$AF$16,2,FALSE),""))</f>
        <v>2025-Q1</v>
      </c>
      <c r="D1460" s="3" t="s">
        <v>125</v>
      </c>
      <c r="E1460" s="219">
        <v>37</v>
      </c>
      <c r="F1460" s="166">
        <v>213</v>
      </c>
      <c r="G1460" s="166">
        <v>255</v>
      </c>
      <c r="H1460" s="21">
        <v>514</v>
      </c>
      <c r="I1460" s="21">
        <v>55</v>
      </c>
      <c r="J1460" s="21">
        <v>135</v>
      </c>
      <c r="K1460" s="21">
        <v>17</v>
      </c>
      <c r="L1460" s="21">
        <v>406</v>
      </c>
      <c r="M1460" s="21">
        <v>72</v>
      </c>
      <c r="N1460" s="21">
        <v>220</v>
      </c>
      <c r="O1460" s="19">
        <v>360</v>
      </c>
      <c r="P1460" s="22">
        <v>8</v>
      </c>
      <c r="Q1460" s="22">
        <v>5</v>
      </c>
      <c r="R1460" s="20"/>
      <c r="S1460" s="234">
        <f>COUNTIFS(INP_DATA!$R$5:$R$3027,S$4,INP_DATA!$D$5:$D$3027,$D1460,INP_DATA!$B$5:$B$3027,$B1460)</f>
        <v>0</v>
      </c>
      <c r="T1460" s="235">
        <f>COUNTIFS(INP_DATA!$R$5:$R$3027,T$4,INP_DATA!$D$5:$D$3027,$D1460,INP_DATA!$B$5:$B$3027,$B1460)</f>
        <v>0</v>
      </c>
    </row>
    <row r="1461" spans="1:20" x14ac:dyDescent="0.35">
      <c r="A1461" s="3" t="str">
        <f>IF(D1461="","",(VLOOKUP($D1461,KEY!$B$5:$D$74,3,FALSE)))</f>
        <v>Orange County</v>
      </c>
      <c r="B1461" s="165">
        <f t="shared" si="7"/>
        <v>45689</v>
      </c>
      <c r="C1461" s="57" t="str">
        <f>IF($B1461="","",YEAR($B1461)&amp;"-"&amp;IFERROR(VLOOKUP(MONTH(B1461),KEY!$AE$5:$AF$16,2,FALSE),""))</f>
        <v>2025-Q1</v>
      </c>
      <c r="D1461" s="3" t="s">
        <v>126</v>
      </c>
      <c r="E1461" s="219">
        <v>64</v>
      </c>
      <c r="F1461" s="166">
        <v>398</v>
      </c>
      <c r="G1461" s="166">
        <v>333</v>
      </c>
      <c r="H1461" s="21">
        <v>508</v>
      </c>
      <c r="I1461" s="21">
        <v>84</v>
      </c>
      <c r="J1461" s="21">
        <v>339</v>
      </c>
      <c r="K1461" s="21">
        <v>83</v>
      </c>
      <c r="L1461" s="21">
        <v>660</v>
      </c>
      <c r="M1461" s="21">
        <v>265</v>
      </c>
      <c r="N1461" s="21">
        <v>402</v>
      </c>
      <c r="O1461" s="19">
        <v>540</v>
      </c>
      <c r="P1461" s="22">
        <v>141</v>
      </c>
      <c r="Q1461" s="22">
        <v>86</v>
      </c>
      <c r="R1461" s="20"/>
      <c r="S1461" s="234">
        <f>COUNTIFS(INP_DATA!$R$5:$R$3027,S$4,INP_DATA!$D$5:$D$3027,$D1461,INP_DATA!$B$5:$B$3027,$B1461)</f>
        <v>0</v>
      </c>
      <c r="T1461" s="235">
        <f>COUNTIFS(INP_DATA!$R$5:$R$3027,T$4,INP_DATA!$D$5:$D$3027,$D1461,INP_DATA!$B$5:$B$3027,$B1461)</f>
        <v>0</v>
      </c>
    </row>
    <row r="1462" spans="1:20" x14ac:dyDescent="0.35">
      <c r="A1462" s="3" t="str">
        <f>IF(D1462="","",(VLOOKUP($D1462,KEY!$B$5:$D$74,3,FALSE)))</f>
        <v>Orange County</v>
      </c>
      <c r="B1462" s="165">
        <f t="shared" si="7"/>
        <v>45689</v>
      </c>
      <c r="C1462" s="57" t="str">
        <f>IF($B1462="","",YEAR($B1462)&amp;"-"&amp;IFERROR(VLOOKUP(MONTH(B1462),KEY!$AE$5:$AF$16,2,FALSE),""))</f>
        <v>2025-Q1</v>
      </c>
      <c r="D1462" s="3" t="s">
        <v>127</v>
      </c>
      <c r="E1462" s="219">
        <v>4</v>
      </c>
      <c r="F1462" s="166">
        <v>46</v>
      </c>
      <c r="G1462" s="166">
        <v>50</v>
      </c>
      <c r="H1462" s="21">
        <v>92</v>
      </c>
      <c r="I1462" s="21">
        <v>18</v>
      </c>
      <c r="J1462" s="21">
        <v>24</v>
      </c>
      <c r="K1462" s="21">
        <v>7</v>
      </c>
      <c r="L1462" s="21">
        <v>62</v>
      </c>
      <c r="M1462" s="21">
        <v>35</v>
      </c>
      <c r="N1462" s="21">
        <v>48</v>
      </c>
      <c r="O1462" s="19">
        <v>70</v>
      </c>
      <c r="P1462" s="22">
        <v>8</v>
      </c>
      <c r="Q1462" s="22">
        <v>4</v>
      </c>
      <c r="R1462" s="20"/>
      <c r="S1462" s="234">
        <f>COUNTIFS(INP_DATA!$R$5:$R$3027,S$4,INP_DATA!$D$5:$D$3027,$D1462,INP_DATA!$B$5:$B$3027,$B1462)</f>
        <v>0</v>
      </c>
      <c r="T1462" s="235">
        <f>COUNTIFS(INP_DATA!$R$5:$R$3027,T$4,INP_DATA!$D$5:$D$3027,$D1462,INP_DATA!$B$5:$B$3027,$B1462)</f>
        <v>0</v>
      </c>
    </row>
    <row r="1463" spans="1:20" x14ac:dyDescent="0.35">
      <c r="A1463" s="3" t="str">
        <f>IF(D1463="","",(VLOOKUP($D1463,KEY!$B$5:$D$74,3,FALSE)))</f>
        <v>Wisconsin</v>
      </c>
      <c r="B1463" s="165">
        <f t="shared" si="7"/>
        <v>45689</v>
      </c>
      <c r="C1463" s="57" t="str">
        <f>IF($B1463="","",YEAR($B1463)&amp;"-"&amp;IFERROR(VLOOKUP(MONTH(B1463),KEY!$AE$5:$AF$16,2,FALSE),""))</f>
        <v>2025-Q1</v>
      </c>
      <c r="D1463" s="3" t="s">
        <v>201</v>
      </c>
      <c r="E1463" s="219">
        <v>13</v>
      </c>
      <c r="F1463" s="166">
        <v>209</v>
      </c>
      <c r="G1463" s="166">
        <v>231</v>
      </c>
      <c r="H1463" s="21">
        <v>359</v>
      </c>
      <c r="I1463" s="21">
        <v>57</v>
      </c>
      <c r="J1463" s="21">
        <v>186</v>
      </c>
      <c r="K1463" s="21">
        <v>40</v>
      </c>
      <c r="L1463" s="21">
        <v>282</v>
      </c>
      <c r="M1463" s="21">
        <v>124</v>
      </c>
      <c r="N1463" s="21">
        <v>209</v>
      </c>
      <c r="O1463" s="19">
        <v>260</v>
      </c>
      <c r="P1463" s="22">
        <v>21</v>
      </c>
      <c r="Q1463" s="22">
        <v>15</v>
      </c>
      <c r="R1463" s="20"/>
      <c r="S1463" s="234">
        <f>COUNTIFS(INP_DATA!$R$5:$R$3027,S$4,INP_DATA!$D$5:$D$3027,$D1463,INP_DATA!$B$5:$B$3027,$B1463)</f>
        <v>0</v>
      </c>
      <c r="T1463" s="235">
        <f>COUNTIFS(INP_DATA!$R$5:$R$3027,T$4,INP_DATA!$D$5:$D$3027,$D1463,INP_DATA!$B$5:$B$3027,$B1463)</f>
        <v>0</v>
      </c>
    </row>
    <row r="1464" spans="1:20" x14ac:dyDescent="0.35">
      <c r="A1464" s="3" t="e">
        <f>IF(D1464="","",(VLOOKUP($D1464,KEY!$B$5:$D$74,3,FALSE)))</f>
        <v>#N/A</v>
      </c>
      <c r="B1464" s="165">
        <f t="shared" si="7"/>
        <v>45689</v>
      </c>
      <c r="C1464" s="57" t="str">
        <f>IF($B1464="","",YEAR($B1464)&amp;"-"&amp;IFERROR(VLOOKUP(MONTH(B1464),KEY!$AE$5:$AF$16,2,FALSE),""))</f>
        <v>2025-Q1</v>
      </c>
      <c r="D1464" s="3" t="s">
        <v>202</v>
      </c>
      <c r="E1464" s="219">
        <v>0</v>
      </c>
      <c r="F1464" s="166">
        <v>28</v>
      </c>
      <c r="G1464" s="166">
        <v>43</v>
      </c>
      <c r="H1464" s="21">
        <v>74</v>
      </c>
      <c r="I1464" s="21">
        <v>10</v>
      </c>
      <c r="J1464" s="21">
        <v>22</v>
      </c>
      <c r="K1464" s="21">
        <v>5</v>
      </c>
      <c r="L1464" s="21">
        <v>35</v>
      </c>
      <c r="M1464" s="21">
        <v>17</v>
      </c>
      <c r="N1464" s="21">
        <v>28</v>
      </c>
      <c r="O1464" s="19">
        <v>60</v>
      </c>
      <c r="P1464" s="22">
        <v>0</v>
      </c>
      <c r="Q1464" s="22">
        <v>0</v>
      </c>
      <c r="R1464" s="20"/>
      <c r="S1464" s="234">
        <f>COUNTIFS(INP_DATA!$R$5:$R$3027,S$4,INP_DATA!$D$5:$D$3027,$D1464,INP_DATA!$B$5:$B$3027,$B1464)</f>
        <v>0</v>
      </c>
      <c r="T1464" s="235">
        <f>COUNTIFS(INP_DATA!$R$5:$R$3027,T$4,INP_DATA!$D$5:$D$3027,$D1464,INP_DATA!$B$5:$B$3027,$B1464)</f>
        <v>0</v>
      </c>
    </row>
    <row r="1465" spans="1:20" x14ac:dyDescent="0.35">
      <c r="A1465" s="3" t="str">
        <f>IF(D1465="","",(VLOOKUP($D1465,KEY!$B$5:$D$74,3,FALSE)))</f>
        <v>Texas</v>
      </c>
      <c r="B1465" s="165">
        <f t="shared" si="7"/>
        <v>45689</v>
      </c>
      <c r="C1465" s="57" t="str">
        <f>IF($B1465="","",YEAR($B1465)&amp;"-"&amp;IFERROR(VLOOKUP(MONTH(B1465),KEY!$AE$5:$AF$16,2,FALSE),""))</f>
        <v>2025-Q1</v>
      </c>
      <c r="D1465" s="3" t="s">
        <v>198</v>
      </c>
      <c r="E1465" s="219">
        <v>3</v>
      </c>
      <c r="F1465" s="166">
        <v>54</v>
      </c>
      <c r="G1465" s="166">
        <v>46</v>
      </c>
      <c r="H1465" s="21">
        <v>184</v>
      </c>
      <c r="I1465" s="21">
        <v>21</v>
      </c>
      <c r="J1465" s="21">
        <v>76</v>
      </c>
      <c r="K1465" s="21">
        <v>5</v>
      </c>
      <c r="L1465" s="21">
        <v>77</v>
      </c>
      <c r="M1465" s="21">
        <v>30</v>
      </c>
      <c r="N1465" s="21">
        <v>56</v>
      </c>
      <c r="O1465" s="19">
        <v>160</v>
      </c>
      <c r="P1465" s="22">
        <v>1</v>
      </c>
      <c r="Q1465" s="22">
        <v>0</v>
      </c>
      <c r="R1465" s="20"/>
      <c r="S1465" s="234">
        <f>COUNTIFS(INP_DATA!$R$5:$R$3027,S$4,INP_DATA!$D$5:$D$3027,$D1465,INP_DATA!$B$5:$B$3027,$B1465)</f>
        <v>0</v>
      </c>
      <c r="T1465" s="235">
        <f>COUNTIFS(INP_DATA!$R$5:$R$3027,T$4,INP_DATA!$D$5:$D$3027,$D1465,INP_DATA!$B$5:$B$3027,$B1465)</f>
        <v>0</v>
      </c>
    </row>
    <row r="1466" spans="1:20" x14ac:dyDescent="0.35">
      <c r="A1466" s="3" t="str">
        <f>IF(D1466="","",(VLOOKUP($D1466,KEY!$B$5:$D$74,3,FALSE)))</f>
        <v>Texas</v>
      </c>
      <c r="B1466" s="165">
        <f t="shared" si="7"/>
        <v>45689</v>
      </c>
      <c r="C1466" s="57" t="str">
        <f>IF($B1466="","",YEAR($B1466)&amp;"-"&amp;IFERROR(VLOOKUP(MONTH(B1466),KEY!$AE$5:$AF$16,2,FALSE),""))</f>
        <v>2025-Q1</v>
      </c>
      <c r="D1466" s="3" t="s">
        <v>128</v>
      </c>
      <c r="E1466" s="219">
        <v>11</v>
      </c>
      <c r="F1466" s="166">
        <v>198</v>
      </c>
      <c r="G1466" s="166">
        <v>226</v>
      </c>
      <c r="H1466" s="21">
        <v>315</v>
      </c>
      <c r="I1466" s="21">
        <v>60</v>
      </c>
      <c r="J1466" s="21">
        <v>184</v>
      </c>
      <c r="K1466" s="21">
        <v>47</v>
      </c>
      <c r="L1466" s="21">
        <v>288</v>
      </c>
      <c r="M1466" s="21">
        <v>119</v>
      </c>
      <c r="N1466" s="21">
        <v>198</v>
      </c>
      <c r="O1466" s="19">
        <v>280</v>
      </c>
      <c r="P1466" s="22">
        <v>17</v>
      </c>
      <c r="Q1466" s="22">
        <v>13</v>
      </c>
      <c r="R1466" s="20"/>
      <c r="S1466" s="234">
        <f>COUNTIFS(INP_DATA!$R$5:$R$3027,S$4,INP_DATA!$D$5:$D$3027,$D1466,INP_DATA!$B$5:$B$3027,$B1466)</f>
        <v>0</v>
      </c>
      <c r="T1466" s="235">
        <f>COUNTIFS(INP_DATA!$R$5:$R$3027,T$4,INP_DATA!$D$5:$D$3027,$D1466,INP_DATA!$B$5:$B$3027,$B1466)</f>
        <v>0</v>
      </c>
    </row>
    <row r="1467" spans="1:20" x14ac:dyDescent="0.35">
      <c r="A1467" s="3" t="str">
        <f>IF(D1467="","",(VLOOKUP($D1467,KEY!$B$5:$D$74,3,FALSE)))</f>
        <v>Northern California</v>
      </c>
      <c r="B1467" s="165">
        <f t="shared" si="7"/>
        <v>45689</v>
      </c>
      <c r="C1467" s="57" t="str">
        <f>IF($B1467="","",YEAR($B1467)&amp;"-"&amp;IFERROR(VLOOKUP(MONTH(B1467),KEY!$AE$5:$AF$16,2,FALSE),""))</f>
        <v>2025-Q1</v>
      </c>
      <c r="D1467" s="3" t="s">
        <v>129</v>
      </c>
      <c r="E1467" s="219">
        <v>16</v>
      </c>
      <c r="F1467" s="166">
        <v>180</v>
      </c>
      <c r="G1467" s="166">
        <v>144</v>
      </c>
      <c r="H1467" s="21">
        <v>325</v>
      </c>
      <c r="I1467" s="21">
        <v>43</v>
      </c>
      <c r="J1467" s="21">
        <v>125</v>
      </c>
      <c r="K1467" s="21">
        <v>30</v>
      </c>
      <c r="L1467" s="21">
        <v>270</v>
      </c>
      <c r="M1467" s="21">
        <v>77</v>
      </c>
      <c r="N1467" s="21">
        <v>181</v>
      </c>
      <c r="O1467" s="19">
        <v>320</v>
      </c>
      <c r="P1467" s="22">
        <v>16</v>
      </c>
      <c r="Q1467" s="22">
        <v>13</v>
      </c>
      <c r="R1467" s="20"/>
      <c r="S1467" s="234">
        <f>COUNTIFS(INP_DATA!$R$5:$R$3027,S$4,INP_DATA!$D$5:$D$3027,$D1467,INP_DATA!$B$5:$B$3027,$B1467)</f>
        <v>0</v>
      </c>
      <c r="T1467" s="235">
        <f>COUNTIFS(INP_DATA!$R$5:$R$3027,T$4,INP_DATA!$D$5:$D$3027,$D1467,INP_DATA!$B$5:$B$3027,$B1467)</f>
        <v>0</v>
      </c>
    </row>
    <row r="1468" spans="1:20" x14ac:dyDescent="0.35">
      <c r="A1468" s="3" t="str">
        <f>IF(D1468="","",(VLOOKUP($D1468,KEY!$B$5:$D$74,3,FALSE)))</f>
        <v>Southern California</v>
      </c>
      <c r="B1468" s="165">
        <f t="shared" si="7"/>
        <v>45689</v>
      </c>
      <c r="C1468" s="57" t="str">
        <f>IF($B1468="","",YEAR($B1468)&amp;"-"&amp;IFERROR(VLOOKUP(MONTH(B1468),KEY!$AE$5:$AF$16,2,FALSE),""))</f>
        <v>2025-Q1</v>
      </c>
      <c r="D1468" s="3" t="s">
        <v>130</v>
      </c>
      <c r="E1468" s="219">
        <v>21</v>
      </c>
      <c r="F1468" s="166">
        <v>155</v>
      </c>
      <c r="G1468" s="166">
        <v>115</v>
      </c>
      <c r="H1468" s="21">
        <v>383</v>
      </c>
      <c r="I1468" s="21">
        <v>53</v>
      </c>
      <c r="J1468" s="21">
        <v>128</v>
      </c>
      <c r="K1468" s="21">
        <v>17</v>
      </c>
      <c r="L1468" s="21">
        <v>232</v>
      </c>
      <c r="M1468" s="21">
        <v>79</v>
      </c>
      <c r="N1468" s="21">
        <v>163</v>
      </c>
      <c r="O1468" s="19">
        <v>200</v>
      </c>
      <c r="P1468" s="22">
        <v>21</v>
      </c>
      <c r="Q1468" s="22">
        <v>15</v>
      </c>
      <c r="R1468" s="20"/>
      <c r="S1468" s="234">
        <f>COUNTIFS(INP_DATA!$R$5:$R$3027,S$4,INP_DATA!$D$5:$D$3027,$D1468,INP_DATA!$B$5:$B$3027,$B1468)</f>
        <v>0</v>
      </c>
      <c r="T1468" s="235">
        <f>COUNTIFS(INP_DATA!$R$5:$R$3027,T$4,INP_DATA!$D$5:$D$3027,$D1468,INP_DATA!$B$5:$B$3027,$B1468)</f>
        <v>0</v>
      </c>
    </row>
    <row r="1469" spans="1:20" x14ac:dyDescent="0.35">
      <c r="A1469" s="3" t="e">
        <f>IF(D1469="","",(VLOOKUP($D1469,KEY!$B$5:$D$74,3,FALSE)))</f>
        <v>#N/A</v>
      </c>
      <c r="B1469" s="165">
        <f t="shared" si="7"/>
        <v>45689</v>
      </c>
      <c r="C1469" s="57" t="str">
        <f>IF($B1469="","",YEAR($B1469)&amp;"-"&amp;IFERROR(VLOOKUP(MONTH(B1469),KEY!$AE$5:$AF$16,2,FALSE),""))</f>
        <v>2025-Q1</v>
      </c>
      <c r="D1469" s="3" t="s">
        <v>203</v>
      </c>
      <c r="E1469" s="219">
        <v>6</v>
      </c>
      <c r="F1469" s="166">
        <v>91</v>
      </c>
      <c r="G1469" s="166">
        <v>118</v>
      </c>
      <c r="H1469" s="21">
        <v>182</v>
      </c>
      <c r="I1469" s="21">
        <v>32</v>
      </c>
      <c r="J1469" s="21">
        <v>58</v>
      </c>
      <c r="K1469" s="21">
        <v>11</v>
      </c>
      <c r="L1469" s="21">
        <v>98</v>
      </c>
      <c r="M1469" s="21">
        <v>56</v>
      </c>
      <c r="N1469" s="21">
        <v>92</v>
      </c>
      <c r="O1469" s="19">
        <v>160</v>
      </c>
      <c r="P1469" s="22">
        <v>18</v>
      </c>
      <c r="Q1469" s="22">
        <v>10</v>
      </c>
      <c r="R1469" s="20"/>
      <c r="S1469" s="234">
        <f>COUNTIFS(INP_DATA!$R$5:$R$3027,S$4,INP_DATA!$D$5:$D$3027,$D1469,INP_DATA!$B$5:$B$3027,$B1469)</f>
        <v>0</v>
      </c>
      <c r="T1469" s="235">
        <f>COUNTIFS(INP_DATA!$R$5:$R$3027,T$4,INP_DATA!$D$5:$D$3027,$D1469,INP_DATA!$B$5:$B$3027,$B1469)</f>
        <v>0</v>
      </c>
    </row>
    <row r="1470" spans="1:20" x14ac:dyDescent="0.35">
      <c r="A1470" s="3">
        <f>IF(D1470="","",(VLOOKUP($D1470,KEY!$B$5:$D$74,3,FALSE)))</f>
        <v>0</v>
      </c>
      <c r="B1470" s="165">
        <f t="shared" si="7"/>
        <v>45689</v>
      </c>
      <c r="C1470" s="57" t="str">
        <f>IF($B1470="","",YEAR($B1470)&amp;"-"&amp;IFERROR(VLOOKUP(MONTH(B1470),KEY!$AE$5:$AF$16,2,FALSE),""))</f>
        <v>2025-Q1</v>
      </c>
      <c r="D1470" s="3" t="s">
        <v>131</v>
      </c>
      <c r="E1470" s="219">
        <v>24</v>
      </c>
      <c r="F1470" s="166">
        <v>125</v>
      </c>
      <c r="G1470" s="166">
        <v>165</v>
      </c>
      <c r="H1470" s="21">
        <v>196</v>
      </c>
      <c r="I1470" s="21">
        <v>28</v>
      </c>
      <c r="J1470" s="21">
        <v>131</v>
      </c>
      <c r="K1470" s="21">
        <v>30</v>
      </c>
      <c r="L1470" s="21">
        <v>243</v>
      </c>
      <c r="M1470" s="21">
        <v>59</v>
      </c>
      <c r="N1470" s="21">
        <v>127</v>
      </c>
      <c r="O1470" s="19">
        <v>200</v>
      </c>
      <c r="P1470" s="22">
        <v>9</v>
      </c>
      <c r="Q1470" s="22">
        <v>5</v>
      </c>
      <c r="R1470" s="20"/>
      <c r="S1470" s="234">
        <f>COUNTIFS(INP_DATA!$R$5:$R$3027,S$4,INP_DATA!$D$5:$D$3027,$D1470,INP_DATA!$B$5:$B$3027,$B1470)</f>
        <v>0</v>
      </c>
      <c r="T1470" s="235">
        <f>COUNTIFS(INP_DATA!$R$5:$R$3027,T$4,INP_DATA!$D$5:$D$3027,$D1470,INP_DATA!$B$5:$B$3027,$B1470)</f>
        <v>0</v>
      </c>
    </row>
    <row r="1471" spans="1:20" x14ac:dyDescent="0.35">
      <c r="A1471" s="3" t="e">
        <f>IF(D1471="","",(VLOOKUP($D1471,KEY!$B$5:$D$74,3,FALSE)))</f>
        <v>#N/A</v>
      </c>
      <c r="B1471" s="165">
        <f t="shared" si="7"/>
        <v>45689</v>
      </c>
      <c r="C1471" s="57" t="str">
        <f>IF($B1471="","",YEAR($B1471)&amp;"-"&amp;IFERROR(VLOOKUP(MONTH(B1471),KEY!$AE$5:$AF$16,2,FALSE),""))</f>
        <v>2025-Q1</v>
      </c>
      <c r="D1471" s="3" t="s">
        <v>134</v>
      </c>
      <c r="E1471" s="219">
        <v>6</v>
      </c>
      <c r="F1471" s="166">
        <v>37</v>
      </c>
      <c r="G1471" s="166">
        <v>25</v>
      </c>
      <c r="H1471" s="21">
        <v>65</v>
      </c>
      <c r="I1471" s="21">
        <v>11</v>
      </c>
      <c r="J1471" s="21">
        <v>36</v>
      </c>
      <c r="K1471" s="21">
        <v>9</v>
      </c>
      <c r="L1471" s="21">
        <v>56</v>
      </c>
      <c r="M1471" s="21">
        <v>22</v>
      </c>
      <c r="N1471" s="21">
        <v>37</v>
      </c>
      <c r="O1471" s="19">
        <v>60</v>
      </c>
      <c r="P1471" s="22">
        <v>11</v>
      </c>
      <c r="Q1471" s="22">
        <v>8</v>
      </c>
      <c r="R1471" s="20"/>
      <c r="S1471" s="234">
        <f>COUNTIFS(INP_DATA!$R$5:$R$3027,S$4,INP_DATA!$D$5:$D$3027,$D1471,INP_DATA!$B$5:$B$3027,$B1471)</f>
        <v>0</v>
      </c>
      <c r="T1471" s="235">
        <f>COUNTIFS(INP_DATA!$R$5:$R$3027,T$4,INP_DATA!$D$5:$D$3027,$D1471,INP_DATA!$B$5:$B$3027,$B1471)</f>
        <v>0</v>
      </c>
    </row>
    <row r="1472" spans="1:20" x14ac:dyDescent="0.35">
      <c r="A1472" s="3" t="str">
        <f>IF(D1472="","",(VLOOKUP($D1472,KEY!$B$5:$D$74,3,FALSE)))</f>
        <v>Southern California</v>
      </c>
      <c r="B1472" s="165">
        <f t="shared" si="7"/>
        <v>45689</v>
      </c>
      <c r="C1472" s="57" t="str">
        <f>IF($B1472="","",YEAR($B1472)&amp;"-"&amp;IFERROR(VLOOKUP(MONTH(B1472),KEY!$AE$5:$AF$16,2,FALSE),""))</f>
        <v>2025-Q1</v>
      </c>
      <c r="D1472" s="3" t="s">
        <v>135</v>
      </c>
      <c r="E1472" s="219">
        <v>29</v>
      </c>
      <c r="F1472" s="166">
        <v>208</v>
      </c>
      <c r="G1472" s="166">
        <v>239</v>
      </c>
      <c r="H1472" s="21">
        <v>418</v>
      </c>
      <c r="I1472" s="21">
        <v>63</v>
      </c>
      <c r="J1472" s="21">
        <v>253</v>
      </c>
      <c r="K1472" s="21">
        <v>59</v>
      </c>
      <c r="L1472" s="21">
        <v>435</v>
      </c>
      <c r="M1472" s="21">
        <v>106</v>
      </c>
      <c r="N1472" s="21">
        <v>208</v>
      </c>
      <c r="O1472" s="19">
        <v>220</v>
      </c>
      <c r="P1472" s="22">
        <v>17</v>
      </c>
      <c r="Q1472" s="22">
        <v>12</v>
      </c>
      <c r="R1472" s="20"/>
      <c r="S1472" s="234">
        <f>COUNTIFS(INP_DATA!$R$5:$R$3027,S$4,INP_DATA!$D$5:$D$3027,$D1472,INP_DATA!$B$5:$B$3027,$B1472)</f>
        <v>0</v>
      </c>
      <c r="T1472" s="235">
        <f>COUNTIFS(INP_DATA!$R$5:$R$3027,T$4,INP_DATA!$D$5:$D$3027,$D1472,INP_DATA!$B$5:$B$3027,$B1472)</f>
        <v>0</v>
      </c>
    </row>
    <row r="1473" spans="1:20" x14ac:dyDescent="0.35">
      <c r="A1473" s="3" t="str">
        <f>IF(D1473="","",(VLOOKUP($D1473,KEY!$B$5:$D$74,3,FALSE)))</f>
        <v>Arizona</v>
      </c>
      <c r="B1473" s="165">
        <f t="shared" si="7"/>
        <v>45689</v>
      </c>
      <c r="C1473" s="57" t="str">
        <f>IF($B1473="","",YEAR($B1473)&amp;"-"&amp;IFERROR(VLOOKUP(MONTH(B1473),KEY!$AE$5:$AF$16,2,FALSE),""))</f>
        <v>2025-Q1</v>
      </c>
      <c r="D1473" s="3" t="s">
        <v>204</v>
      </c>
      <c r="E1473" s="219">
        <v>4</v>
      </c>
      <c r="F1473" s="166">
        <v>15</v>
      </c>
      <c r="G1473" s="166">
        <v>0</v>
      </c>
      <c r="H1473" s="21">
        <v>14</v>
      </c>
      <c r="I1473" s="21">
        <v>3</v>
      </c>
      <c r="J1473" s="21">
        <v>19</v>
      </c>
      <c r="K1473" s="21">
        <v>3</v>
      </c>
      <c r="L1473" s="21">
        <v>34</v>
      </c>
      <c r="M1473" s="21">
        <v>8</v>
      </c>
      <c r="N1473" s="21">
        <v>15</v>
      </c>
      <c r="O1473" s="19">
        <v>20</v>
      </c>
      <c r="P1473" s="22">
        <v>1</v>
      </c>
      <c r="Q1473" s="22">
        <v>0</v>
      </c>
      <c r="R1473" s="20"/>
      <c r="S1473" s="234">
        <f>COUNTIFS(INP_DATA!$R$5:$R$3027,S$4,INP_DATA!$D$5:$D$3027,$D1473,INP_DATA!$B$5:$B$3027,$B1473)</f>
        <v>0</v>
      </c>
      <c r="T1473" s="235">
        <f>COUNTIFS(INP_DATA!$R$5:$R$3027,T$4,INP_DATA!$D$5:$D$3027,$D1473,INP_DATA!$B$5:$B$3027,$B1473)</f>
        <v>0</v>
      </c>
    </row>
    <row r="1474" spans="1:20" x14ac:dyDescent="0.35">
      <c r="A1474" s="3" t="str">
        <f>IF(D1474="","",(VLOOKUP($D1474,KEY!$B$5:$D$74,3,FALSE)))</f>
        <v>Arizona</v>
      </c>
      <c r="B1474" s="165">
        <f t="shared" si="7"/>
        <v>45689</v>
      </c>
      <c r="C1474" s="57" t="str">
        <f>IF($B1474="","",YEAR($B1474)&amp;"-"&amp;IFERROR(VLOOKUP(MONTH(B1474),KEY!$AE$5:$AF$16,2,FALSE),""))</f>
        <v>2025-Q1</v>
      </c>
      <c r="D1474" s="3" t="s">
        <v>196</v>
      </c>
      <c r="E1474" s="219">
        <v>12</v>
      </c>
      <c r="F1474" s="166">
        <v>46</v>
      </c>
      <c r="G1474" s="166">
        <v>40</v>
      </c>
      <c r="H1474" s="21">
        <v>94</v>
      </c>
      <c r="I1474" s="21">
        <v>14</v>
      </c>
      <c r="J1474" s="21">
        <v>56</v>
      </c>
      <c r="K1474" s="21">
        <v>12</v>
      </c>
      <c r="L1474" s="21">
        <v>91</v>
      </c>
      <c r="M1474" s="21">
        <v>37</v>
      </c>
      <c r="N1474" s="21">
        <v>46</v>
      </c>
      <c r="O1474" s="19">
        <v>100</v>
      </c>
      <c r="P1474" s="22">
        <v>3</v>
      </c>
      <c r="Q1474" s="22">
        <v>2</v>
      </c>
      <c r="R1474" s="20"/>
      <c r="S1474" s="234">
        <f>COUNTIFS(INP_DATA!$R$5:$R$3027,S$4,INP_DATA!$D$5:$D$3027,$D1474,INP_DATA!$B$5:$B$3027,$B1474)</f>
        <v>0</v>
      </c>
      <c r="T1474" s="235">
        <f>COUNTIFS(INP_DATA!$R$5:$R$3027,T$4,INP_DATA!$D$5:$D$3027,$D1474,INP_DATA!$B$5:$B$3027,$B1474)</f>
        <v>0</v>
      </c>
    </row>
    <row r="1475" spans="1:20" x14ac:dyDescent="0.35">
      <c r="A1475" s="3" t="str">
        <f>IF(D1475="","",(VLOOKUP($D1475,KEY!$B$5:$D$74,3,FALSE)))</f>
        <v>Arizona</v>
      </c>
      <c r="B1475" s="165">
        <f t="shared" si="7"/>
        <v>45689</v>
      </c>
      <c r="C1475" s="57" t="str">
        <f>IF($B1475="","",YEAR($B1475)&amp;"-"&amp;IFERROR(VLOOKUP(MONTH(B1475),KEY!$AE$5:$AF$16,2,FALSE),""))</f>
        <v>2025-Q1</v>
      </c>
      <c r="D1475" s="3" t="s">
        <v>197</v>
      </c>
      <c r="E1475" s="219">
        <v>16</v>
      </c>
      <c r="F1475" s="166">
        <v>98</v>
      </c>
      <c r="G1475" s="166">
        <v>100</v>
      </c>
      <c r="H1475" s="21">
        <v>168</v>
      </c>
      <c r="I1475" s="21">
        <v>24</v>
      </c>
      <c r="J1475" s="21">
        <v>67</v>
      </c>
      <c r="K1475" s="21">
        <v>15</v>
      </c>
      <c r="L1475" s="21">
        <v>153</v>
      </c>
      <c r="M1475" s="21">
        <v>67</v>
      </c>
      <c r="N1475" s="21">
        <v>99</v>
      </c>
      <c r="O1475" s="19">
        <v>180</v>
      </c>
      <c r="P1475" s="22">
        <v>2</v>
      </c>
      <c r="Q1475" s="22">
        <v>1</v>
      </c>
      <c r="R1475" s="20"/>
      <c r="S1475" s="234">
        <f>COUNTIFS(INP_DATA!$R$5:$R$3027,S$4,INP_DATA!$D$5:$D$3027,$D1475,INP_DATA!$B$5:$B$3027,$B1475)</f>
        <v>0</v>
      </c>
      <c r="T1475" s="235">
        <f>COUNTIFS(INP_DATA!$R$5:$R$3027,T$4,INP_DATA!$D$5:$D$3027,$D1475,INP_DATA!$B$5:$B$3027,$B1475)</f>
        <v>0</v>
      </c>
    </row>
    <row r="1476" spans="1:20" x14ac:dyDescent="0.35">
      <c r="A1476" s="3" t="str">
        <f>IF(D1476="","",(VLOOKUP($D1476,KEY!$B$5:$D$74,3,FALSE)))</f>
        <v>Texas</v>
      </c>
      <c r="B1476" s="165">
        <f t="shared" si="7"/>
        <v>45689</v>
      </c>
      <c r="C1476" s="57" t="str">
        <f>IF($B1476="","",YEAR($B1476)&amp;"-"&amp;IFERROR(VLOOKUP(MONTH(B1476),KEY!$AE$5:$AF$16,2,FALSE),""))</f>
        <v>2025-Q1</v>
      </c>
      <c r="D1476" s="3" t="s">
        <v>136</v>
      </c>
      <c r="E1476" s="219">
        <v>54</v>
      </c>
      <c r="F1476" s="166">
        <v>258</v>
      </c>
      <c r="G1476" s="166">
        <v>254</v>
      </c>
      <c r="H1476" s="21">
        <v>404</v>
      </c>
      <c r="I1476" s="21">
        <v>59</v>
      </c>
      <c r="J1476" s="21">
        <v>263</v>
      </c>
      <c r="K1476" s="21">
        <v>34</v>
      </c>
      <c r="L1476" s="21">
        <v>349</v>
      </c>
      <c r="M1476" s="21">
        <v>166</v>
      </c>
      <c r="N1476" s="21">
        <v>259</v>
      </c>
      <c r="O1476" s="19">
        <v>320</v>
      </c>
      <c r="P1476" s="22">
        <v>10</v>
      </c>
      <c r="Q1476" s="22">
        <v>9</v>
      </c>
      <c r="R1476" s="20"/>
      <c r="S1476" s="234">
        <f>COUNTIFS(INP_DATA!$R$5:$R$3027,S$4,INP_DATA!$D$5:$D$3027,$D1476,INP_DATA!$B$5:$B$3027,$B1476)</f>
        <v>0</v>
      </c>
      <c r="T1476" s="235">
        <f>COUNTIFS(INP_DATA!$R$5:$R$3027,T$4,INP_DATA!$D$5:$D$3027,$D1476,INP_DATA!$B$5:$B$3027,$B1476)</f>
        <v>0</v>
      </c>
    </row>
    <row r="1477" spans="1:20" x14ac:dyDescent="0.35">
      <c r="A1477" s="3" t="str">
        <f>IF(D1477="","",(VLOOKUP($D1477,KEY!$B$5:$D$74,3,FALSE)))</f>
        <v>Arizona</v>
      </c>
      <c r="B1477" s="165">
        <f t="shared" si="7"/>
        <v>45689</v>
      </c>
      <c r="C1477" s="57" t="str">
        <f>IF($B1477="","",YEAR($B1477)&amp;"-"&amp;IFERROR(VLOOKUP(MONTH(B1477),KEY!$AE$5:$AF$16,2,FALSE),""))</f>
        <v>2025-Q1</v>
      </c>
      <c r="D1477" s="3" t="s">
        <v>137</v>
      </c>
      <c r="E1477" s="219">
        <v>16</v>
      </c>
      <c r="F1477" s="166">
        <v>87</v>
      </c>
      <c r="G1477" s="166">
        <v>81</v>
      </c>
      <c r="H1477" s="21">
        <v>200</v>
      </c>
      <c r="I1477" s="21">
        <v>26</v>
      </c>
      <c r="J1477" s="21">
        <v>153</v>
      </c>
      <c r="K1477" s="21">
        <v>32</v>
      </c>
      <c r="L1477" s="21">
        <v>171</v>
      </c>
      <c r="M1477" s="21">
        <v>76</v>
      </c>
      <c r="N1477" s="21">
        <v>87</v>
      </c>
      <c r="O1477" s="19">
        <v>180</v>
      </c>
      <c r="P1477" s="22">
        <v>2</v>
      </c>
      <c r="Q1477" s="22">
        <v>1</v>
      </c>
      <c r="R1477" s="20"/>
      <c r="S1477" s="234">
        <f>COUNTIFS(INP_DATA!$R$5:$R$3027,S$4,INP_DATA!$D$5:$D$3027,$D1477,INP_DATA!$B$5:$B$3027,$B1477)</f>
        <v>0</v>
      </c>
      <c r="T1477" s="235">
        <f>COUNTIFS(INP_DATA!$R$5:$R$3027,T$4,INP_DATA!$D$5:$D$3027,$D1477,INP_DATA!$B$5:$B$3027,$B1477)</f>
        <v>0</v>
      </c>
    </row>
    <row r="1478" spans="1:20" x14ac:dyDescent="0.35">
      <c r="A1478" s="3" t="str">
        <f>IF(D1478="","",(VLOOKUP($D1478,KEY!$B$5:$D$74,3,FALSE)))</f>
        <v>Texas</v>
      </c>
      <c r="B1478" s="165">
        <f t="shared" si="7"/>
        <v>45689</v>
      </c>
      <c r="C1478" s="57" t="str">
        <f>IF($B1478="","",YEAR($B1478)&amp;"-"&amp;IFERROR(VLOOKUP(MONTH(B1478),KEY!$AE$5:$AF$16,2,FALSE),""))</f>
        <v>2025-Q1</v>
      </c>
      <c r="D1478" s="3" t="s">
        <v>138</v>
      </c>
      <c r="E1478" s="219">
        <v>31</v>
      </c>
      <c r="F1478" s="166">
        <v>145</v>
      </c>
      <c r="G1478" s="166">
        <v>151</v>
      </c>
      <c r="H1478" s="21">
        <v>230</v>
      </c>
      <c r="I1478" s="21">
        <v>39</v>
      </c>
      <c r="J1478" s="21">
        <v>153</v>
      </c>
      <c r="K1478" s="21">
        <v>39</v>
      </c>
      <c r="L1478" s="21">
        <v>298</v>
      </c>
      <c r="M1478" s="21">
        <v>105</v>
      </c>
      <c r="N1478" s="21">
        <v>144</v>
      </c>
      <c r="O1478" s="19">
        <v>200</v>
      </c>
      <c r="P1478" s="22">
        <v>9</v>
      </c>
      <c r="Q1478" s="22">
        <v>7</v>
      </c>
      <c r="R1478" s="20"/>
      <c r="S1478" s="234">
        <f>COUNTIFS(INP_DATA!$R$5:$R$3027,S$4,INP_DATA!$D$5:$D$3027,$D1478,INP_DATA!$B$5:$B$3027,$B1478)</f>
        <v>0</v>
      </c>
      <c r="T1478" s="235">
        <f>COUNTIFS(INP_DATA!$R$5:$R$3027,T$4,INP_DATA!$D$5:$D$3027,$D1478,INP_DATA!$B$5:$B$3027,$B1478)</f>
        <v>0</v>
      </c>
    </row>
    <row r="1479" spans="1:20" x14ac:dyDescent="0.35">
      <c r="A1479" s="3" t="str">
        <f>IF(D1479="","",(VLOOKUP($D1479,KEY!$B$5:$D$74,3,FALSE)))</f>
        <v>Southern California</v>
      </c>
      <c r="B1479" s="165">
        <f t="shared" si="7"/>
        <v>45689</v>
      </c>
      <c r="C1479" s="57" t="str">
        <f>IF($B1479="","",YEAR($B1479)&amp;"-"&amp;IFERROR(VLOOKUP(MONTH(B1479),KEY!$AE$5:$AF$16,2,FALSE),""))</f>
        <v>2025-Q1</v>
      </c>
      <c r="D1479" s="3" t="s">
        <v>139</v>
      </c>
      <c r="E1479" s="219">
        <v>42</v>
      </c>
      <c r="F1479" s="166">
        <v>196</v>
      </c>
      <c r="G1479" s="166">
        <v>153</v>
      </c>
      <c r="H1479" s="21">
        <v>284</v>
      </c>
      <c r="I1479" s="21">
        <v>43</v>
      </c>
      <c r="J1479" s="21">
        <v>125</v>
      </c>
      <c r="K1479" s="21">
        <v>32</v>
      </c>
      <c r="L1479" s="21">
        <v>383</v>
      </c>
      <c r="M1479" s="21">
        <v>120</v>
      </c>
      <c r="N1479" s="21">
        <v>194</v>
      </c>
      <c r="O1479" s="19">
        <v>300</v>
      </c>
      <c r="P1479" s="22">
        <v>22</v>
      </c>
      <c r="Q1479" s="22">
        <v>15</v>
      </c>
      <c r="R1479" s="20"/>
      <c r="S1479" s="234">
        <f>COUNTIFS(INP_DATA!$R$5:$R$3027,S$4,INP_DATA!$D$5:$D$3027,$D1479,INP_DATA!$B$5:$B$3027,$B1479)</f>
        <v>0</v>
      </c>
      <c r="T1479" s="235">
        <f>COUNTIFS(INP_DATA!$R$5:$R$3027,T$4,INP_DATA!$D$5:$D$3027,$D1479,INP_DATA!$B$5:$B$3027,$B1479)</f>
        <v>0</v>
      </c>
    </row>
    <row r="1480" spans="1:20" x14ac:dyDescent="0.35">
      <c r="A1480" s="3" t="str">
        <f>IF(D1480="","",(VLOOKUP($D1480,KEY!$B$5:$D$74,3,FALSE)))</f>
        <v>Orange County</v>
      </c>
      <c r="B1480" s="165">
        <f t="shared" si="7"/>
        <v>45689</v>
      </c>
      <c r="C1480" s="57" t="str">
        <f>IF($B1480="","",YEAR($B1480)&amp;"-"&amp;IFERROR(VLOOKUP(MONTH(B1480),KEY!$AE$5:$AF$16,2,FALSE),""))</f>
        <v>2025-Q1</v>
      </c>
      <c r="D1480" s="3" t="s">
        <v>140</v>
      </c>
      <c r="E1480" s="219">
        <v>7</v>
      </c>
      <c r="F1480" s="166">
        <v>20</v>
      </c>
      <c r="G1480" s="166">
        <v>21</v>
      </c>
      <c r="H1480" s="21">
        <v>44</v>
      </c>
      <c r="I1480" s="21">
        <v>6</v>
      </c>
      <c r="J1480" s="21">
        <v>13</v>
      </c>
      <c r="K1480" s="21">
        <v>3</v>
      </c>
      <c r="L1480" s="21">
        <v>46</v>
      </c>
      <c r="M1480" s="21">
        <v>17</v>
      </c>
      <c r="N1480" s="21">
        <v>21</v>
      </c>
      <c r="O1480" s="19">
        <v>80</v>
      </c>
      <c r="P1480" s="22">
        <v>3</v>
      </c>
      <c r="Q1480" s="22">
        <v>3</v>
      </c>
      <c r="R1480" s="20"/>
      <c r="S1480" s="234">
        <f>COUNTIFS(INP_DATA!$R$5:$R$3027,S$4,INP_DATA!$D$5:$D$3027,$D1480,INP_DATA!$B$5:$B$3027,$B1480)</f>
        <v>0</v>
      </c>
      <c r="T1480" s="235">
        <f>COUNTIFS(INP_DATA!$R$5:$R$3027,T$4,INP_DATA!$D$5:$D$3027,$D1480,INP_DATA!$B$5:$B$3027,$B1480)</f>
        <v>0</v>
      </c>
    </row>
    <row r="1481" spans="1:20" x14ac:dyDescent="0.35">
      <c r="A1481" s="3" t="str">
        <f>IF(D1481="","",(VLOOKUP($D1481,KEY!$B$5:$D$74,3,FALSE)))</f>
        <v>Southern California</v>
      </c>
      <c r="B1481" s="165">
        <f t="shared" si="7"/>
        <v>45689</v>
      </c>
      <c r="C1481" s="57" t="str">
        <f>IF($B1481="","",YEAR($B1481)&amp;"-"&amp;IFERROR(VLOOKUP(MONTH(B1481),KEY!$AE$5:$AF$16,2,FALSE),""))</f>
        <v>2025-Q1</v>
      </c>
      <c r="D1481" s="3" t="s">
        <v>142</v>
      </c>
      <c r="E1481" s="219">
        <v>12</v>
      </c>
      <c r="F1481" s="166">
        <v>83</v>
      </c>
      <c r="G1481" s="166">
        <v>61</v>
      </c>
      <c r="H1481" s="21">
        <v>178</v>
      </c>
      <c r="I1481" s="21">
        <v>34</v>
      </c>
      <c r="J1481" s="21">
        <v>45</v>
      </c>
      <c r="K1481" s="21">
        <v>10</v>
      </c>
      <c r="L1481" s="21">
        <v>115</v>
      </c>
      <c r="M1481" s="21">
        <v>40</v>
      </c>
      <c r="N1481" s="21">
        <v>84</v>
      </c>
      <c r="O1481" s="19">
        <v>120</v>
      </c>
      <c r="P1481" s="22">
        <v>15</v>
      </c>
      <c r="Q1481" s="22">
        <v>13</v>
      </c>
      <c r="R1481" s="20"/>
      <c r="S1481" s="234">
        <f>COUNTIFS(INP_DATA!$R$5:$R$3027,S$4,INP_DATA!$D$5:$D$3027,$D1481,INP_DATA!$B$5:$B$3027,$B1481)</f>
        <v>0</v>
      </c>
      <c r="T1481" s="235">
        <f>COUNTIFS(INP_DATA!$R$5:$R$3027,T$4,INP_DATA!$D$5:$D$3027,$D1481,INP_DATA!$B$5:$B$3027,$B1481)</f>
        <v>0</v>
      </c>
    </row>
    <row r="1482" spans="1:20" x14ac:dyDescent="0.35">
      <c r="A1482" s="3" t="str">
        <f>IF(D1482="","",(VLOOKUP($D1482,KEY!$B$5:$D$74,3,FALSE)))</f>
        <v>Arizona</v>
      </c>
      <c r="B1482" s="165">
        <f t="shared" si="7"/>
        <v>45689</v>
      </c>
      <c r="C1482" s="57" t="str">
        <f>IF($B1482="","",YEAR($B1482)&amp;"-"&amp;IFERROR(VLOOKUP(MONTH(B1482),KEY!$AE$5:$AF$16,2,FALSE),""))</f>
        <v>2025-Q1</v>
      </c>
      <c r="D1482" s="3" t="s">
        <v>143</v>
      </c>
      <c r="E1482" s="219">
        <v>16</v>
      </c>
      <c r="F1482" s="166">
        <v>73</v>
      </c>
      <c r="G1482" s="166">
        <v>63</v>
      </c>
      <c r="H1482" s="21">
        <v>174</v>
      </c>
      <c r="I1482" s="21">
        <v>19</v>
      </c>
      <c r="J1482" s="21">
        <v>91</v>
      </c>
      <c r="K1482" s="21">
        <v>23</v>
      </c>
      <c r="L1482" s="21">
        <v>108</v>
      </c>
      <c r="M1482" s="21">
        <v>36</v>
      </c>
      <c r="N1482" s="21">
        <v>78</v>
      </c>
      <c r="O1482" s="19">
        <v>160</v>
      </c>
      <c r="P1482" s="22">
        <v>6</v>
      </c>
      <c r="Q1482" s="22">
        <v>4</v>
      </c>
      <c r="R1482" s="20"/>
      <c r="S1482" s="234">
        <f>COUNTIFS(INP_DATA!$R$5:$R$3027,S$4,INP_DATA!$D$5:$D$3027,$D1482,INP_DATA!$B$5:$B$3027,$B1482)</f>
        <v>0</v>
      </c>
      <c r="T1482" s="235">
        <f>COUNTIFS(INP_DATA!$R$5:$R$3027,T$4,INP_DATA!$D$5:$D$3027,$D1482,INP_DATA!$B$5:$B$3027,$B1482)</f>
        <v>0</v>
      </c>
    </row>
    <row r="1483" spans="1:20" x14ac:dyDescent="0.35">
      <c r="A1483" s="3" t="str">
        <f>IF(D1483="","",(VLOOKUP($D1483,KEY!$B$5:$D$74,3,FALSE)))</f>
        <v>Arizona</v>
      </c>
      <c r="B1483" s="165">
        <f t="shared" si="7"/>
        <v>45689</v>
      </c>
      <c r="C1483" s="57" t="str">
        <f>IF($B1483="","",YEAR($B1483)&amp;"-"&amp;IFERROR(VLOOKUP(MONTH(B1483),KEY!$AE$5:$AF$16,2,FALSE),""))</f>
        <v>2025-Q1</v>
      </c>
      <c r="D1483" s="3" t="s">
        <v>144</v>
      </c>
      <c r="E1483" s="219">
        <v>43</v>
      </c>
      <c r="F1483" s="166">
        <v>200</v>
      </c>
      <c r="G1483" s="166">
        <v>189</v>
      </c>
      <c r="H1483" s="21">
        <v>220</v>
      </c>
      <c r="I1483" s="21">
        <v>34</v>
      </c>
      <c r="J1483" s="21">
        <v>136</v>
      </c>
      <c r="K1483" s="21">
        <v>30</v>
      </c>
      <c r="L1483" s="21">
        <v>403</v>
      </c>
      <c r="M1483" s="21">
        <v>124</v>
      </c>
      <c r="N1483" s="21">
        <v>208</v>
      </c>
      <c r="O1483" s="19">
        <v>420</v>
      </c>
      <c r="P1483" s="22">
        <v>14</v>
      </c>
      <c r="Q1483" s="22">
        <v>11</v>
      </c>
      <c r="R1483" s="20"/>
      <c r="S1483" s="234">
        <f>COUNTIFS(INP_DATA!$R$5:$R$3027,S$4,INP_DATA!$D$5:$D$3027,$D1483,INP_DATA!$B$5:$B$3027,$B1483)</f>
        <v>0</v>
      </c>
      <c r="T1483" s="235">
        <f>COUNTIFS(INP_DATA!$R$5:$R$3027,T$4,INP_DATA!$D$5:$D$3027,$D1483,INP_DATA!$B$5:$B$3027,$B1483)</f>
        <v>0</v>
      </c>
    </row>
    <row r="1484" spans="1:20" x14ac:dyDescent="0.35">
      <c r="A1484" s="3" t="str">
        <f>IF(D1484="","",(VLOOKUP($D1484,KEY!$B$5:$D$74,3,FALSE)))</f>
        <v>Southern California</v>
      </c>
      <c r="B1484" s="165">
        <f t="shared" si="7"/>
        <v>45689</v>
      </c>
      <c r="C1484" s="57" t="str">
        <f>IF($B1484="","",YEAR($B1484)&amp;"-"&amp;IFERROR(VLOOKUP(MONTH(B1484),KEY!$AE$5:$AF$16,2,FALSE),""))</f>
        <v>2025-Q1</v>
      </c>
      <c r="D1484" s="3" t="s">
        <v>145</v>
      </c>
      <c r="E1484" s="219">
        <v>58</v>
      </c>
      <c r="F1484" s="166">
        <v>190</v>
      </c>
      <c r="G1484" s="166">
        <v>134</v>
      </c>
      <c r="H1484" s="21">
        <v>287</v>
      </c>
      <c r="I1484" s="21">
        <v>37</v>
      </c>
      <c r="J1484" s="21">
        <v>160</v>
      </c>
      <c r="K1484" s="21">
        <v>35</v>
      </c>
      <c r="L1484" s="21">
        <v>438</v>
      </c>
      <c r="M1484" s="21">
        <v>123</v>
      </c>
      <c r="N1484" s="21">
        <v>193</v>
      </c>
      <c r="O1484" s="19">
        <v>320</v>
      </c>
      <c r="P1484" s="22">
        <v>30</v>
      </c>
      <c r="Q1484" s="22">
        <v>20</v>
      </c>
      <c r="R1484" s="20"/>
      <c r="S1484" s="234">
        <f>COUNTIFS(INP_DATA!$R$5:$R$3027,S$4,INP_DATA!$D$5:$D$3027,$D1484,INP_DATA!$B$5:$B$3027,$B1484)</f>
        <v>0</v>
      </c>
      <c r="T1484" s="235">
        <f>COUNTIFS(INP_DATA!$R$5:$R$3027,T$4,INP_DATA!$D$5:$D$3027,$D1484,INP_DATA!$B$5:$B$3027,$B1484)</f>
        <v>0</v>
      </c>
    </row>
    <row r="1485" spans="1:20" x14ac:dyDescent="0.35">
      <c r="A1485" s="3" t="str">
        <f>IF(D1485="","",(VLOOKUP($D1485,KEY!$B$5:$D$74,3,FALSE)))</f>
        <v>Arizona</v>
      </c>
      <c r="B1485" s="165">
        <f t="shared" si="7"/>
        <v>45689</v>
      </c>
      <c r="C1485" s="57" t="str">
        <f>IF($B1485="","",YEAR($B1485)&amp;"-"&amp;IFERROR(VLOOKUP(MONTH(B1485),KEY!$AE$5:$AF$16,2,FALSE),""))</f>
        <v>2025-Q1</v>
      </c>
      <c r="D1485" s="3" t="s">
        <v>146</v>
      </c>
      <c r="E1485" s="219">
        <v>5</v>
      </c>
      <c r="F1485" s="166">
        <v>30</v>
      </c>
      <c r="G1485" s="166">
        <v>39</v>
      </c>
      <c r="H1485" s="21">
        <v>86</v>
      </c>
      <c r="I1485" s="21">
        <v>9</v>
      </c>
      <c r="J1485" s="21">
        <v>21</v>
      </c>
      <c r="K1485" s="21">
        <v>4</v>
      </c>
      <c r="L1485" s="21">
        <v>49</v>
      </c>
      <c r="M1485" s="21">
        <v>21</v>
      </c>
      <c r="N1485" s="21">
        <v>30</v>
      </c>
      <c r="O1485" s="19">
        <v>60</v>
      </c>
      <c r="P1485" s="22">
        <v>6</v>
      </c>
      <c r="Q1485" s="22">
        <v>2</v>
      </c>
      <c r="R1485" s="20"/>
      <c r="S1485" s="234">
        <f>COUNTIFS(INP_DATA!$R$5:$R$3027,S$4,INP_DATA!$D$5:$D$3027,$D1485,INP_DATA!$B$5:$B$3027,$B1485)</f>
        <v>0</v>
      </c>
      <c r="T1485" s="235">
        <f>COUNTIFS(INP_DATA!$R$5:$R$3027,T$4,INP_DATA!$D$5:$D$3027,$D1485,INP_DATA!$B$5:$B$3027,$B1485)</f>
        <v>0</v>
      </c>
    </row>
    <row r="1486" spans="1:20" x14ac:dyDescent="0.35">
      <c r="A1486" s="3" t="str">
        <f>IF(D1486="","",(VLOOKUP($D1486,KEY!$B$5:$D$74,3,FALSE)))</f>
        <v>Texas</v>
      </c>
      <c r="B1486" s="165">
        <f t="shared" si="7"/>
        <v>45689</v>
      </c>
      <c r="C1486" s="57" t="str">
        <f>IF($B1486="","",YEAR($B1486)&amp;"-"&amp;IFERROR(VLOOKUP(MONTH(B1486),KEY!$AE$5:$AF$16,2,FALSE),""))</f>
        <v>2025-Q1</v>
      </c>
      <c r="D1486" s="3" t="s">
        <v>147</v>
      </c>
      <c r="E1486" s="219">
        <v>6</v>
      </c>
      <c r="F1486" s="166">
        <v>51</v>
      </c>
      <c r="G1486" s="166">
        <v>41</v>
      </c>
      <c r="H1486" s="21">
        <v>64</v>
      </c>
      <c r="I1486" s="21">
        <v>17</v>
      </c>
      <c r="J1486" s="21">
        <v>33</v>
      </c>
      <c r="K1486" s="21">
        <v>7</v>
      </c>
      <c r="L1486" s="21">
        <v>69</v>
      </c>
      <c r="M1486" s="21">
        <v>35</v>
      </c>
      <c r="N1486" s="21">
        <v>51</v>
      </c>
      <c r="O1486" s="19">
        <v>80</v>
      </c>
      <c r="P1486" s="22">
        <v>5</v>
      </c>
      <c r="Q1486" s="22">
        <v>3</v>
      </c>
      <c r="R1486" s="20"/>
      <c r="S1486" s="234">
        <f>COUNTIFS(INP_DATA!$R$5:$R$3027,S$4,INP_DATA!$D$5:$D$3027,$D1486,INP_DATA!$B$5:$B$3027,$B1486)</f>
        <v>0</v>
      </c>
      <c r="T1486" s="235">
        <f>COUNTIFS(INP_DATA!$R$5:$R$3027,T$4,INP_DATA!$D$5:$D$3027,$D1486,INP_DATA!$B$5:$B$3027,$B1486)</f>
        <v>0</v>
      </c>
    </row>
    <row r="1487" spans="1:20" x14ac:dyDescent="0.35">
      <c r="A1487" s="3" t="str">
        <f>IF(D1487="","",(VLOOKUP($D1487,KEY!$B$5:$D$74,3,FALSE)))</f>
        <v>Northern California</v>
      </c>
      <c r="B1487" s="165">
        <f t="shared" si="7"/>
        <v>45689</v>
      </c>
      <c r="C1487" s="57" t="str">
        <f>IF($B1487="","",YEAR($B1487)&amp;"-"&amp;IFERROR(VLOOKUP(MONTH(B1487),KEY!$AE$5:$AF$16,2,FALSE),""))</f>
        <v>2025-Q1</v>
      </c>
      <c r="D1487" s="3" t="s">
        <v>148</v>
      </c>
      <c r="E1487" s="219">
        <v>13</v>
      </c>
      <c r="F1487" s="166">
        <v>45</v>
      </c>
      <c r="G1487" s="166">
        <v>38</v>
      </c>
      <c r="H1487" s="21">
        <v>81</v>
      </c>
      <c r="I1487" s="21">
        <v>15</v>
      </c>
      <c r="J1487" s="21">
        <v>37</v>
      </c>
      <c r="K1487" s="21">
        <v>5</v>
      </c>
      <c r="L1487" s="21">
        <v>77</v>
      </c>
      <c r="M1487" s="21">
        <v>35</v>
      </c>
      <c r="N1487" s="21">
        <v>45</v>
      </c>
      <c r="O1487" s="19">
        <v>60</v>
      </c>
      <c r="P1487" s="22">
        <v>5</v>
      </c>
      <c r="Q1487" s="22">
        <v>2</v>
      </c>
      <c r="R1487" s="20"/>
      <c r="S1487" s="234">
        <f>COUNTIFS(INP_DATA!$R$5:$R$3027,S$4,INP_DATA!$D$5:$D$3027,$D1487,INP_DATA!$B$5:$B$3027,$B1487)</f>
        <v>0</v>
      </c>
      <c r="T1487" s="235">
        <f>COUNTIFS(INP_DATA!$R$5:$R$3027,T$4,INP_DATA!$D$5:$D$3027,$D1487,INP_DATA!$B$5:$B$3027,$B1487)</f>
        <v>0</v>
      </c>
    </row>
    <row r="1488" spans="1:20" x14ac:dyDescent="0.35">
      <c r="A1488" s="3" t="str">
        <f>IF(D1488="","",(VLOOKUP($D1488,KEY!$B$5:$D$74,3,FALSE)))</f>
        <v>Orange County</v>
      </c>
      <c r="B1488" s="165">
        <f t="shared" si="7"/>
        <v>45689</v>
      </c>
      <c r="C1488" s="57" t="str">
        <f>IF($B1488="","",YEAR($B1488)&amp;"-"&amp;IFERROR(VLOOKUP(MONTH(B1488),KEY!$AE$5:$AF$16,2,FALSE),""))</f>
        <v>2025-Q1</v>
      </c>
      <c r="D1488" s="3" t="s">
        <v>149</v>
      </c>
      <c r="E1488" s="219">
        <v>5</v>
      </c>
      <c r="F1488" s="166">
        <v>0</v>
      </c>
      <c r="G1488" s="166">
        <v>0</v>
      </c>
      <c r="H1488" s="21">
        <v>55</v>
      </c>
      <c r="I1488" s="21">
        <v>3</v>
      </c>
      <c r="J1488" s="21">
        <v>24</v>
      </c>
      <c r="K1488" s="21">
        <v>4</v>
      </c>
      <c r="L1488" s="21">
        <v>87</v>
      </c>
      <c r="M1488" s="21">
        <v>11</v>
      </c>
      <c r="N1488" s="21">
        <v>16</v>
      </c>
      <c r="O1488" s="19">
        <v>60</v>
      </c>
      <c r="P1488" s="22">
        <v>0</v>
      </c>
      <c r="Q1488" s="22">
        <v>0</v>
      </c>
      <c r="R1488" s="20"/>
      <c r="S1488" s="234">
        <f>COUNTIFS(INP_DATA!$R$5:$R$3027,S$4,INP_DATA!$D$5:$D$3027,$D1488,INP_DATA!$B$5:$B$3027,$B1488)</f>
        <v>0</v>
      </c>
      <c r="T1488" s="235">
        <f>COUNTIFS(INP_DATA!$R$5:$R$3027,T$4,INP_DATA!$D$5:$D$3027,$D1488,INP_DATA!$B$5:$B$3027,$B1488)</f>
        <v>0</v>
      </c>
    </row>
    <row r="1489" spans="1:20" x14ac:dyDescent="0.35">
      <c r="A1489" s="3" t="str">
        <f>IF(D1489="","",(VLOOKUP($D1489,KEY!$B$5:$D$74,3,FALSE)))</f>
        <v>Southern California</v>
      </c>
      <c r="B1489" s="165">
        <f t="shared" si="7"/>
        <v>45689</v>
      </c>
      <c r="C1489" s="57" t="str">
        <f>IF($B1489="","",YEAR($B1489)&amp;"-"&amp;IFERROR(VLOOKUP(MONTH(B1489),KEY!$AE$5:$AF$16,2,FALSE),""))</f>
        <v>2025-Q1</v>
      </c>
      <c r="D1489" s="3" t="s">
        <v>150</v>
      </c>
      <c r="E1489" s="219">
        <v>11</v>
      </c>
      <c r="F1489" s="166">
        <v>39</v>
      </c>
      <c r="G1489" s="166">
        <v>44</v>
      </c>
      <c r="H1489" s="21">
        <v>57</v>
      </c>
      <c r="I1489" s="21">
        <v>9</v>
      </c>
      <c r="J1489" s="21">
        <v>13</v>
      </c>
      <c r="K1489" s="21">
        <v>3</v>
      </c>
      <c r="L1489" s="21">
        <v>55</v>
      </c>
      <c r="M1489" s="21">
        <v>14</v>
      </c>
      <c r="N1489" s="21">
        <v>40</v>
      </c>
      <c r="O1489" s="19">
        <v>60</v>
      </c>
      <c r="P1489" s="22">
        <v>4</v>
      </c>
      <c r="Q1489" s="22">
        <v>2</v>
      </c>
      <c r="R1489" s="20"/>
      <c r="S1489" s="234">
        <f>COUNTIFS(INP_DATA!$R$5:$R$3027,S$4,INP_DATA!$D$5:$D$3027,$D1489,INP_DATA!$B$5:$B$3027,$B1489)</f>
        <v>0</v>
      </c>
      <c r="T1489" s="235">
        <f>COUNTIFS(INP_DATA!$R$5:$R$3027,T$4,INP_DATA!$D$5:$D$3027,$D1489,INP_DATA!$B$5:$B$3027,$B1489)</f>
        <v>0</v>
      </c>
    </row>
    <row r="1490" spans="1:20" x14ac:dyDescent="0.35">
      <c r="A1490" s="3" t="str">
        <f>IF(D1490="","",(VLOOKUP($D1490,KEY!$B$5:$D$74,3,FALSE)))</f>
        <v>Arizona</v>
      </c>
      <c r="B1490" s="165">
        <f t="shared" si="7"/>
        <v>45689</v>
      </c>
      <c r="C1490" s="57" t="str">
        <f>IF($B1490="","",YEAR($B1490)&amp;"-"&amp;IFERROR(VLOOKUP(MONTH(B1490),KEY!$AE$5:$AF$16,2,FALSE),""))</f>
        <v>2025-Q1</v>
      </c>
      <c r="D1490" s="3" t="s">
        <v>151</v>
      </c>
      <c r="E1490" s="219">
        <v>2</v>
      </c>
      <c r="F1490" s="166">
        <v>20</v>
      </c>
      <c r="G1490" s="166">
        <v>33</v>
      </c>
      <c r="H1490" s="21">
        <v>89</v>
      </c>
      <c r="I1490" s="21">
        <v>8</v>
      </c>
      <c r="J1490" s="21">
        <v>15</v>
      </c>
      <c r="K1490" s="21">
        <v>1</v>
      </c>
      <c r="L1490" s="21">
        <v>50</v>
      </c>
      <c r="M1490" s="21">
        <v>15</v>
      </c>
      <c r="N1490" s="21">
        <v>19</v>
      </c>
      <c r="O1490" s="19">
        <v>80</v>
      </c>
      <c r="P1490" s="22">
        <v>4</v>
      </c>
      <c r="Q1490" s="22">
        <v>4</v>
      </c>
      <c r="R1490" s="20"/>
      <c r="S1490" s="234">
        <f>COUNTIFS(INP_DATA!$R$5:$R$3027,S$4,INP_DATA!$D$5:$D$3027,$D1490,INP_DATA!$B$5:$B$3027,$B1490)</f>
        <v>0</v>
      </c>
      <c r="T1490" s="235">
        <f>COUNTIFS(INP_DATA!$R$5:$R$3027,T$4,INP_DATA!$D$5:$D$3027,$D1490,INP_DATA!$B$5:$B$3027,$B1490)</f>
        <v>0</v>
      </c>
    </row>
    <row r="1491" spans="1:20" x14ac:dyDescent="0.35">
      <c r="A1491" s="3" t="str">
        <f>IF(D1491="","",(VLOOKUP($D1491,KEY!$B$5:$D$74,3,FALSE)))</f>
        <v>Michigan &amp; Minnesota</v>
      </c>
      <c r="B1491" s="165">
        <f t="shared" si="7"/>
        <v>45689</v>
      </c>
      <c r="C1491" s="57" t="str">
        <f>IF($B1491="","",YEAR($B1491)&amp;"-"&amp;IFERROR(VLOOKUP(MONTH(B1491),KEY!$AE$5:$AF$16,2,FALSE),""))</f>
        <v>2025-Q1</v>
      </c>
      <c r="D1491" s="3" t="s">
        <v>206</v>
      </c>
      <c r="E1491" s="219">
        <v>15</v>
      </c>
      <c r="F1491" s="166">
        <v>214</v>
      </c>
      <c r="G1491" s="166">
        <v>214</v>
      </c>
      <c r="H1491" s="21">
        <v>304</v>
      </c>
      <c r="I1491" s="21">
        <v>64</v>
      </c>
      <c r="J1491" s="21">
        <v>150</v>
      </c>
      <c r="K1491" s="21">
        <v>27</v>
      </c>
      <c r="L1491" s="21">
        <v>391</v>
      </c>
      <c r="M1491" s="21">
        <v>138</v>
      </c>
      <c r="N1491" s="21">
        <v>214</v>
      </c>
      <c r="O1491" s="19">
        <v>340</v>
      </c>
      <c r="P1491" s="22">
        <v>33</v>
      </c>
      <c r="Q1491" s="22">
        <v>22</v>
      </c>
      <c r="R1491" s="20"/>
      <c r="S1491" s="234">
        <f>COUNTIFS(INP_DATA!$R$5:$R$3027,S$4,INP_DATA!$D$5:$D$3027,$D1491,INP_DATA!$B$5:$B$3027,$B1491)</f>
        <v>0</v>
      </c>
      <c r="T1491" s="235">
        <f>COUNTIFS(INP_DATA!$R$5:$R$3027,T$4,INP_DATA!$D$5:$D$3027,$D1491,INP_DATA!$B$5:$B$3027,$B1491)</f>
        <v>0</v>
      </c>
    </row>
    <row r="1492" spans="1:20" x14ac:dyDescent="0.35">
      <c r="A1492" s="3" t="str">
        <f>IF(D1492="","",(VLOOKUP($D1492,KEY!$B$5:$D$74,3,FALSE)))</f>
        <v>Michigan &amp; Minnesota</v>
      </c>
      <c r="B1492" s="165">
        <f t="shared" si="7"/>
        <v>45689</v>
      </c>
      <c r="C1492" s="57" t="str">
        <f>IF($B1492="","",YEAR($B1492)&amp;"-"&amp;IFERROR(VLOOKUP(MONTH(B1492),KEY!$AE$5:$AF$16,2,FALSE),""))</f>
        <v>2025-Q1</v>
      </c>
      <c r="D1492" s="3" t="s">
        <v>207</v>
      </c>
      <c r="E1492" s="219">
        <v>1</v>
      </c>
      <c r="F1492" s="166">
        <v>27</v>
      </c>
      <c r="G1492" s="166">
        <v>51</v>
      </c>
      <c r="H1492" s="21">
        <v>74</v>
      </c>
      <c r="I1492" s="21">
        <v>5</v>
      </c>
      <c r="J1492" s="21">
        <v>22</v>
      </c>
      <c r="K1492" s="21">
        <v>5</v>
      </c>
      <c r="L1492" s="21">
        <v>31</v>
      </c>
      <c r="M1492" s="21">
        <v>7</v>
      </c>
      <c r="N1492" s="21">
        <v>27</v>
      </c>
      <c r="O1492" s="19">
        <v>100</v>
      </c>
      <c r="P1492" s="22">
        <v>9</v>
      </c>
      <c r="Q1492" s="22">
        <v>4</v>
      </c>
      <c r="R1492" s="20"/>
      <c r="S1492" s="234">
        <f>COUNTIFS(INP_DATA!$R$5:$R$3027,S$4,INP_DATA!$D$5:$D$3027,$D1492,INP_DATA!$B$5:$B$3027,$B1492)</f>
        <v>0</v>
      </c>
      <c r="T1492" s="235">
        <f>COUNTIFS(INP_DATA!$R$5:$R$3027,T$4,INP_DATA!$D$5:$D$3027,$D1492,INP_DATA!$B$5:$B$3027,$B1492)</f>
        <v>0</v>
      </c>
    </row>
    <row r="1493" spans="1:20" x14ac:dyDescent="0.35">
      <c r="A1493" s="3" t="str">
        <f>IF(D1493="","",(VLOOKUP($D1493,KEY!$B$5:$D$74,3,FALSE)))</f>
        <v>Indiana</v>
      </c>
      <c r="B1493" s="165">
        <f t="shared" si="7"/>
        <v>45689</v>
      </c>
      <c r="C1493" s="57" t="str">
        <f>IF($B1493="","",YEAR($B1493)&amp;"-"&amp;IFERROR(VLOOKUP(MONTH(B1493),KEY!$AE$5:$AF$16,2,FALSE),""))</f>
        <v>2025-Q1</v>
      </c>
      <c r="D1493" s="3" t="s">
        <v>208</v>
      </c>
      <c r="E1493" s="219">
        <v>1</v>
      </c>
      <c r="F1493" s="166">
        <v>100</v>
      </c>
      <c r="G1493" s="166">
        <v>111</v>
      </c>
      <c r="H1493" s="21">
        <v>310</v>
      </c>
      <c r="I1493" s="21">
        <v>33</v>
      </c>
      <c r="J1493" s="21">
        <v>94</v>
      </c>
      <c r="K1493" s="21">
        <v>23</v>
      </c>
      <c r="L1493" s="21">
        <v>152</v>
      </c>
      <c r="M1493" s="21">
        <v>43</v>
      </c>
      <c r="N1493" s="21">
        <v>101</v>
      </c>
      <c r="O1493" s="19">
        <v>220</v>
      </c>
      <c r="P1493" s="22">
        <v>3</v>
      </c>
      <c r="Q1493" s="22">
        <v>1</v>
      </c>
      <c r="R1493" s="20"/>
      <c r="S1493" s="234">
        <f>COUNTIFS(INP_DATA!$R$5:$R$3027,S$4,INP_DATA!$D$5:$D$3027,$D1493,INP_DATA!$B$5:$B$3027,$B1493)</f>
        <v>0</v>
      </c>
      <c r="T1493" s="235">
        <f>COUNTIFS(INP_DATA!$R$5:$R$3027,T$4,INP_DATA!$D$5:$D$3027,$D1493,INP_DATA!$B$5:$B$3027,$B1493)</f>
        <v>0</v>
      </c>
    </row>
    <row r="1494" spans="1:20" x14ac:dyDescent="0.35">
      <c r="A1494" s="3" t="str">
        <f>IF(D1494="","",(VLOOKUP($D1494,KEY!$B$5:$D$74,3,FALSE)))</f>
        <v>Indiana</v>
      </c>
      <c r="B1494" s="165">
        <f t="shared" si="7"/>
        <v>45689</v>
      </c>
      <c r="C1494" s="57" t="str">
        <f>IF($B1494="","",YEAR($B1494)&amp;"-"&amp;IFERROR(VLOOKUP(MONTH(B1494),KEY!$AE$5:$AF$16,2,FALSE),""))</f>
        <v>2025-Q1</v>
      </c>
      <c r="D1494" s="3" t="s">
        <v>209</v>
      </c>
      <c r="E1494" s="219">
        <v>26</v>
      </c>
      <c r="F1494" s="166">
        <v>472</v>
      </c>
      <c r="G1494" s="166">
        <v>483</v>
      </c>
      <c r="H1494" s="21">
        <v>674</v>
      </c>
      <c r="I1494" s="21">
        <v>124</v>
      </c>
      <c r="J1494" s="21">
        <v>287</v>
      </c>
      <c r="K1494" s="21">
        <v>78</v>
      </c>
      <c r="L1494" s="21">
        <v>494</v>
      </c>
      <c r="M1494" s="21">
        <v>234</v>
      </c>
      <c r="N1494" s="21">
        <v>474</v>
      </c>
      <c r="O1494" s="19">
        <v>480</v>
      </c>
      <c r="P1494" s="22">
        <v>67</v>
      </c>
      <c r="Q1494" s="22">
        <v>43</v>
      </c>
      <c r="R1494" s="20"/>
      <c r="S1494" s="234">
        <f>COUNTIFS(INP_DATA!$R$5:$R$3027,S$4,INP_DATA!$D$5:$D$3027,$D1494,INP_DATA!$B$5:$B$3027,$B1494)</f>
        <v>0</v>
      </c>
      <c r="T1494" s="235">
        <f>COUNTIFS(INP_DATA!$R$5:$R$3027,T$4,INP_DATA!$D$5:$D$3027,$D1494,INP_DATA!$B$5:$B$3027,$B1494)</f>
        <v>0</v>
      </c>
    </row>
    <row r="1495" spans="1:20" x14ac:dyDescent="0.35">
      <c r="A1495" s="3" t="str">
        <f>IF(D1495="","",(VLOOKUP($D1495,KEY!$B$5:$D$74,3,FALSE)))</f>
        <v>Northern California</v>
      </c>
      <c r="B1495" s="165">
        <f t="shared" si="7"/>
        <v>45689</v>
      </c>
      <c r="C1495" s="57" t="str">
        <f>IF($B1495="","",YEAR($B1495)&amp;"-"&amp;IFERROR(VLOOKUP(MONTH(B1495),KEY!$AE$5:$AF$16,2,FALSE),""))</f>
        <v>2025-Q1</v>
      </c>
      <c r="D1495" s="3" t="s">
        <v>152</v>
      </c>
      <c r="E1495" s="219">
        <v>46</v>
      </c>
      <c r="F1495" s="166">
        <v>173</v>
      </c>
      <c r="G1495" s="166">
        <v>180</v>
      </c>
      <c r="H1495" s="21">
        <v>416</v>
      </c>
      <c r="I1495" s="21">
        <v>70</v>
      </c>
      <c r="J1495" s="21">
        <v>104</v>
      </c>
      <c r="K1495" s="21">
        <v>33</v>
      </c>
      <c r="L1495" s="21">
        <v>406</v>
      </c>
      <c r="M1495" s="21">
        <v>148</v>
      </c>
      <c r="N1495" s="21">
        <v>174</v>
      </c>
      <c r="O1495" s="19">
        <v>260</v>
      </c>
      <c r="P1495" s="22">
        <v>67</v>
      </c>
      <c r="Q1495" s="22">
        <v>44</v>
      </c>
      <c r="R1495" s="20"/>
      <c r="S1495" s="234">
        <f>COUNTIFS(INP_DATA!$R$5:$R$3027,S$4,INP_DATA!$D$5:$D$3027,$D1495,INP_DATA!$B$5:$B$3027,$B1495)</f>
        <v>0</v>
      </c>
      <c r="T1495" s="235">
        <f>COUNTIFS(INP_DATA!$R$5:$R$3027,T$4,INP_DATA!$D$5:$D$3027,$D1495,INP_DATA!$B$5:$B$3027,$B1495)</f>
        <v>0</v>
      </c>
    </row>
    <row r="1496" spans="1:20" x14ac:dyDescent="0.35">
      <c r="A1496" s="3" t="str">
        <f>IF(D1496="","",(VLOOKUP($D1496,KEY!$B$5:$D$74,3,FALSE)))</f>
        <v>Arizona</v>
      </c>
      <c r="B1496" s="165">
        <f t="shared" si="7"/>
        <v>45689</v>
      </c>
      <c r="C1496" s="57" t="str">
        <f>IF($B1496="","",YEAR($B1496)&amp;"-"&amp;IFERROR(VLOOKUP(MONTH(B1496),KEY!$AE$5:$AF$16,2,FALSE),""))</f>
        <v>2025-Q1</v>
      </c>
      <c r="D1496" s="3" t="s">
        <v>153</v>
      </c>
      <c r="E1496" s="219">
        <v>28</v>
      </c>
      <c r="F1496" s="166">
        <v>97</v>
      </c>
      <c r="G1496" s="166">
        <v>103</v>
      </c>
      <c r="H1496" s="21">
        <v>141</v>
      </c>
      <c r="I1496" s="21">
        <v>14</v>
      </c>
      <c r="J1496" s="21">
        <v>55</v>
      </c>
      <c r="K1496" s="21">
        <v>17</v>
      </c>
      <c r="L1496" s="21">
        <v>324</v>
      </c>
      <c r="M1496" s="21">
        <v>65</v>
      </c>
      <c r="N1496" s="21">
        <v>97</v>
      </c>
      <c r="O1496" s="19">
        <v>260</v>
      </c>
      <c r="P1496" s="22">
        <v>3</v>
      </c>
      <c r="Q1496" s="22">
        <v>1</v>
      </c>
      <c r="R1496" s="20"/>
      <c r="S1496" s="234">
        <f>COUNTIFS(INP_DATA!$R$5:$R$3027,S$4,INP_DATA!$D$5:$D$3027,$D1496,INP_DATA!$B$5:$B$3027,$B1496)</f>
        <v>0</v>
      </c>
      <c r="T1496" s="235">
        <f>COUNTIFS(INP_DATA!$R$5:$R$3027,T$4,INP_DATA!$D$5:$D$3027,$D1496,INP_DATA!$B$5:$B$3027,$B1496)</f>
        <v>0</v>
      </c>
    </row>
    <row r="1497" spans="1:20" x14ac:dyDescent="0.35">
      <c r="A1497" s="3" t="str">
        <f>IF(D1497="","",(VLOOKUP($D1497,KEY!$B$5:$D$74,3,FALSE)))</f>
        <v>Northern California</v>
      </c>
      <c r="B1497" s="165">
        <f t="shared" si="7"/>
        <v>45689</v>
      </c>
      <c r="C1497" s="57" t="str">
        <f>IF($B1497="","",YEAR($B1497)&amp;"-"&amp;IFERROR(VLOOKUP(MONTH(B1497),KEY!$AE$5:$AF$16,2,FALSE),""))</f>
        <v>2025-Q1</v>
      </c>
      <c r="D1497" s="3" t="s">
        <v>154</v>
      </c>
      <c r="E1497" s="219">
        <v>19</v>
      </c>
      <c r="F1497" s="166">
        <v>88</v>
      </c>
      <c r="G1497" s="166">
        <v>37</v>
      </c>
      <c r="H1497" s="21">
        <v>268</v>
      </c>
      <c r="I1497" s="21">
        <v>34</v>
      </c>
      <c r="J1497" s="21">
        <v>129</v>
      </c>
      <c r="K1497" s="21">
        <v>18</v>
      </c>
      <c r="L1497" s="21">
        <v>197</v>
      </c>
      <c r="M1497" s="21">
        <v>47</v>
      </c>
      <c r="N1497" s="21">
        <v>87</v>
      </c>
      <c r="O1497" s="19">
        <v>180</v>
      </c>
      <c r="P1497" s="22">
        <v>7</v>
      </c>
      <c r="Q1497" s="22">
        <v>6</v>
      </c>
      <c r="R1497" s="20"/>
      <c r="S1497" s="234">
        <f>COUNTIFS(INP_DATA!$R$5:$R$3027,S$4,INP_DATA!$D$5:$D$3027,$D1497,INP_DATA!$B$5:$B$3027,$B1497)</f>
        <v>0</v>
      </c>
      <c r="T1497" s="235">
        <f>COUNTIFS(INP_DATA!$R$5:$R$3027,T$4,INP_DATA!$D$5:$D$3027,$D1497,INP_DATA!$B$5:$B$3027,$B1497)</f>
        <v>0</v>
      </c>
    </row>
    <row r="1498" spans="1:20" x14ac:dyDescent="0.35">
      <c r="A1498" s="3" t="str">
        <f>IF(D1498="","",(VLOOKUP($D1498,KEY!$B$5:$D$74,3,FALSE)))</f>
        <v>Texas</v>
      </c>
      <c r="B1498" s="165">
        <f t="shared" si="7"/>
        <v>45689</v>
      </c>
      <c r="C1498" s="57" t="str">
        <f>IF($B1498="","",YEAR($B1498)&amp;"-"&amp;IFERROR(VLOOKUP(MONTH(B1498),KEY!$AE$5:$AF$16,2,FALSE),""))</f>
        <v>2025-Q1</v>
      </c>
      <c r="D1498" s="3" t="s">
        <v>155</v>
      </c>
      <c r="E1498" s="219">
        <v>52</v>
      </c>
      <c r="F1498" s="166">
        <v>298</v>
      </c>
      <c r="G1498" s="166">
        <v>287</v>
      </c>
      <c r="H1498" s="21">
        <v>803</v>
      </c>
      <c r="I1498" s="21">
        <v>103</v>
      </c>
      <c r="J1498" s="21">
        <v>202</v>
      </c>
      <c r="K1498" s="21">
        <v>36</v>
      </c>
      <c r="L1498" s="21">
        <v>446</v>
      </c>
      <c r="M1498" s="21">
        <v>154</v>
      </c>
      <c r="N1498" s="21">
        <v>300</v>
      </c>
      <c r="O1498" s="19">
        <v>460</v>
      </c>
      <c r="P1498" s="22">
        <v>20</v>
      </c>
      <c r="Q1498" s="22">
        <v>13</v>
      </c>
      <c r="R1498" s="20"/>
      <c r="S1498" s="234">
        <f>COUNTIFS(INP_DATA!$R$5:$R$3027,S$4,INP_DATA!$D$5:$D$3027,$D1498,INP_DATA!$B$5:$B$3027,$B1498)</f>
        <v>0</v>
      </c>
      <c r="T1498" s="235">
        <f>COUNTIFS(INP_DATA!$R$5:$R$3027,T$4,INP_DATA!$D$5:$D$3027,$D1498,INP_DATA!$B$5:$B$3027,$B1498)</f>
        <v>0</v>
      </c>
    </row>
    <row r="1499" spans="1:20" x14ac:dyDescent="0.35">
      <c r="A1499" s="3" t="str">
        <f>IF(D1499="","",(VLOOKUP($D1499,KEY!$B$5:$D$74,3,FALSE)))</f>
        <v>Texas</v>
      </c>
      <c r="B1499" s="165">
        <f t="shared" si="7"/>
        <v>45689</v>
      </c>
      <c r="C1499" s="57" t="str">
        <f>IF($B1499="","",YEAR($B1499)&amp;"-"&amp;IFERROR(VLOOKUP(MONTH(B1499),KEY!$AE$5:$AF$16,2,FALSE),""))</f>
        <v>2025-Q1</v>
      </c>
      <c r="D1499" s="3" t="s">
        <v>156</v>
      </c>
      <c r="E1499" s="219">
        <v>44</v>
      </c>
      <c r="F1499" s="166">
        <v>203</v>
      </c>
      <c r="G1499" s="166">
        <v>218</v>
      </c>
      <c r="H1499" s="21">
        <v>381</v>
      </c>
      <c r="I1499" s="21">
        <v>55</v>
      </c>
      <c r="J1499" s="21">
        <v>130</v>
      </c>
      <c r="K1499" s="21">
        <v>39</v>
      </c>
      <c r="L1499" s="21">
        <v>285</v>
      </c>
      <c r="M1499" s="21">
        <v>93</v>
      </c>
      <c r="N1499" s="21">
        <v>205</v>
      </c>
      <c r="O1499" s="19">
        <v>360</v>
      </c>
      <c r="P1499" s="22">
        <v>6</v>
      </c>
      <c r="Q1499" s="22">
        <v>4</v>
      </c>
      <c r="R1499" s="20"/>
      <c r="S1499" s="234">
        <f>COUNTIFS(INP_DATA!$R$5:$R$3027,S$4,INP_DATA!$D$5:$D$3027,$D1499,INP_DATA!$B$5:$B$3027,$B1499)</f>
        <v>0</v>
      </c>
      <c r="T1499" s="235">
        <f>COUNTIFS(INP_DATA!$R$5:$R$3027,T$4,INP_DATA!$D$5:$D$3027,$D1499,INP_DATA!$B$5:$B$3027,$B1499)</f>
        <v>0</v>
      </c>
    </row>
    <row r="1500" spans="1:20" x14ac:dyDescent="0.35">
      <c r="A1500" s="3" t="str">
        <f>IF(D1500="","",(VLOOKUP($D1500,KEY!$B$5:$D$74,3,FALSE)))</f>
        <v>Texas</v>
      </c>
      <c r="B1500" s="165">
        <f t="shared" si="7"/>
        <v>45689</v>
      </c>
      <c r="C1500" s="57" t="str">
        <f>IF($B1500="","",YEAR($B1500)&amp;"-"&amp;IFERROR(VLOOKUP(MONTH(B1500),KEY!$AE$5:$AF$16,2,FALSE),""))</f>
        <v>2025-Q1</v>
      </c>
      <c r="D1500" s="3" t="s">
        <v>157</v>
      </c>
      <c r="E1500" s="219">
        <v>13</v>
      </c>
      <c r="F1500" s="166">
        <v>428</v>
      </c>
      <c r="G1500" s="166">
        <v>417</v>
      </c>
      <c r="H1500" s="21">
        <v>577</v>
      </c>
      <c r="I1500" s="21">
        <v>71</v>
      </c>
      <c r="J1500" s="21">
        <v>320</v>
      </c>
      <c r="K1500" s="21">
        <v>75</v>
      </c>
      <c r="L1500" s="21">
        <v>886</v>
      </c>
      <c r="M1500" s="21">
        <v>205</v>
      </c>
      <c r="N1500" s="21">
        <v>433</v>
      </c>
      <c r="O1500" s="19">
        <v>740</v>
      </c>
      <c r="P1500" s="22">
        <v>3</v>
      </c>
      <c r="Q1500" s="22">
        <v>2</v>
      </c>
      <c r="R1500" s="20"/>
      <c r="S1500" s="234">
        <f>COUNTIFS(INP_DATA!$R$5:$R$3027,S$4,INP_DATA!$D$5:$D$3027,$D1500,INP_DATA!$B$5:$B$3027,$B1500)</f>
        <v>0</v>
      </c>
      <c r="T1500" s="235">
        <f>COUNTIFS(INP_DATA!$R$5:$R$3027,T$4,INP_DATA!$D$5:$D$3027,$D1500,INP_DATA!$B$5:$B$3027,$B1500)</f>
        <v>0</v>
      </c>
    </row>
    <row r="1501" spans="1:20" x14ac:dyDescent="0.35">
      <c r="A1501" s="3" t="str">
        <f>IF(D1501="","",(VLOOKUP($D1501,KEY!$B$5:$D$74,3,FALSE)))</f>
        <v>Arizona</v>
      </c>
      <c r="B1501" s="165">
        <f t="shared" si="7"/>
        <v>45689</v>
      </c>
      <c r="C1501" s="57" t="str">
        <f>IF($B1501="","",YEAR($B1501)&amp;"-"&amp;IFERROR(VLOOKUP(MONTH(B1501),KEY!$AE$5:$AF$16,2,FALSE),""))</f>
        <v>2025-Q1</v>
      </c>
      <c r="D1501" s="3" t="s">
        <v>158</v>
      </c>
      <c r="E1501" s="219">
        <v>5</v>
      </c>
      <c r="F1501" s="166">
        <v>28</v>
      </c>
      <c r="G1501" s="166">
        <v>35</v>
      </c>
      <c r="H1501" s="21">
        <v>83</v>
      </c>
      <c r="I1501" s="21">
        <v>5</v>
      </c>
      <c r="J1501" s="21">
        <v>32</v>
      </c>
      <c r="K1501" s="21">
        <v>5</v>
      </c>
      <c r="L1501" s="21">
        <v>69</v>
      </c>
      <c r="M1501" s="21">
        <v>23</v>
      </c>
      <c r="N1501" s="21">
        <v>33</v>
      </c>
      <c r="O1501" s="19">
        <v>120</v>
      </c>
      <c r="P1501" s="22">
        <v>0</v>
      </c>
      <c r="Q1501" s="22">
        <v>0</v>
      </c>
      <c r="R1501" s="20"/>
      <c r="S1501" s="234">
        <f>COUNTIFS(INP_DATA!$R$5:$R$3027,S$4,INP_DATA!$D$5:$D$3027,$D1501,INP_DATA!$B$5:$B$3027,$B1501)</f>
        <v>0</v>
      </c>
      <c r="T1501" s="235">
        <f>COUNTIFS(INP_DATA!$R$5:$R$3027,T$4,INP_DATA!$D$5:$D$3027,$D1501,INP_DATA!$B$5:$B$3027,$B1501)</f>
        <v>0</v>
      </c>
    </row>
    <row r="1502" spans="1:20" x14ac:dyDescent="0.35">
      <c r="A1502" s="3" t="str">
        <f>IF(D1502="","",(VLOOKUP($D1502,KEY!$B$5:$D$74,3,FALSE)))</f>
        <v>Orange County</v>
      </c>
      <c r="B1502" s="165">
        <f t="shared" si="7"/>
        <v>45689</v>
      </c>
      <c r="C1502" s="57" t="str">
        <f>IF($B1502="","",YEAR($B1502)&amp;"-"&amp;IFERROR(VLOOKUP(MONTH(B1502),KEY!$AE$5:$AF$16,2,FALSE),""))</f>
        <v>2025-Q1</v>
      </c>
      <c r="D1502" s="3" t="s">
        <v>159</v>
      </c>
      <c r="E1502" s="219">
        <v>12</v>
      </c>
      <c r="F1502" s="166">
        <v>94</v>
      </c>
      <c r="G1502" s="166">
        <v>96</v>
      </c>
      <c r="H1502" s="21">
        <v>226</v>
      </c>
      <c r="I1502" s="21">
        <v>35</v>
      </c>
      <c r="J1502" s="21">
        <v>69</v>
      </c>
      <c r="K1502" s="21">
        <v>19</v>
      </c>
      <c r="L1502" s="21">
        <v>173</v>
      </c>
      <c r="M1502" s="21">
        <v>70</v>
      </c>
      <c r="N1502" s="21">
        <v>94</v>
      </c>
      <c r="O1502" s="19">
        <v>180</v>
      </c>
      <c r="P1502" s="22">
        <v>9</v>
      </c>
      <c r="Q1502" s="22">
        <v>6</v>
      </c>
      <c r="R1502" s="20"/>
      <c r="S1502" s="234">
        <f>COUNTIFS(INP_DATA!$R$5:$R$3027,S$4,INP_DATA!$D$5:$D$3027,$D1502,INP_DATA!$B$5:$B$3027,$B1502)</f>
        <v>0</v>
      </c>
      <c r="T1502" s="235">
        <f>COUNTIFS(INP_DATA!$R$5:$R$3027,T$4,INP_DATA!$D$5:$D$3027,$D1502,INP_DATA!$B$5:$B$3027,$B1502)</f>
        <v>0</v>
      </c>
    </row>
    <row r="1503" spans="1:20" x14ac:dyDescent="0.35">
      <c r="A1503" s="3" t="str">
        <f>IF(D1503="","",(VLOOKUP($D1503,KEY!$B$5:$D$74,3,FALSE)))</f>
        <v>Arizona</v>
      </c>
      <c r="B1503" s="165">
        <f t="shared" si="7"/>
        <v>45689</v>
      </c>
      <c r="C1503" s="57" t="str">
        <f>IF($B1503="","",YEAR($B1503)&amp;"-"&amp;IFERROR(VLOOKUP(MONTH(B1503),KEY!$AE$5:$AF$16,2,FALSE),""))</f>
        <v>2025-Q1</v>
      </c>
      <c r="D1503" s="3" t="s">
        <v>160</v>
      </c>
      <c r="E1503" s="219">
        <v>38</v>
      </c>
      <c r="F1503" s="166">
        <v>294</v>
      </c>
      <c r="G1503" s="166">
        <v>336</v>
      </c>
      <c r="H1503" s="21">
        <v>558</v>
      </c>
      <c r="I1503" s="21">
        <v>88</v>
      </c>
      <c r="J1503" s="21">
        <v>149</v>
      </c>
      <c r="K1503" s="21">
        <v>31</v>
      </c>
      <c r="L1503" s="21">
        <v>432</v>
      </c>
      <c r="M1503" s="21">
        <v>191</v>
      </c>
      <c r="N1503" s="21">
        <v>303</v>
      </c>
      <c r="O1503" s="19">
        <v>500</v>
      </c>
      <c r="P1503" s="22">
        <v>41</v>
      </c>
      <c r="Q1503" s="22">
        <v>27</v>
      </c>
      <c r="R1503" s="20"/>
      <c r="S1503" s="234">
        <f>COUNTIFS(INP_DATA!$R$5:$R$3027,S$4,INP_DATA!$D$5:$D$3027,$D1503,INP_DATA!$B$5:$B$3027,$B1503)</f>
        <v>0</v>
      </c>
      <c r="T1503" s="235">
        <f>COUNTIFS(INP_DATA!$R$5:$R$3027,T$4,INP_DATA!$D$5:$D$3027,$D1503,INP_DATA!$B$5:$B$3027,$B1503)</f>
        <v>0</v>
      </c>
    </row>
    <row r="1504" spans="1:20" x14ac:dyDescent="0.35">
      <c r="A1504" s="3" t="str">
        <f>IF(D1504="","",(VLOOKUP($D1504,KEY!$B$5:$D$74,3,FALSE)))</f>
        <v>Northern California</v>
      </c>
      <c r="B1504" s="165">
        <f t="shared" si="7"/>
        <v>45689</v>
      </c>
      <c r="C1504" s="57" t="str">
        <f>IF($B1504="","",YEAR($B1504)&amp;"-"&amp;IFERROR(VLOOKUP(MONTH(B1504),KEY!$AE$5:$AF$16,2,FALSE),""))</f>
        <v>2025-Q1</v>
      </c>
      <c r="D1504" s="3" t="s">
        <v>161</v>
      </c>
      <c r="E1504" s="219">
        <v>26</v>
      </c>
      <c r="F1504" s="166">
        <v>207</v>
      </c>
      <c r="G1504" s="166">
        <v>279</v>
      </c>
      <c r="H1504" s="21">
        <v>409</v>
      </c>
      <c r="I1504" s="21">
        <v>67</v>
      </c>
      <c r="J1504" s="21">
        <v>170</v>
      </c>
      <c r="K1504" s="21">
        <v>35</v>
      </c>
      <c r="L1504" s="21">
        <v>321</v>
      </c>
      <c r="M1504" s="21">
        <v>92</v>
      </c>
      <c r="N1504" s="21">
        <v>215</v>
      </c>
      <c r="O1504" s="19">
        <v>400</v>
      </c>
      <c r="P1504" s="22">
        <v>10</v>
      </c>
      <c r="Q1504" s="22">
        <v>8</v>
      </c>
      <c r="R1504" s="20"/>
      <c r="S1504" s="234">
        <f>COUNTIFS(INP_DATA!$R$5:$R$3027,S$4,INP_DATA!$D$5:$D$3027,$D1504,INP_DATA!$B$5:$B$3027,$B1504)</f>
        <v>0</v>
      </c>
      <c r="T1504" s="235">
        <f>COUNTIFS(INP_DATA!$R$5:$R$3027,T$4,INP_DATA!$D$5:$D$3027,$D1504,INP_DATA!$B$5:$B$3027,$B1504)</f>
        <v>0</v>
      </c>
    </row>
    <row r="1505" spans="1:20" x14ac:dyDescent="0.35">
      <c r="A1505" s="3" t="str">
        <f>IF(D1505="","",(VLOOKUP($D1505,KEY!$B$5:$D$74,3,FALSE)))</f>
        <v>Arizona</v>
      </c>
      <c r="B1505" s="165">
        <f t="shared" si="7"/>
        <v>45689</v>
      </c>
      <c r="C1505" s="57" t="str">
        <f>IF($B1505="","",YEAR($B1505)&amp;"-"&amp;IFERROR(VLOOKUP(MONTH(B1505),KEY!$AE$5:$AF$16,2,FALSE),""))</f>
        <v>2025-Q1</v>
      </c>
      <c r="D1505" s="3" t="s">
        <v>163</v>
      </c>
      <c r="E1505" s="219">
        <v>57</v>
      </c>
      <c r="F1505" s="166">
        <v>259</v>
      </c>
      <c r="G1505" s="166">
        <v>223</v>
      </c>
      <c r="H1505" s="21">
        <v>331</v>
      </c>
      <c r="I1505" s="21">
        <v>47</v>
      </c>
      <c r="J1505" s="21">
        <v>141</v>
      </c>
      <c r="K1505" s="21">
        <v>35</v>
      </c>
      <c r="L1505" s="21">
        <v>352</v>
      </c>
      <c r="M1505" s="21">
        <v>155</v>
      </c>
      <c r="N1505" s="21">
        <v>260</v>
      </c>
      <c r="O1505" s="19">
        <v>320</v>
      </c>
      <c r="P1505" s="22">
        <v>8</v>
      </c>
      <c r="Q1505" s="22">
        <v>4</v>
      </c>
      <c r="R1505" s="20"/>
      <c r="S1505" s="234">
        <f>COUNTIFS(INP_DATA!$R$5:$R$3027,S$4,INP_DATA!$D$5:$D$3027,$D1505,INP_DATA!$B$5:$B$3027,$B1505)</f>
        <v>0</v>
      </c>
      <c r="T1505" s="235">
        <f>COUNTIFS(INP_DATA!$R$5:$R$3027,T$4,INP_DATA!$D$5:$D$3027,$D1505,INP_DATA!$B$5:$B$3027,$B1505)</f>
        <v>0</v>
      </c>
    </row>
    <row r="1506" spans="1:20" x14ac:dyDescent="0.35">
      <c r="A1506" s="3" t="str">
        <f>IF(D1506="","",(VLOOKUP($D1506,KEY!$B$5:$D$74,3,FALSE)))</f>
        <v>Arizona</v>
      </c>
      <c r="B1506" s="165">
        <f t="shared" si="7"/>
        <v>45689</v>
      </c>
      <c r="C1506" s="57" t="str">
        <f>IF($B1506="","",YEAR($B1506)&amp;"-"&amp;IFERROR(VLOOKUP(MONTH(B1506),KEY!$AE$5:$AF$16,2,FALSE),""))</f>
        <v>2025-Q1</v>
      </c>
      <c r="D1506" s="3" t="s">
        <v>164</v>
      </c>
      <c r="E1506" s="219">
        <v>10</v>
      </c>
      <c r="F1506" s="166">
        <v>67</v>
      </c>
      <c r="G1506" s="166">
        <v>74</v>
      </c>
      <c r="H1506" s="21">
        <v>134</v>
      </c>
      <c r="I1506" s="21">
        <v>21</v>
      </c>
      <c r="J1506" s="21">
        <v>40</v>
      </c>
      <c r="K1506" s="21">
        <v>14</v>
      </c>
      <c r="L1506" s="21">
        <v>104</v>
      </c>
      <c r="M1506" s="21">
        <v>46</v>
      </c>
      <c r="N1506" s="21">
        <v>68</v>
      </c>
      <c r="O1506" s="19">
        <v>140</v>
      </c>
      <c r="P1506" s="22">
        <v>19</v>
      </c>
      <c r="Q1506" s="22">
        <v>6</v>
      </c>
      <c r="R1506" s="20"/>
      <c r="S1506" s="234">
        <f>COUNTIFS(INP_DATA!$R$5:$R$3027,S$4,INP_DATA!$D$5:$D$3027,$D1506,INP_DATA!$B$5:$B$3027,$B1506)</f>
        <v>0</v>
      </c>
      <c r="T1506" s="235">
        <f>COUNTIFS(INP_DATA!$R$5:$R$3027,T$4,INP_DATA!$D$5:$D$3027,$D1506,INP_DATA!$B$5:$B$3027,$B1506)</f>
        <v>0</v>
      </c>
    </row>
    <row r="1507" spans="1:20" x14ac:dyDescent="0.35">
      <c r="A1507" s="3" t="str">
        <f>IF(D1507="","",(VLOOKUP($D1507,KEY!$B$5:$D$74,3,FALSE)))</f>
        <v>Orange County</v>
      </c>
      <c r="B1507" s="165">
        <f t="shared" si="7"/>
        <v>45689</v>
      </c>
      <c r="C1507" s="57" t="str">
        <f>IF($B1507="","",YEAR($B1507)&amp;"-"&amp;IFERROR(VLOOKUP(MONTH(B1507),KEY!$AE$5:$AF$16,2,FALSE),""))</f>
        <v>2025-Q1</v>
      </c>
      <c r="D1507" s="3" t="s">
        <v>165</v>
      </c>
      <c r="E1507" s="219">
        <v>18</v>
      </c>
      <c r="F1507" s="166">
        <v>48</v>
      </c>
      <c r="G1507" s="166">
        <v>70</v>
      </c>
      <c r="H1507" s="21">
        <v>140</v>
      </c>
      <c r="I1507" s="21">
        <v>15</v>
      </c>
      <c r="J1507" s="21">
        <v>57</v>
      </c>
      <c r="K1507" s="21">
        <v>10</v>
      </c>
      <c r="L1507" s="21">
        <v>73</v>
      </c>
      <c r="M1507" s="21">
        <v>29</v>
      </c>
      <c r="N1507" s="21">
        <v>50</v>
      </c>
      <c r="O1507" s="19">
        <v>160</v>
      </c>
      <c r="P1507" s="22">
        <v>34</v>
      </c>
      <c r="Q1507" s="22">
        <v>22</v>
      </c>
      <c r="R1507" s="20"/>
      <c r="S1507" s="234">
        <f>COUNTIFS(INP_DATA!$R$5:$R$3027,S$4,INP_DATA!$D$5:$D$3027,$D1507,INP_DATA!$B$5:$B$3027,$B1507)</f>
        <v>0</v>
      </c>
      <c r="T1507" s="235">
        <f>COUNTIFS(INP_DATA!$R$5:$R$3027,T$4,INP_DATA!$D$5:$D$3027,$D1507,INP_DATA!$B$5:$B$3027,$B1507)</f>
        <v>0</v>
      </c>
    </row>
    <row r="1508" spans="1:20" x14ac:dyDescent="0.35">
      <c r="A1508" s="3" t="str">
        <f>IF(D1508="","",(VLOOKUP($D1508,KEY!$B$5:$D$74,3,FALSE)))</f>
        <v/>
      </c>
      <c r="B1508" s="165">
        <f t="shared" ref="B1508:B1512" si="8">B1507</f>
        <v>45689</v>
      </c>
      <c r="C1508" s="57" t="str">
        <f>IF($B1508="","",YEAR($B1508)&amp;"-"&amp;IFERROR(VLOOKUP(MONTH(B1508),KEY!$AE$5:$AF$16,2,FALSE),""))</f>
        <v>2025-Q1</v>
      </c>
      <c r="D1508" s="3"/>
      <c r="E1508" s="219"/>
      <c r="F1508" s="166"/>
      <c r="G1508" s="166"/>
      <c r="H1508" s="21"/>
      <c r="I1508" s="21"/>
      <c r="J1508" s="21"/>
      <c r="K1508" s="21"/>
      <c r="L1508" s="21"/>
      <c r="M1508" s="21"/>
      <c r="N1508" s="21"/>
      <c r="O1508" s="19"/>
      <c r="P1508" s="22"/>
      <c r="Q1508" s="22"/>
      <c r="R1508" s="20"/>
      <c r="S1508" s="234">
        <f>COUNTIFS(INP_DATA!$R$5:$R$3027,S$4,INP_DATA!$D$5:$D$3027,$D1508,INP_DATA!$B$5:$B$3027,$B1508)</f>
        <v>0</v>
      </c>
      <c r="T1508" s="235">
        <f>COUNTIFS(INP_DATA!$R$5:$R$3027,T$4,INP_DATA!$D$5:$D$3027,$D1508,INP_DATA!$B$5:$B$3027,$B1508)</f>
        <v>0</v>
      </c>
    </row>
    <row r="1509" spans="1:20" x14ac:dyDescent="0.35">
      <c r="A1509" s="3" t="str">
        <f>IF(D1509="","",(VLOOKUP($D1509,KEY!$B$5:$D$74,3,FALSE)))</f>
        <v/>
      </c>
      <c r="B1509" s="165">
        <f t="shared" si="8"/>
        <v>45689</v>
      </c>
      <c r="C1509" s="57" t="str">
        <f>IF($B1509="","",YEAR($B1509)&amp;"-"&amp;IFERROR(VLOOKUP(MONTH(B1509),KEY!$AE$5:$AF$16,2,FALSE),""))</f>
        <v>2025-Q1</v>
      </c>
      <c r="D1509" s="3"/>
      <c r="E1509" s="219"/>
      <c r="F1509" s="166"/>
      <c r="G1509" s="166"/>
      <c r="H1509" s="21"/>
      <c r="I1509" s="21"/>
      <c r="J1509" s="21"/>
      <c r="K1509" s="21"/>
      <c r="L1509" s="21"/>
      <c r="M1509" s="21"/>
      <c r="N1509" s="21"/>
      <c r="O1509" s="19"/>
      <c r="P1509" s="22"/>
      <c r="Q1509" s="22"/>
      <c r="R1509" s="20"/>
      <c r="S1509" s="234">
        <f>COUNTIFS(INP_DATA!$R$5:$R$3027,S$4,INP_DATA!$D$5:$D$3027,$D1509,INP_DATA!$B$5:$B$3027,$B1509)</f>
        <v>0</v>
      </c>
      <c r="T1509" s="235">
        <f>COUNTIFS(INP_DATA!$R$5:$R$3027,T$4,INP_DATA!$D$5:$D$3027,$D1509,INP_DATA!$B$5:$B$3027,$B1509)</f>
        <v>0</v>
      </c>
    </row>
    <row r="1510" spans="1:20" x14ac:dyDescent="0.35">
      <c r="A1510" s="3" t="str">
        <f>IF(D1510="","",(VLOOKUP($D1510,KEY!$B$5:$D$74,3,FALSE)))</f>
        <v/>
      </c>
      <c r="B1510" s="165">
        <f t="shared" si="8"/>
        <v>45689</v>
      </c>
      <c r="C1510" s="57" t="str">
        <f>IF($B1510="","",YEAR($B1510)&amp;"-"&amp;IFERROR(VLOOKUP(MONTH(B1510),KEY!$AE$5:$AF$16,2,FALSE),""))</f>
        <v>2025-Q1</v>
      </c>
      <c r="D1510" s="3"/>
      <c r="E1510" s="219"/>
      <c r="F1510" s="166"/>
      <c r="G1510" s="166"/>
      <c r="H1510" s="21"/>
      <c r="I1510" s="21"/>
      <c r="J1510" s="21"/>
      <c r="K1510" s="21"/>
      <c r="L1510" s="21"/>
      <c r="M1510" s="21"/>
      <c r="N1510" s="21"/>
      <c r="O1510" s="19"/>
      <c r="P1510" s="22"/>
      <c r="Q1510" s="22"/>
      <c r="R1510" s="20"/>
      <c r="S1510" s="234">
        <f>COUNTIFS(INP_DATA!$R$5:$R$3027,S$4,INP_DATA!$D$5:$D$3027,$D1510,INP_DATA!$B$5:$B$3027,$B1510)</f>
        <v>0</v>
      </c>
      <c r="T1510" s="235">
        <f>COUNTIFS(INP_DATA!$R$5:$R$3027,T$4,INP_DATA!$D$5:$D$3027,$D1510,INP_DATA!$B$5:$B$3027,$B1510)</f>
        <v>0</v>
      </c>
    </row>
    <row r="1511" spans="1:20" x14ac:dyDescent="0.35">
      <c r="A1511" s="3" t="str">
        <f>IF(D1511="","",(VLOOKUP($D1511,KEY!$B$5:$D$74,3,FALSE)))</f>
        <v/>
      </c>
      <c r="B1511" s="165">
        <f t="shared" si="8"/>
        <v>45689</v>
      </c>
      <c r="C1511" s="57" t="str">
        <f>IF($B1511="","",YEAR($B1511)&amp;"-"&amp;IFERROR(VLOOKUP(MONTH(B1511),KEY!$AE$5:$AF$16,2,FALSE),""))</f>
        <v>2025-Q1</v>
      </c>
      <c r="D1511" s="3"/>
      <c r="E1511" s="219"/>
      <c r="F1511" s="166"/>
      <c r="G1511" s="166"/>
      <c r="H1511" s="21"/>
      <c r="I1511" s="21"/>
      <c r="J1511" s="21"/>
      <c r="K1511" s="21"/>
      <c r="L1511" s="21"/>
      <c r="M1511" s="21"/>
      <c r="N1511" s="21"/>
      <c r="O1511" s="19"/>
      <c r="P1511" s="22"/>
      <c r="Q1511" s="22"/>
      <c r="R1511" s="20"/>
      <c r="S1511" s="234">
        <f>COUNTIFS(INP_DATA!$R$5:$R$3027,S$4,INP_DATA!$D$5:$D$3027,$D1511,INP_DATA!$B$5:$B$3027,$B1511)</f>
        <v>0</v>
      </c>
      <c r="T1511" s="235">
        <f>COUNTIFS(INP_DATA!$R$5:$R$3027,T$4,INP_DATA!$D$5:$D$3027,$D1511,INP_DATA!$B$5:$B$3027,$B1511)</f>
        <v>0</v>
      </c>
    </row>
    <row r="1512" spans="1:20" x14ac:dyDescent="0.35">
      <c r="A1512" s="3" t="str">
        <f>IF(D1512="","",(VLOOKUP($D1512,KEY!$B$5:$D$74,3,FALSE)))</f>
        <v/>
      </c>
      <c r="B1512" s="426">
        <f t="shared" si="8"/>
        <v>45689</v>
      </c>
      <c r="C1512" s="427" t="str">
        <f>IF($B1512="","",YEAR($B1512)&amp;"-"&amp;IFERROR(VLOOKUP(MONTH(B1512),KEY!$AE$5:$AF$16,2,FALSE),""))</f>
        <v>2025-Q1</v>
      </c>
      <c r="D1512" s="428"/>
      <c r="E1512" s="429"/>
      <c r="F1512" s="430"/>
      <c r="G1512" s="430"/>
      <c r="H1512" s="431"/>
      <c r="I1512" s="431"/>
      <c r="J1512" s="431"/>
      <c r="K1512" s="431"/>
      <c r="L1512" s="431"/>
      <c r="M1512" s="431"/>
      <c r="N1512" s="431"/>
      <c r="O1512" s="432"/>
      <c r="P1512" s="433"/>
      <c r="Q1512" s="433"/>
      <c r="R1512" s="20"/>
      <c r="S1512" s="234">
        <f>COUNTIFS(INP_DATA!$R$5:$R$3027,S$4,INP_DATA!$D$5:$D$3027,$D1512,INP_DATA!$B$5:$B$3027,$B1512)</f>
        <v>0</v>
      </c>
      <c r="T1512" s="235">
        <f>COUNTIFS(INP_DATA!$R$5:$R$3027,T$4,INP_DATA!$D$5:$D$3027,$D1512,INP_DATA!$B$5:$B$3027,$B1512)</f>
        <v>0</v>
      </c>
    </row>
    <row r="1513" spans="1:20" x14ac:dyDescent="0.35">
      <c r="A1513" s="3" t="str">
        <f>IF(D1513="","",(VLOOKUP($D1513,KEY!$B$5:$D$74,3,FALSE)))</f>
        <v>Arizona</v>
      </c>
      <c r="B1513" s="165">
        <f>DATE(YEAR(B1512+31),MONTH(B1512+31),1)</f>
        <v>45717</v>
      </c>
      <c r="C1513" s="57" t="str">
        <f>IF($B1513="","",YEAR($B1513)&amp;"-"&amp;IFERROR(VLOOKUP(MONTH(B1513),KEY!$AE$5:$AF$16,2,FALSE),""))</f>
        <v>2025-Q1</v>
      </c>
      <c r="D1513" s="3" t="s">
        <v>111</v>
      </c>
      <c r="E1513" s="219">
        <v>14</v>
      </c>
      <c r="F1513" s="166">
        <v>72</v>
      </c>
      <c r="G1513" s="166">
        <v>68</v>
      </c>
      <c r="H1513" s="21">
        <v>162</v>
      </c>
      <c r="I1513" s="21">
        <v>25</v>
      </c>
      <c r="J1513" s="21">
        <v>50</v>
      </c>
      <c r="K1513" s="21">
        <v>13</v>
      </c>
      <c r="L1513" s="21">
        <v>125</v>
      </c>
      <c r="M1513" s="21">
        <v>53</v>
      </c>
      <c r="N1513" s="21">
        <v>72</v>
      </c>
      <c r="O1513" s="19">
        <v>176</v>
      </c>
      <c r="P1513" s="22">
        <v>16</v>
      </c>
      <c r="Q1513" s="22">
        <v>9</v>
      </c>
      <c r="R1513" s="20"/>
      <c r="S1513" s="234">
        <f>COUNTIFS(INP_DATA!$R$5:$R$3027,S$4,INP_DATA!$D$5:$D$3027,$D1513,INP_DATA!$B$5:$B$3027,$B1513)</f>
        <v>0</v>
      </c>
      <c r="T1513" s="235">
        <f>COUNTIFS(INP_DATA!$R$5:$R$3027,T$4,INP_DATA!$D$5:$D$3027,$D1513,INP_DATA!$B$5:$B$3027,$B1513)</f>
        <v>0</v>
      </c>
    </row>
    <row r="1514" spans="1:20" x14ac:dyDescent="0.35">
      <c r="A1514" s="3" t="str">
        <f>IF(D1514="","",(VLOOKUP($D1514,KEY!$B$5:$D$74,3,FALSE)))</f>
        <v>Southern California</v>
      </c>
      <c r="B1514" s="165">
        <f t="shared" ref="B1514:B1577" si="9">B1513</f>
        <v>45717</v>
      </c>
      <c r="C1514" s="57" t="str">
        <f>IF($B1514="","",YEAR($B1514)&amp;"-"&amp;IFERROR(VLOOKUP(MONTH(B1514),KEY!$AE$5:$AF$16,2,FALSE),""))</f>
        <v>2025-Q1</v>
      </c>
      <c r="D1514" s="3" t="s">
        <v>112</v>
      </c>
      <c r="E1514" s="219">
        <v>7</v>
      </c>
      <c r="F1514" s="166">
        <v>56</v>
      </c>
      <c r="G1514" s="166">
        <v>29</v>
      </c>
      <c r="H1514" s="21">
        <v>98</v>
      </c>
      <c r="I1514" s="21">
        <v>13</v>
      </c>
      <c r="J1514" s="21">
        <v>56</v>
      </c>
      <c r="K1514" s="21">
        <v>13</v>
      </c>
      <c r="L1514" s="21">
        <v>102</v>
      </c>
      <c r="M1514" s="21">
        <v>37</v>
      </c>
      <c r="N1514" s="21">
        <v>56</v>
      </c>
      <c r="O1514" s="19">
        <v>88</v>
      </c>
      <c r="P1514" s="22">
        <v>9</v>
      </c>
      <c r="Q1514" s="22">
        <v>7</v>
      </c>
      <c r="R1514" s="20"/>
      <c r="S1514" s="234">
        <f>COUNTIFS(INP_DATA!$R$5:$R$3027,S$4,INP_DATA!$D$5:$D$3027,$D1514,INP_DATA!$B$5:$B$3027,$B1514)</f>
        <v>0</v>
      </c>
      <c r="T1514" s="235">
        <f>COUNTIFS(INP_DATA!$R$5:$R$3027,T$4,INP_DATA!$D$5:$D$3027,$D1514,INP_DATA!$B$5:$B$3027,$B1514)</f>
        <v>0</v>
      </c>
    </row>
    <row r="1515" spans="1:20" x14ac:dyDescent="0.35">
      <c r="A1515" s="3" t="str">
        <f>IF(D1515="","",(VLOOKUP($D1515,KEY!$B$5:$D$74,3,FALSE)))</f>
        <v>Arizona</v>
      </c>
      <c r="B1515" s="165">
        <f t="shared" si="9"/>
        <v>45717</v>
      </c>
      <c r="C1515" s="57" t="str">
        <f>IF($B1515="","",YEAR($B1515)&amp;"-"&amp;IFERROR(VLOOKUP(MONTH(B1515),KEY!$AE$5:$AF$16,2,FALSE),""))</f>
        <v>2025-Q1</v>
      </c>
      <c r="D1515" s="3" t="s">
        <v>113</v>
      </c>
      <c r="E1515" s="219">
        <v>7</v>
      </c>
      <c r="F1515" s="166">
        <v>62</v>
      </c>
      <c r="G1515" s="166">
        <v>83</v>
      </c>
      <c r="H1515" s="21">
        <v>172</v>
      </c>
      <c r="I1515" s="21">
        <v>24</v>
      </c>
      <c r="J1515" s="21">
        <v>62</v>
      </c>
      <c r="K1515" s="21">
        <v>14</v>
      </c>
      <c r="L1515" s="21">
        <v>176</v>
      </c>
      <c r="M1515" s="21">
        <v>44</v>
      </c>
      <c r="N1515" s="21">
        <v>64</v>
      </c>
      <c r="O1515" s="19">
        <v>132</v>
      </c>
      <c r="P1515" s="22">
        <v>5</v>
      </c>
      <c r="Q1515" s="22">
        <v>0</v>
      </c>
      <c r="R1515" s="20"/>
      <c r="S1515" s="234">
        <f>COUNTIFS(INP_DATA!$R$5:$R$3027,S$4,INP_DATA!$D$5:$D$3027,$D1515,INP_DATA!$B$5:$B$3027,$B1515)</f>
        <v>0</v>
      </c>
      <c r="T1515" s="235">
        <f>COUNTIFS(INP_DATA!$R$5:$R$3027,T$4,INP_DATA!$D$5:$D$3027,$D1515,INP_DATA!$B$5:$B$3027,$B1515)</f>
        <v>0</v>
      </c>
    </row>
    <row r="1516" spans="1:20" x14ac:dyDescent="0.35">
      <c r="A1516" s="3" t="str">
        <f>IF(D1516="","",(VLOOKUP($D1516,KEY!$B$5:$D$74,3,FALSE)))</f>
        <v>Southern California</v>
      </c>
      <c r="B1516" s="165">
        <f t="shared" si="9"/>
        <v>45717</v>
      </c>
      <c r="C1516" s="57" t="str">
        <f>IF($B1516="","",YEAR($B1516)&amp;"-"&amp;IFERROR(VLOOKUP(MONTH(B1516),KEY!$AE$5:$AF$16,2,FALSE),""))</f>
        <v>2025-Q1</v>
      </c>
      <c r="D1516" s="3" t="s">
        <v>114</v>
      </c>
      <c r="E1516" s="219">
        <v>15</v>
      </c>
      <c r="F1516" s="166">
        <v>52</v>
      </c>
      <c r="G1516" s="166">
        <v>41</v>
      </c>
      <c r="H1516" s="21">
        <v>112</v>
      </c>
      <c r="I1516" s="21">
        <v>15</v>
      </c>
      <c r="J1516" s="21">
        <v>65</v>
      </c>
      <c r="K1516" s="21">
        <v>11</v>
      </c>
      <c r="L1516" s="21">
        <v>97</v>
      </c>
      <c r="M1516" s="21">
        <v>33</v>
      </c>
      <c r="N1516" s="21">
        <v>53</v>
      </c>
      <c r="O1516" s="19">
        <v>88</v>
      </c>
      <c r="P1516" s="22">
        <v>28</v>
      </c>
      <c r="Q1516" s="22">
        <v>19</v>
      </c>
      <c r="R1516" s="20"/>
      <c r="S1516" s="234">
        <f>COUNTIFS(INP_DATA!$R$5:$R$3027,S$4,INP_DATA!$D$5:$D$3027,$D1516,INP_DATA!$B$5:$B$3027,$B1516)</f>
        <v>0</v>
      </c>
      <c r="T1516" s="235">
        <f>COUNTIFS(INP_DATA!$R$5:$R$3027,T$4,INP_DATA!$D$5:$D$3027,$D1516,INP_DATA!$B$5:$B$3027,$B1516)</f>
        <v>0</v>
      </c>
    </row>
    <row r="1517" spans="1:20" x14ac:dyDescent="0.35">
      <c r="A1517" s="3" t="str">
        <f>IF(D1517="","",(VLOOKUP($D1517,KEY!$B$5:$D$74,3,FALSE)))</f>
        <v>Orange County</v>
      </c>
      <c r="B1517" s="165">
        <f t="shared" si="9"/>
        <v>45717</v>
      </c>
      <c r="C1517" s="57" t="str">
        <f>IF($B1517="","",YEAR($B1517)&amp;"-"&amp;IFERROR(VLOOKUP(MONTH(B1517),KEY!$AE$5:$AF$16,2,FALSE),""))</f>
        <v>2025-Q1</v>
      </c>
      <c r="D1517" s="3" t="s">
        <v>115</v>
      </c>
      <c r="E1517" s="219">
        <v>8</v>
      </c>
      <c r="F1517" s="166">
        <v>65</v>
      </c>
      <c r="G1517" s="166">
        <v>70</v>
      </c>
      <c r="H1517" s="21">
        <v>123</v>
      </c>
      <c r="I1517" s="21">
        <v>26</v>
      </c>
      <c r="J1517" s="21">
        <v>43</v>
      </c>
      <c r="K1517" s="21">
        <v>13</v>
      </c>
      <c r="L1517" s="21">
        <v>112</v>
      </c>
      <c r="M1517" s="21">
        <v>52</v>
      </c>
      <c r="N1517" s="21">
        <v>65</v>
      </c>
      <c r="O1517" s="19">
        <v>88</v>
      </c>
      <c r="P1517" s="22">
        <v>3</v>
      </c>
      <c r="Q1517" s="22">
        <v>0</v>
      </c>
      <c r="R1517" s="20"/>
      <c r="S1517" s="234">
        <f>COUNTIFS(INP_DATA!$R$5:$R$3027,S$4,INP_DATA!$D$5:$D$3027,$D1517,INP_DATA!$B$5:$B$3027,$B1517)</f>
        <v>0</v>
      </c>
      <c r="T1517" s="235">
        <f>COUNTIFS(INP_DATA!$R$5:$R$3027,T$4,INP_DATA!$D$5:$D$3027,$D1517,INP_DATA!$B$5:$B$3027,$B1517)</f>
        <v>0</v>
      </c>
    </row>
    <row r="1518" spans="1:20" x14ac:dyDescent="0.35">
      <c r="A1518" s="3" t="str">
        <f>IF(D1518="","",(VLOOKUP($D1518,KEY!$B$5:$D$74,3,FALSE)))</f>
        <v>Arizona</v>
      </c>
      <c r="B1518" s="165">
        <f t="shared" si="9"/>
        <v>45717</v>
      </c>
      <c r="C1518" s="57" t="str">
        <f>IF($B1518="","",YEAR($B1518)&amp;"-"&amp;IFERROR(VLOOKUP(MONTH(B1518),KEY!$AE$5:$AF$16,2,FALSE),""))</f>
        <v>2025-Q1</v>
      </c>
      <c r="D1518" s="3" t="s">
        <v>116</v>
      </c>
      <c r="E1518" s="219">
        <v>14</v>
      </c>
      <c r="F1518" s="166">
        <v>135</v>
      </c>
      <c r="G1518" s="166">
        <v>144</v>
      </c>
      <c r="H1518" s="21">
        <v>296</v>
      </c>
      <c r="I1518" s="21">
        <v>43</v>
      </c>
      <c r="J1518" s="21">
        <v>106</v>
      </c>
      <c r="K1518" s="21">
        <v>12</v>
      </c>
      <c r="L1518" s="21">
        <v>254</v>
      </c>
      <c r="M1518" s="21">
        <v>89</v>
      </c>
      <c r="N1518" s="21">
        <v>140</v>
      </c>
      <c r="O1518" s="19">
        <v>242</v>
      </c>
      <c r="P1518" s="22">
        <v>15</v>
      </c>
      <c r="Q1518" s="22">
        <v>5</v>
      </c>
      <c r="R1518" s="20"/>
      <c r="S1518" s="234">
        <f>COUNTIFS(INP_DATA!$R$5:$R$3027,S$4,INP_DATA!$D$5:$D$3027,$D1518,INP_DATA!$B$5:$B$3027,$B1518)</f>
        <v>0</v>
      </c>
      <c r="T1518" s="235">
        <f>COUNTIFS(INP_DATA!$R$5:$R$3027,T$4,INP_DATA!$D$5:$D$3027,$D1518,INP_DATA!$B$5:$B$3027,$B1518)</f>
        <v>0</v>
      </c>
    </row>
    <row r="1519" spans="1:20" x14ac:dyDescent="0.35">
      <c r="A1519" s="3" t="str">
        <f>IF(D1519="","",(VLOOKUP($D1519,KEY!$B$5:$D$74,3,FALSE)))</f>
        <v>Northern California</v>
      </c>
      <c r="B1519" s="165">
        <f t="shared" si="9"/>
        <v>45717</v>
      </c>
      <c r="C1519" s="57" t="str">
        <f>IF($B1519="","",YEAR($B1519)&amp;"-"&amp;IFERROR(VLOOKUP(MONTH(B1519),KEY!$AE$5:$AF$16,2,FALSE),""))</f>
        <v>2025-Q1</v>
      </c>
      <c r="D1519" s="3" t="s">
        <v>118</v>
      </c>
      <c r="E1519" s="219">
        <v>37</v>
      </c>
      <c r="F1519" s="166">
        <v>228</v>
      </c>
      <c r="G1519" s="166">
        <v>209</v>
      </c>
      <c r="H1519" s="21">
        <v>527</v>
      </c>
      <c r="I1519" s="21">
        <v>52</v>
      </c>
      <c r="J1519" s="21">
        <v>201</v>
      </c>
      <c r="K1519" s="21">
        <v>48</v>
      </c>
      <c r="L1519" s="21">
        <v>395</v>
      </c>
      <c r="M1519" s="21">
        <v>131</v>
      </c>
      <c r="N1519" s="21">
        <v>231</v>
      </c>
      <c r="O1519" s="19">
        <v>264</v>
      </c>
      <c r="P1519" s="22">
        <v>45</v>
      </c>
      <c r="Q1519" s="22">
        <v>30</v>
      </c>
      <c r="R1519" s="20"/>
      <c r="S1519" s="234">
        <f>COUNTIFS(INP_DATA!$R$5:$R$3027,S$4,INP_DATA!$D$5:$D$3027,$D1519,INP_DATA!$B$5:$B$3027,$B1519)</f>
        <v>0</v>
      </c>
      <c r="T1519" s="235">
        <f>COUNTIFS(INP_DATA!$R$5:$R$3027,T$4,INP_DATA!$D$5:$D$3027,$D1519,INP_DATA!$B$5:$B$3027,$B1519)</f>
        <v>0</v>
      </c>
    </row>
    <row r="1520" spans="1:20" x14ac:dyDescent="0.35">
      <c r="A1520" s="3" t="str">
        <f>IF(D1520="","",(VLOOKUP($D1520,KEY!$B$5:$D$74,3,FALSE)))</f>
        <v>Orange County</v>
      </c>
      <c r="B1520" s="165">
        <f t="shared" si="9"/>
        <v>45717</v>
      </c>
      <c r="C1520" s="57" t="str">
        <f>IF($B1520="","",YEAR($B1520)&amp;"-"&amp;IFERROR(VLOOKUP(MONTH(B1520),KEY!$AE$5:$AF$16,2,FALSE),""))</f>
        <v>2025-Q1</v>
      </c>
      <c r="D1520" s="3" t="s">
        <v>117</v>
      </c>
      <c r="E1520" s="219">
        <v>7</v>
      </c>
      <c r="F1520" s="166">
        <v>82</v>
      </c>
      <c r="G1520" s="166">
        <v>104</v>
      </c>
      <c r="H1520" s="21">
        <v>165</v>
      </c>
      <c r="I1520" s="21">
        <v>27</v>
      </c>
      <c r="J1520" s="21">
        <v>66</v>
      </c>
      <c r="K1520" s="21">
        <v>17</v>
      </c>
      <c r="L1520" s="21">
        <v>148</v>
      </c>
      <c r="M1520" s="21">
        <v>57</v>
      </c>
      <c r="N1520" s="21">
        <v>82</v>
      </c>
      <c r="O1520" s="19">
        <v>154</v>
      </c>
      <c r="P1520" s="22">
        <v>35</v>
      </c>
      <c r="Q1520" s="22">
        <v>18</v>
      </c>
      <c r="R1520" s="20"/>
      <c r="S1520" s="234">
        <f>COUNTIFS(INP_DATA!$R$5:$R$3027,S$4,INP_DATA!$D$5:$D$3027,$D1520,INP_DATA!$B$5:$B$3027,$B1520)</f>
        <v>0</v>
      </c>
      <c r="T1520" s="235">
        <f>COUNTIFS(INP_DATA!$R$5:$R$3027,T$4,INP_DATA!$D$5:$D$3027,$D1520,INP_DATA!$B$5:$B$3027,$B1520)</f>
        <v>0</v>
      </c>
    </row>
    <row r="1521" spans="1:20" x14ac:dyDescent="0.35">
      <c r="A1521" s="3" t="str">
        <f>IF(D1521="","",(VLOOKUP($D1521,KEY!$B$5:$D$74,3,FALSE)))</f>
        <v>Arizona</v>
      </c>
      <c r="B1521" s="165">
        <f t="shared" si="9"/>
        <v>45717</v>
      </c>
      <c r="C1521" s="57" t="str">
        <f>IF($B1521="","",YEAR($B1521)&amp;"-"&amp;IFERROR(VLOOKUP(MONTH(B1521),KEY!$AE$5:$AF$16,2,FALSE),""))</f>
        <v>2025-Q1</v>
      </c>
      <c r="D1521" s="3" t="s">
        <v>119</v>
      </c>
      <c r="E1521" s="219">
        <v>9</v>
      </c>
      <c r="F1521" s="166">
        <v>25</v>
      </c>
      <c r="G1521" s="166">
        <v>29</v>
      </c>
      <c r="H1521" s="21">
        <v>31</v>
      </c>
      <c r="I1521" s="21">
        <v>5</v>
      </c>
      <c r="J1521" s="21">
        <v>24</v>
      </c>
      <c r="K1521" s="21">
        <v>6</v>
      </c>
      <c r="L1521" s="21">
        <v>148</v>
      </c>
      <c r="M1521" s="21">
        <v>19</v>
      </c>
      <c r="N1521" s="21">
        <v>25</v>
      </c>
      <c r="O1521" s="19">
        <v>88</v>
      </c>
      <c r="P1521" s="22">
        <v>0</v>
      </c>
      <c r="Q1521" s="22">
        <v>0</v>
      </c>
      <c r="R1521" s="20"/>
      <c r="S1521" s="234">
        <f>COUNTIFS(INP_DATA!$R$5:$R$3027,S$4,INP_DATA!$D$5:$D$3027,$D1521,INP_DATA!$B$5:$B$3027,$B1521)</f>
        <v>0</v>
      </c>
      <c r="T1521" s="235">
        <f>COUNTIFS(INP_DATA!$R$5:$R$3027,T$4,INP_DATA!$D$5:$D$3027,$D1521,INP_DATA!$B$5:$B$3027,$B1521)</f>
        <v>0</v>
      </c>
    </row>
    <row r="1522" spans="1:20" x14ac:dyDescent="0.35">
      <c r="A1522" s="3" t="str">
        <f>IF(D1522="","",(VLOOKUP($D1522,KEY!$B$5:$D$74,3,FALSE)))</f>
        <v/>
      </c>
      <c r="B1522" s="165">
        <f t="shared" si="9"/>
        <v>45717</v>
      </c>
      <c r="C1522" s="57" t="str">
        <f>IF($B1522="","",YEAR($B1522)&amp;"-"&amp;IFERROR(VLOOKUP(MONTH(B1522),KEY!$AE$5:$AF$16,2,FALSE),""))</f>
        <v>2025-Q1</v>
      </c>
      <c r="D1522" s="3"/>
      <c r="E1522" s="219"/>
      <c r="F1522" s="166"/>
      <c r="G1522" s="166"/>
      <c r="H1522" s="21"/>
      <c r="I1522" s="21"/>
      <c r="J1522" s="21"/>
      <c r="K1522" s="21"/>
      <c r="L1522" s="21"/>
      <c r="M1522" s="21"/>
      <c r="N1522" s="21"/>
      <c r="O1522" s="19"/>
      <c r="P1522" s="22"/>
      <c r="Q1522" s="22"/>
      <c r="R1522" s="20"/>
      <c r="S1522" s="234">
        <f>COUNTIFS(INP_DATA!$R$5:$R$3027,S$4,INP_DATA!$D$5:$D$3027,$D1522,INP_DATA!$B$5:$B$3027,$B1522)</f>
        <v>0</v>
      </c>
      <c r="T1522" s="235">
        <f>COUNTIFS(INP_DATA!$R$5:$R$3027,T$4,INP_DATA!$D$5:$D$3027,$D1522,INP_DATA!$B$5:$B$3027,$B1522)</f>
        <v>0</v>
      </c>
    </row>
    <row r="1523" spans="1:20" x14ac:dyDescent="0.35">
      <c r="A1523" s="3" t="str">
        <f>IF(D1523="","",(VLOOKUP($D1523,KEY!$B$5:$D$74,3,FALSE)))</f>
        <v>Arizona</v>
      </c>
      <c r="B1523" s="165">
        <f t="shared" si="9"/>
        <v>45717</v>
      </c>
      <c r="C1523" s="57" t="str">
        <f>IF($B1523="","",YEAR($B1523)&amp;"-"&amp;IFERROR(VLOOKUP(MONTH(B1523),KEY!$AE$5:$AF$16,2,FALSE),""))</f>
        <v>2025-Q1</v>
      </c>
      <c r="D1523" s="3" t="s">
        <v>120</v>
      </c>
      <c r="E1523" s="219">
        <v>87</v>
      </c>
      <c r="F1523" s="166">
        <v>410</v>
      </c>
      <c r="G1523" s="166">
        <v>351</v>
      </c>
      <c r="H1523" s="21">
        <v>844</v>
      </c>
      <c r="I1523" s="21">
        <v>97</v>
      </c>
      <c r="J1523" s="21">
        <v>260</v>
      </c>
      <c r="K1523" s="21">
        <v>44</v>
      </c>
      <c r="L1523" s="21">
        <v>717</v>
      </c>
      <c r="M1523" s="21">
        <v>270</v>
      </c>
      <c r="N1523" s="21">
        <v>414</v>
      </c>
      <c r="O1523" s="19">
        <v>594</v>
      </c>
      <c r="P1523" s="22">
        <v>75</v>
      </c>
      <c r="Q1523" s="22">
        <v>40</v>
      </c>
      <c r="R1523" s="20"/>
      <c r="S1523" s="234">
        <f>COUNTIFS(INP_DATA!$R$5:$R$3027,S$4,INP_DATA!$D$5:$D$3027,$D1523,INP_DATA!$B$5:$B$3027,$B1523)</f>
        <v>0</v>
      </c>
      <c r="T1523" s="235">
        <f>COUNTIFS(INP_DATA!$R$5:$R$3027,T$4,INP_DATA!$D$5:$D$3027,$D1523,INP_DATA!$B$5:$B$3027,$B1523)</f>
        <v>0</v>
      </c>
    </row>
    <row r="1524" spans="1:20" x14ac:dyDescent="0.35">
      <c r="A1524" s="3" t="str">
        <f>IF(D1524="","",(VLOOKUP($D1524,KEY!$B$5:$D$74,3,FALSE)))</f>
        <v>Texas</v>
      </c>
      <c r="B1524" s="165">
        <f t="shared" si="9"/>
        <v>45717</v>
      </c>
      <c r="C1524" s="57" t="str">
        <f>IF($B1524="","",YEAR($B1524)&amp;"-"&amp;IFERROR(VLOOKUP(MONTH(B1524),KEY!$AE$5:$AF$16,2,FALSE),""))</f>
        <v>2025-Q1</v>
      </c>
      <c r="D1524" s="3" t="s">
        <v>121</v>
      </c>
      <c r="E1524" s="219">
        <v>59</v>
      </c>
      <c r="F1524" s="166">
        <v>290</v>
      </c>
      <c r="G1524" s="166">
        <v>260</v>
      </c>
      <c r="H1524" s="21">
        <v>713</v>
      </c>
      <c r="I1524" s="21">
        <v>86</v>
      </c>
      <c r="J1524" s="21">
        <v>235</v>
      </c>
      <c r="K1524" s="21">
        <v>38</v>
      </c>
      <c r="L1524" s="21">
        <v>582</v>
      </c>
      <c r="M1524" s="21">
        <v>181</v>
      </c>
      <c r="N1524" s="21">
        <v>291</v>
      </c>
      <c r="O1524" s="19">
        <v>528</v>
      </c>
      <c r="P1524" s="22">
        <v>19</v>
      </c>
      <c r="Q1524" s="22">
        <v>17</v>
      </c>
      <c r="R1524" s="20"/>
      <c r="S1524" s="234">
        <f>COUNTIFS(INP_DATA!$R$5:$R$3027,S$4,INP_DATA!$D$5:$D$3027,$D1524,INP_DATA!$B$5:$B$3027,$B1524)</f>
        <v>0</v>
      </c>
      <c r="T1524" s="235">
        <f>COUNTIFS(INP_DATA!$R$5:$R$3027,T$4,INP_DATA!$D$5:$D$3027,$D1524,INP_DATA!$B$5:$B$3027,$B1524)</f>
        <v>0</v>
      </c>
    </row>
    <row r="1525" spans="1:20" x14ac:dyDescent="0.35">
      <c r="A1525" s="3" t="str">
        <f>IF(D1525="","",(VLOOKUP($D1525,KEY!$B$5:$D$74,3,FALSE)))</f>
        <v>Michigan &amp; Minnesota</v>
      </c>
      <c r="B1525" s="165">
        <f t="shared" si="9"/>
        <v>45717</v>
      </c>
      <c r="C1525" s="57" t="str">
        <f>IF($B1525="","",YEAR($B1525)&amp;"-"&amp;IFERROR(VLOOKUP(MONTH(B1525),KEY!$AE$5:$AF$16,2,FALSE),""))</f>
        <v>2025-Q1</v>
      </c>
      <c r="D1525" s="3" t="s">
        <v>200</v>
      </c>
      <c r="E1525" s="219">
        <v>8</v>
      </c>
      <c r="F1525" s="166">
        <v>155</v>
      </c>
      <c r="G1525" s="166">
        <v>140</v>
      </c>
      <c r="H1525" s="21">
        <v>382</v>
      </c>
      <c r="I1525" s="21">
        <v>37</v>
      </c>
      <c r="J1525" s="21">
        <v>221</v>
      </c>
      <c r="K1525" s="21">
        <v>23</v>
      </c>
      <c r="L1525" s="21">
        <v>248</v>
      </c>
      <c r="M1525" s="21">
        <v>70</v>
      </c>
      <c r="N1525" s="21">
        <v>156</v>
      </c>
      <c r="O1525" s="19">
        <v>264</v>
      </c>
      <c r="P1525" s="22">
        <v>26</v>
      </c>
      <c r="Q1525" s="22">
        <v>12</v>
      </c>
      <c r="R1525" s="20"/>
      <c r="S1525" s="234">
        <f>COUNTIFS(INP_DATA!$R$5:$R$3027,S$4,INP_DATA!$D$5:$D$3027,$D1525,INP_DATA!$B$5:$B$3027,$B1525)</f>
        <v>0</v>
      </c>
      <c r="T1525" s="235">
        <f>COUNTIFS(INP_DATA!$R$5:$R$3027,T$4,INP_DATA!$D$5:$D$3027,$D1525,INP_DATA!$B$5:$B$3027,$B1525)</f>
        <v>0</v>
      </c>
    </row>
    <row r="1526" spans="1:20" x14ac:dyDescent="0.35">
      <c r="A1526" s="3" t="str">
        <f>IF(D1526="","",(VLOOKUP($D1526,KEY!$B$5:$D$74,3,FALSE)))</f>
        <v>Southern California</v>
      </c>
      <c r="B1526" s="165">
        <f t="shared" si="9"/>
        <v>45717</v>
      </c>
      <c r="C1526" s="57" t="str">
        <f>IF($B1526="","",YEAR($B1526)&amp;"-"&amp;IFERROR(VLOOKUP(MONTH(B1526),KEY!$AE$5:$AF$16,2,FALSE),""))</f>
        <v>2025-Q1</v>
      </c>
      <c r="D1526" s="3" t="s">
        <v>122</v>
      </c>
      <c r="E1526" s="219">
        <v>5</v>
      </c>
      <c r="F1526" s="166">
        <v>95</v>
      </c>
      <c r="G1526" s="166">
        <v>62</v>
      </c>
      <c r="H1526" s="21">
        <v>295</v>
      </c>
      <c r="I1526" s="21">
        <v>35</v>
      </c>
      <c r="J1526" s="21">
        <v>146</v>
      </c>
      <c r="K1526" s="21">
        <v>11</v>
      </c>
      <c r="L1526" s="21">
        <v>134</v>
      </c>
      <c r="M1526" s="21">
        <v>54</v>
      </c>
      <c r="N1526" s="21">
        <v>96</v>
      </c>
      <c r="O1526" s="19">
        <v>220</v>
      </c>
      <c r="P1526" s="22">
        <v>10</v>
      </c>
      <c r="Q1526" s="22">
        <v>2</v>
      </c>
      <c r="R1526" s="20"/>
      <c r="S1526" s="234">
        <f>COUNTIFS(INP_DATA!$R$5:$R$3027,S$4,INP_DATA!$D$5:$D$3027,$D1526,INP_DATA!$B$5:$B$3027,$B1526)</f>
        <v>0</v>
      </c>
      <c r="T1526" s="235">
        <f>COUNTIFS(INP_DATA!$R$5:$R$3027,T$4,INP_DATA!$D$5:$D$3027,$D1526,INP_DATA!$B$5:$B$3027,$B1526)</f>
        <v>0</v>
      </c>
    </row>
    <row r="1527" spans="1:20" x14ac:dyDescent="0.35">
      <c r="A1527" s="3" t="str">
        <f>IF(D1527="","",(VLOOKUP($D1527,KEY!$B$5:$D$74,3,FALSE)))</f>
        <v>Orange County</v>
      </c>
      <c r="B1527" s="165">
        <f t="shared" si="9"/>
        <v>45717</v>
      </c>
      <c r="C1527" s="57" t="str">
        <f>IF($B1527="","",YEAR($B1527)&amp;"-"&amp;IFERROR(VLOOKUP(MONTH(B1527),KEY!$AE$5:$AF$16,2,FALSE),""))</f>
        <v>2025-Q1</v>
      </c>
      <c r="D1527" s="3" t="s">
        <v>123</v>
      </c>
      <c r="E1527" s="219">
        <v>50</v>
      </c>
      <c r="F1527" s="166">
        <v>323</v>
      </c>
      <c r="G1527" s="166">
        <v>256</v>
      </c>
      <c r="H1527" s="21">
        <v>550</v>
      </c>
      <c r="I1527" s="21">
        <v>71</v>
      </c>
      <c r="J1527" s="21">
        <v>270</v>
      </c>
      <c r="K1527" s="21">
        <v>59</v>
      </c>
      <c r="L1527" s="21">
        <v>550</v>
      </c>
      <c r="M1527" s="21">
        <v>223</v>
      </c>
      <c r="N1527" s="21">
        <v>298</v>
      </c>
      <c r="O1527" s="19">
        <v>440</v>
      </c>
      <c r="P1527" s="22">
        <v>29</v>
      </c>
      <c r="Q1527" s="22">
        <v>16</v>
      </c>
      <c r="R1527" s="20"/>
      <c r="S1527" s="234">
        <f>COUNTIFS(INP_DATA!$R$5:$R$3027,S$4,INP_DATA!$D$5:$D$3027,$D1527,INP_DATA!$B$5:$B$3027,$B1527)</f>
        <v>0</v>
      </c>
      <c r="T1527" s="235">
        <f>COUNTIFS(INP_DATA!$R$5:$R$3027,T$4,INP_DATA!$D$5:$D$3027,$D1527,INP_DATA!$B$5:$B$3027,$B1527)</f>
        <v>0</v>
      </c>
    </row>
    <row r="1528" spans="1:20" x14ac:dyDescent="0.35">
      <c r="A1528" s="3" t="str">
        <f>IF(D1528="","",(VLOOKUP($D1528,KEY!$B$5:$D$74,3,FALSE)))</f>
        <v>Southern California</v>
      </c>
      <c r="B1528" s="165">
        <f t="shared" si="9"/>
        <v>45717</v>
      </c>
      <c r="C1528" s="57" t="str">
        <f>IF($B1528="","",YEAR($B1528)&amp;"-"&amp;IFERROR(VLOOKUP(MONTH(B1528),KEY!$AE$5:$AF$16,2,FALSE),""))</f>
        <v>2025-Q1</v>
      </c>
      <c r="D1528" s="3" t="s">
        <v>124</v>
      </c>
      <c r="E1528" s="219">
        <v>58</v>
      </c>
      <c r="F1528" s="166">
        <v>286</v>
      </c>
      <c r="G1528" s="166">
        <v>224</v>
      </c>
      <c r="H1528" s="21">
        <v>378</v>
      </c>
      <c r="I1528" s="21">
        <v>72</v>
      </c>
      <c r="J1528" s="21">
        <v>232</v>
      </c>
      <c r="K1528" s="21">
        <v>55</v>
      </c>
      <c r="L1528" s="21">
        <v>526</v>
      </c>
      <c r="M1528" s="21">
        <v>183</v>
      </c>
      <c r="N1528" s="21">
        <v>285</v>
      </c>
      <c r="O1528" s="19">
        <v>462</v>
      </c>
      <c r="P1528" s="22">
        <v>50</v>
      </c>
      <c r="Q1528" s="22">
        <v>34</v>
      </c>
      <c r="R1528" s="20"/>
      <c r="S1528" s="234">
        <f>COUNTIFS(INP_DATA!$R$5:$R$3027,S$4,INP_DATA!$D$5:$D$3027,$D1528,INP_DATA!$B$5:$B$3027,$B1528)</f>
        <v>0</v>
      </c>
      <c r="T1528" s="235">
        <f>COUNTIFS(INP_DATA!$R$5:$R$3027,T$4,INP_DATA!$D$5:$D$3027,$D1528,INP_DATA!$B$5:$B$3027,$B1528)</f>
        <v>0</v>
      </c>
    </row>
    <row r="1529" spans="1:20" x14ac:dyDescent="0.35">
      <c r="A1529" s="3" t="str">
        <f>IF(D1529="","",(VLOOKUP($D1529,KEY!$B$5:$D$74,3,FALSE)))</f>
        <v>Northern California</v>
      </c>
      <c r="B1529" s="165">
        <f t="shared" si="9"/>
        <v>45717</v>
      </c>
      <c r="C1529" s="57" t="str">
        <f>IF($B1529="","",YEAR($B1529)&amp;"-"&amp;IFERROR(VLOOKUP(MONTH(B1529),KEY!$AE$5:$AF$16,2,FALSE),""))</f>
        <v>2025-Q1</v>
      </c>
      <c r="D1529" s="3" t="s">
        <v>195</v>
      </c>
      <c r="E1529" s="219">
        <v>8</v>
      </c>
      <c r="F1529" s="166">
        <v>73</v>
      </c>
      <c r="G1529" s="166">
        <v>47</v>
      </c>
      <c r="H1529" s="21">
        <v>168</v>
      </c>
      <c r="I1529" s="21">
        <v>29</v>
      </c>
      <c r="J1529" s="21">
        <v>52</v>
      </c>
      <c r="K1529" s="21">
        <v>15</v>
      </c>
      <c r="L1529" s="21">
        <v>120</v>
      </c>
      <c r="M1529" s="21">
        <v>52</v>
      </c>
      <c r="N1529" s="21">
        <v>73</v>
      </c>
      <c r="O1529" s="19">
        <v>110</v>
      </c>
      <c r="P1529" s="22">
        <v>9</v>
      </c>
      <c r="Q1529" s="22">
        <v>8</v>
      </c>
      <c r="R1529" s="20"/>
      <c r="S1529" s="234">
        <f>COUNTIFS(INP_DATA!$R$5:$R$3027,S$4,INP_DATA!$D$5:$D$3027,$D1529,INP_DATA!$B$5:$B$3027,$B1529)</f>
        <v>0</v>
      </c>
      <c r="T1529" s="235">
        <f>COUNTIFS(INP_DATA!$R$5:$R$3027,T$4,INP_DATA!$D$5:$D$3027,$D1529,INP_DATA!$B$5:$B$3027,$B1529)</f>
        <v>0</v>
      </c>
    </row>
    <row r="1530" spans="1:20" x14ac:dyDescent="0.35">
      <c r="A1530" s="3" t="str">
        <f>IF(D1530="","",(VLOOKUP($D1530,KEY!$B$5:$D$74,3,FALSE)))</f>
        <v>Northern California</v>
      </c>
      <c r="B1530" s="165">
        <f t="shared" si="9"/>
        <v>45717</v>
      </c>
      <c r="C1530" s="57" t="str">
        <f>IF($B1530="","",YEAR($B1530)&amp;"-"&amp;IFERROR(VLOOKUP(MONTH(B1530),KEY!$AE$5:$AF$16,2,FALSE),""))</f>
        <v>2025-Q1</v>
      </c>
      <c r="D1530" s="3" t="s">
        <v>125</v>
      </c>
      <c r="E1530" s="219">
        <v>43</v>
      </c>
      <c r="F1530" s="166">
        <v>299</v>
      </c>
      <c r="G1530" s="166">
        <v>274</v>
      </c>
      <c r="H1530" s="21">
        <v>512</v>
      </c>
      <c r="I1530" s="21">
        <v>68</v>
      </c>
      <c r="J1530" s="21">
        <v>125</v>
      </c>
      <c r="K1530" s="21">
        <v>31</v>
      </c>
      <c r="L1530" s="21">
        <v>514</v>
      </c>
      <c r="M1530" s="21">
        <v>146</v>
      </c>
      <c r="N1530" s="21">
        <v>310</v>
      </c>
      <c r="O1530" s="19">
        <v>418</v>
      </c>
      <c r="P1530" s="22">
        <v>15</v>
      </c>
      <c r="Q1530" s="22">
        <v>13</v>
      </c>
      <c r="R1530" s="20"/>
      <c r="S1530" s="234">
        <f>COUNTIFS(INP_DATA!$R$5:$R$3027,S$4,INP_DATA!$D$5:$D$3027,$D1530,INP_DATA!$B$5:$B$3027,$B1530)</f>
        <v>0</v>
      </c>
      <c r="T1530" s="235">
        <f>COUNTIFS(INP_DATA!$R$5:$R$3027,T$4,INP_DATA!$D$5:$D$3027,$D1530,INP_DATA!$B$5:$B$3027,$B1530)</f>
        <v>0</v>
      </c>
    </row>
    <row r="1531" spans="1:20" x14ac:dyDescent="0.35">
      <c r="A1531" s="3" t="str">
        <f>IF(D1531="","",(VLOOKUP($D1531,KEY!$B$5:$D$74,3,FALSE)))</f>
        <v>Orange County</v>
      </c>
      <c r="B1531" s="165">
        <f t="shared" si="9"/>
        <v>45717</v>
      </c>
      <c r="C1531" s="57" t="str">
        <f>IF($B1531="","",YEAR($B1531)&amp;"-"&amp;IFERROR(VLOOKUP(MONTH(B1531),KEY!$AE$5:$AF$16,2,FALSE),""))</f>
        <v>2025-Q1</v>
      </c>
      <c r="D1531" s="3" t="s">
        <v>126</v>
      </c>
      <c r="E1531" s="219">
        <v>82</v>
      </c>
      <c r="F1531" s="166">
        <v>538</v>
      </c>
      <c r="G1531" s="166">
        <v>485</v>
      </c>
      <c r="H1531" s="21">
        <v>696</v>
      </c>
      <c r="I1531" s="21">
        <v>117</v>
      </c>
      <c r="J1531" s="21">
        <v>489</v>
      </c>
      <c r="K1531" s="21">
        <v>149</v>
      </c>
      <c r="L1531" s="21">
        <v>836</v>
      </c>
      <c r="M1531" s="21">
        <v>337</v>
      </c>
      <c r="N1531" s="21">
        <v>546</v>
      </c>
      <c r="O1531" s="19">
        <v>594</v>
      </c>
      <c r="P1531" s="22">
        <v>118</v>
      </c>
      <c r="Q1531" s="22">
        <v>77</v>
      </c>
      <c r="R1531" s="20"/>
      <c r="S1531" s="234">
        <f>COUNTIFS(INP_DATA!$R$5:$R$3027,S$4,INP_DATA!$D$5:$D$3027,$D1531,INP_DATA!$B$5:$B$3027,$B1531)</f>
        <v>0</v>
      </c>
      <c r="T1531" s="235">
        <f>COUNTIFS(INP_DATA!$R$5:$R$3027,T$4,INP_DATA!$D$5:$D$3027,$D1531,INP_DATA!$B$5:$B$3027,$B1531)</f>
        <v>0</v>
      </c>
    </row>
    <row r="1532" spans="1:20" x14ac:dyDescent="0.35">
      <c r="A1532" s="3" t="str">
        <f>IF(D1532="","",(VLOOKUP($D1532,KEY!$B$5:$D$74,3,FALSE)))</f>
        <v>Orange County</v>
      </c>
      <c r="B1532" s="165">
        <f t="shared" si="9"/>
        <v>45717</v>
      </c>
      <c r="C1532" s="57" t="str">
        <f>IF($B1532="","",YEAR($B1532)&amp;"-"&amp;IFERROR(VLOOKUP(MONTH(B1532),KEY!$AE$5:$AF$16,2,FALSE),""))</f>
        <v>2025-Q1</v>
      </c>
      <c r="D1532" s="3" t="s">
        <v>127</v>
      </c>
      <c r="E1532" s="219">
        <v>14</v>
      </c>
      <c r="F1532" s="166">
        <v>52</v>
      </c>
      <c r="G1532" s="166">
        <v>48</v>
      </c>
      <c r="H1532" s="21">
        <v>70</v>
      </c>
      <c r="I1532" s="21">
        <v>18</v>
      </c>
      <c r="J1532" s="21">
        <v>34</v>
      </c>
      <c r="K1532" s="21">
        <v>6</v>
      </c>
      <c r="L1532" s="21">
        <v>68</v>
      </c>
      <c r="M1532" s="21">
        <v>37</v>
      </c>
      <c r="N1532" s="21">
        <v>54</v>
      </c>
      <c r="O1532" s="19">
        <v>77</v>
      </c>
      <c r="P1532" s="22">
        <v>7</v>
      </c>
      <c r="Q1532" s="22">
        <v>5</v>
      </c>
      <c r="R1532" s="20"/>
      <c r="S1532" s="234">
        <f>COUNTIFS(INP_DATA!$R$5:$R$3027,S$4,INP_DATA!$D$5:$D$3027,$D1532,INP_DATA!$B$5:$B$3027,$B1532)</f>
        <v>0</v>
      </c>
      <c r="T1532" s="235">
        <f>COUNTIFS(INP_DATA!$R$5:$R$3027,T$4,INP_DATA!$D$5:$D$3027,$D1532,INP_DATA!$B$5:$B$3027,$B1532)</f>
        <v>0</v>
      </c>
    </row>
    <row r="1533" spans="1:20" x14ac:dyDescent="0.35">
      <c r="A1533" s="3" t="str">
        <f>IF(D1533="","",(VLOOKUP($D1533,KEY!$B$5:$D$74,3,FALSE)))</f>
        <v>Wisconsin</v>
      </c>
      <c r="B1533" s="165">
        <f t="shared" si="9"/>
        <v>45717</v>
      </c>
      <c r="C1533" s="57" t="str">
        <f>IF($B1533="","",YEAR($B1533)&amp;"-"&amp;IFERROR(VLOOKUP(MONTH(B1533),KEY!$AE$5:$AF$16,2,FALSE),""))</f>
        <v>2025-Q1</v>
      </c>
      <c r="D1533" s="3" t="s">
        <v>201</v>
      </c>
      <c r="E1533" s="219">
        <v>25</v>
      </c>
      <c r="F1533" s="166">
        <v>289</v>
      </c>
      <c r="G1533" s="166">
        <v>243</v>
      </c>
      <c r="H1533" s="21">
        <v>377</v>
      </c>
      <c r="I1533" s="21">
        <v>80</v>
      </c>
      <c r="J1533" s="21">
        <v>210</v>
      </c>
      <c r="K1533" s="21">
        <v>43</v>
      </c>
      <c r="L1533" s="21">
        <v>315</v>
      </c>
      <c r="M1533" s="21">
        <v>139</v>
      </c>
      <c r="N1533" s="21">
        <v>289</v>
      </c>
      <c r="O1533" s="19">
        <v>308</v>
      </c>
      <c r="P1533" s="22">
        <v>21</v>
      </c>
      <c r="Q1533" s="22">
        <v>16</v>
      </c>
      <c r="R1533" s="20"/>
      <c r="S1533" s="234">
        <f>COUNTIFS(INP_DATA!$R$5:$R$3027,S$4,INP_DATA!$D$5:$D$3027,$D1533,INP_DATA!$B$5:$B$3027,$B1533)</f>
        <v>0</v>
      </c>
      <c r="T1533" s="235">
        <f>COUNTIFS(INP_DATA!$R$5:$R$3027,T$4,INP_DATA!$D$5:$D$3027,$D1533,INP_DATA!$B$5:$B$3027,$B1533)</f>
        <v>0</v>
      </c>
    </row>
    <row r="1534" spans="1:20" x14ac:dyDescent="0.35">
      <c r="A1534" s="3" t="e">
        <f>IF(D1534="","",(VLOOKUP($D1534,KEY!$B$5:$D$74,3,FALSE)))</f>
        <v>#N/A</v>
      </c>
      <c r="B1534" s="165">
        <f t="shared" si="9"/>
        <v>45717</v>
      </c>
      <c r="C1534" s="57" t="str">
        <f>IF($B1534="","",YEAR($B1534)&amp;"-"&amp;IFERROR(VLOOKUP(MONTH(B1534),KEY!$AE$5:$AF$16,2,FALSE),""))</f>
        <v>2025-Q1</v>
      </c>
      <c r="D1534" s="3" t="s">
        <v>202</v>
      </c>
      <c r="E1534" s="219">
        <v>1</v>
      </c>
      <c r="F1534" s="166">
        <v>38</v>
      </c>
      <c r="G1534" s="166">
        <v>37</v>
      </c>
      <c r="H1534" s="21">
        <v>102</v>
      </c>
      <c r="I1534" s="21">
        <v>19</v>
      </c>
      <c r="J1534" s="21">
        <v>32</v>
      </c>
      <c r="K1534" s="21">
        <v>11</v>
      </c>
      <c r="L1534" s="21">
        <v>56</v>
      </c>
      <c r="M1534" s="21">
        <v>33</v>
      </c>
      <c r="N1534" s="21">
        <v>39</v>
      </c>
      <c r="O1534" s="19">
        <v>66</v>
      </c>
      <c r="P1534" s="22">
        <v>3</v>
      </c>
      <c r="Q1534" s="22">
        <v>2</v>
      </c>
      <c r="R1534" s="20"/>
      <c r="S1534" s="234">
        <f>COUNTIFS(INP_DATA!$R$5:$R$3027,S$4,INP_DATA!$D$5:$D$3027,$D1534,INP_DATA!$B$5:$B$3027,$B1534)</f>
        <v>0</v>
      </c>
      <c r="T1534" s="235">
        <f>COUNTIFS(INP_DATA!$R$5:$R$3027,T$4,INP_DATA!$D$5:$D$3027,$D1534,INP_DATA!$B$5:$B$3027,$B1534)</f>
        <v>0</v>
      </c>
    </row>
    <row r="1535" spans="1:20" x14ac:dyDescent="0.35">
      <c r="A1535" s="3" t="str">
        <f>IF(D1535="","",(VLOOKUP($D1535,KEY!$B$5:$D$74,3,FALSE)))</f>
        <v>Texas</v>
      </c>
      <c r="B1535" s="165">
        <f t="shared" si="9"/>
        <v>45717</v>
      </c>
      <c r="C1535" s="57" t="str">
        <f>IF($B1535="","",YEAR($B1535)&amp;"-"&amp;IFERROR(VLOOKUP(MONTH(B1535),KEY!$AE$5:$AF$16,2,FALSE),""))</f>
        <v>2025-Q1</v>
      </c>
      <c r="D1535" s="3" t="s">
        <v>198</v>
      </c>
      <c r="E1535" s="219">
        <v>3</v>
      </c>
      <c r="F1535" s="166">
        <v>72</v>
      </c>
      <c r="G1535" s="166">
        <v>38</v>
      </c>
      <c r="H1535" s="21">
        <v>246</v>
      </c>
      <c r="I1535" s="21">
        <v>14</v>
      </c>
      <c r="J1535" s="21">
        <v>95</v>
      </c>
      <c r="K1535" s="21">
        <v>14</v>
      </c>
      <c r="L1535" s="21">
        <v>80</v>
      </c>
      <c r="M1535" s="21">
        <v>28</v>
      </c>
      <c r="N1535" s="21">
        <v>71</v>
      </c>
      <c r="O1535" s="19">
        <v>154</v>
      </c>
      <c r="P1535" s="22">
        <v>1</v>
      </c>
      <c r="Q1535" s="22">
        <v>0</v>
      </c>
      <c r="R1535" s="20"/>
      <c r="S1535" s="234">
        <f>COUNTIFS(INP_DATA!$R$5:$R$3027,S$4,INP_DATA!$D$5:$D$3027,$D1535,INP_DATA!$B$5:$B$3027,$B1535)</f>
        <v>0</v>
      </c>
      <c r="T1535" s="235">
        <f>COUNTIFS(INP_DATA!$R$5:$R$3027,T$4,INP_DATA!$D$5:$D$3027,$D1535,INP_DATA!$B$5:$B$3027,$B1535)</f>
        <v>0</v>
      </c>
    </row>
    <row r="1536" spans="1:20" x14ac:dyDescent="0.35">
      <c r="A1536" s="3" t="str">
        <f>IF(D1536="","",(VLOOKUP($D1536,KEY!$B$5:$D$74,3,FALSE)))</f>
        <v>Texas</v>
      </c>
      <c r="B1536" s="165">
        <f t="shared" si="9"/>
        <v>45717</v>
      </c>
      <c r="C1536" s="57" t="str">
        <f>IF($B1536="","",YEAR($B1536)&amp;"-"&amp;IFERROR(VLOOKUP(MONTH(B1536),KEY!$AE$5:$AF$16,2,FALSE),""))</f>
        <v>2025-Q1</v>
      </c>
      <c r="D1536" s="3" t="s">
        <v>128</v>
      </c>
      <c r="E1536" s="219">
        <v>37</v>
      </c>
      <c r="F1536" s="166">
        <v>311</v>
      </c>
      <c r="G1536" s="166">
        <v>249</v>
      </c>
      <c r="H1536" s="21">
        <v>817</v>
      </c>
      <c r="I1536" s="21">
        <v>114</v>
      </c>
      <c r="J1536" s="21">
        <v>229</v>
      </c>
      <c r="K1536" s="21">
        <v>51</v>
      </c>
      <c r="L1536" s="21">
        <v>464</v>
      </c>
      <c r="M1536" s="21">
        <v>162</v>
      </c>
      <c r="N1536" s="21">
        <v>313</v>
      </c>
      <c r="O1536" s="19">
        <v>308</v>
      </c>
      <c r="P1536" s="22">
        <v>13</v>
      </c>
      <c r="Q1536" s="22">
        <v>8</v>
      </c>
      <c r="R1536" s="20"/>
      <c r="S1536" s="234">
        <f>COUNTIFS(INP_DATA!$R$5:$R$3027,S$4,INP_DATA!$D$5:$D$3027,$D1536,INP_DATA!$B$5:$B$3027,$B1536)</f>
        <v>0</v>
      </c>
      <c r="T1536" s="235">
        <f>COUNTIFS(INP_DATA!$R$5:$R$3027,T$4,INP_DATA!$D$5:$D$3027,$D1536,INP_DATA!$B$5:$B$3027,$B1536)</f>
        <v>0</v>
      </c>
    </row>
    <row r="1537" spans="1:20" x14ac:dyDescent="0.35">
      <c r="A1537" s="3" t="str">
        <f>IF(D1537="","",(VLOOKUP($D1537,KEY!$B$5:$D$74,3,FALSE)))</f>
        <v>Northern California</v>
      </c>
      <c r="B1537" s="165">
        <f t="shared" si="9"/>
        <v>45717</v>
      </c>
      <c r="C1537" s="57" t="str">
        <f>IF($B1537="","",YEAR($B1537)&amp;"-"&amp;IFERROR(VLOOKUP(MONTH(B1537),KEY!$AE$5:$AF$16,2,FALSE),""))</f>
        <v>2025-Q1</v>
      </c>
      <c r="D1537" s="3" t="s">
        <v>129</v>
      </c>
      <c r="E1537" s="219">
        <v>27</v>
      </c>
      <c r="F1537" s="166">
        <v>213</v>
      </c>
      <c r="G1537" s="166">
        <v>214</v>
      </c>
      <c r="H1537" s="21">
        <v>343</v>
      </c>
      <c r="I1537" s="21">
        <v>42</v>
      </c>
      <c r="J1537" s="21">
        <v>183</v>
      </c>
      <c r="K1537" s="21">
        <v>38</v>
      </c>
      <c r="L1537" s="21">
        <v>307</v>
      </c>
      <c r="M1537" s="21">
        <v>88</v>
      </c>
      <c r="N1537" s="21">
        <v>213</v>
      </c>
      <c r="O1537" s="19">
        <v>352</v>
      </c>
      <c r="P1537" s="22">
        <v>11</v>
      </c>
      <c r="Q1537" s="22">
        <v>8</v>
      </c>
      <c r="R1537" s="20"/>
      <c r="S1537" s="234">
        <f>COUNTIFS(INP_DATA!$R$5:$R$3027,S$4,INP_DATA!$D$5:$D$3027,$D1537,INP_DATA!$B$5:$B$3027,$B1537)</f>
        <v>0</v>
      </c>
      <c r="T1537" s="235">
        <f>COUNTIFS(INP_DATA!$R$5:$R$3027,T$4,INP_DATA!$D$5:$D$3027,$D1537,INP_DATA!$B$5:$B$3027,$B1537)</f>
        <v>0</v>
      </c>
    </row>
    <row r="1538" spans="1:20" x14ac:dyDescent="0.35">
      <c r="A1538" s="3" t="str">
        <f>IF(D1538="","",(VLOOKUP($D1538,KEY!$B$5:$D$74,3,FALSE)))</f>
        <v>Southern California</v>
      </c>
      <c r="B1538" s="165">
        <f t="shared" si="9"/>
        <v>45717</v>
      </c>
      <c r="C1538" s="57" t="str">
        <f>IF($B1538="","",YEAR($B1538)&amp;"-"&amp;IFERROR(VLOOKUP(MONTH(B1538),KEY!$AE$5:$AF$16,2,FALSE),""))</f>
        <v>2025-Q1</v>
      </c>
      <c r="D1538" s="3" t="s">
        <v>130</v>
      </c>
      <c r="E1538" s="219">
        <v>42</v>
      </c>
      <c r="F1538" s="166">
        <v>230</v>
      </c>
      <c r="G1538" s="166">
        <v>142</v>
      </c>
      <c r="H1538" s="21">
        <v>517</v>
      </c>
      <c r="I1538" s="21">
        <v>61</v>
      </c>
      <c r="J1538" s="21">
        <v>229</v>
      </c>
      <c r="K1538" s="21">
        <v>40</v>
      </c>
      <c r="L1538" s="21">
        <v>265</v>
      </c>
      <c r="M1538" s="21">
        <v>95</v>
      </c>
      <c r="N1538" s="21">
        <v>236</v>
      </c>
      <c r="O1538" s="19">
        <v>220</v>
      </c>
      <c r="P1538" s="22">
        <v>19</v>
      </c>
      <c r="Q1538" s="22">
        <v>14</v>
      </c>
      <c r="R1538" s="20"/>
      <c r="S1538" s="234">
        <f>COUNTIFS(INP_DATA!$R$5:$R$3027,S$4,INP_DATA!$D$5:$D$3027,$D1538,INP_DATA!$B$5:$B$3027,$B1538)</f>
        <v>0</v>
      </c>
      <c r="T1538" s="235">
        <f>COUNTIFS(INP_DATA!$R$5:$R$3027,T$4,INP_DATA!$D$5:$D$3027,$D1538,INP_DATA!$B$5:$B$3027,$B1538)</f>
        <v>0</v>
      </c>
    </row>
    <row r="1539" spans="1:20" x14ac:dyDescent="0.35">
      <c r="A1539" s="3" t="e">
        <f>IF(D1539="","",(VLOOKUP($D1539,KEY!$B$5:$D$74,3,FALSE)))</f>
        <v>#N/A</v>
      </c>
      <c r="B1539" s="165">
        <f t="shared" si="9"/>
        <v>45717</v>
      </c>
      <c r="C1539" s="57" t="str">
        <f>IF($B1539="","",YEAR($B1539)&amp;"-"&amp;IFERROR(VLOOKUP(MONTH(B1539),KEY!$AE$5:$AF$16,2,FALSE),""))</f>
        <v>2025-Q1</v>
      </c>
      <c r="D1539" s="3" t="s">
        <v>203</v>
      </c>
      <c r="E1539" s="219">
        <v>7</v>
      </c>
      <c r="F1539" s="166">
        <v>139</v>
      </c>
      <c r="G1539" s="166">
        <v>128</v>
      </c>
      <c r="H1539" s="21">
        <v>198</v>
      </c>
      <c r="I1539" s="21">
        <v>39</v>
      </c>
      <c r="J1539" s="21">
        <v>47</v>
      </c>
      <c r="K1539" s="21">
        <v>17</v>
      </c>
      <c r="L1539" s="21">
        <v>106</v>
      </c>
      <c r="M1539" s="21">
        <v>69</v>
      </c>
      <c r="N1539" s="21">
        <v>138</v>
      </c>
      <c r="O1539" s="19">
        <v>154</v>
      </c>
      <c r="P1539" s="22">
        <v>15</v>
      </c>
      <c r="Q1539" s="22">
        <v>9</v>
      </c>
      <c r="R1539" s="20"/>
      <c r="S1539" s="234">
        <f>COUNTIFS(INP_DATA!$R$5:$R$3027,S$4,INP_DATA!$D$5:$D$3027,$D1539,INP_DATA!$B$5:$B$3027,$B1539)</f>
        <v>0</v>
      </c>
      <c r="T1539" s="235">
        <f>COUNTIFS(INP_DATA!$R$5:$R$3027,T$4,INP_DATA!$D$5:$D$3027,$D1539,INP_DATA!$B$5:$B$3027,$B1539)</f>
        <v>0</v>
      </c>
    </row>
    <row r="1540" spans="1:20" x14ac:dyDescent="0.35">
      <c r="A1540" s="3">
        <f>IF(D1540="","",(VLOOKUP($D1540,KEY!$B$5:$D$74,3,FALSE)))</f>
        <v>0</v>
      </c>
      <c r="B1540" s="165">
        <f t="shared" si="9"/>
        <v>45717</v>
      </c>
      <c r="C1540" s="57" t="str">
        <f>IF($B1540="","",YEAR($B1540)&amp;"-"&amp;IFERROR(VLOOKUP(MONTH(B1540),KEY!$AE$5:$AF$16,2,FALSE),""))</f>
        <v>2025-Q1</v>
      </c>
      <c r="D1540" s="3" t="s">
        <v>131</v>
      </c>
      <c r="E1540" s="219">
        <v>53</v>
      </c>
      <c r="F1540" s="166">
        <v>189</v>
      </c>
      <c r="G1540" s="166">
        <v>164</v>
      </c>
      <c r="H1540" s="21">
        <v>221</v>
      </c>
      <c r="I1540" s="21">
        <v>44</v>
      </c>
      <c r="J1540" s="21">
        <v>144</v>
      </c>
      <c r="K1540" s="21">
        <v>40</v>
      </c>
      <c r="L1540" s="21">
        <v>332</v>
      </c>
      <c r="M1540" s="21">
        <v>101</v>
      </c>
      <c r="N1540" s="21">
        <v>208</v>
      </c>
      <c r="O1540" s="19">
        <v>220</v>
      </c>
      <c r="P1540" s="22">
        <v>6</v>
      </c>
      <c r="Q1540" s="22">
        <v>5</v>
      </c>
      <c r="R1540" s="20"/>
      <c r="S1540" s="234">
        <f>COUNTIFS(INP_DATA!$R$5:$R$3027,S$4,INP_DATA!$D$5:$D$3027,$D1540,INP_DATA!$B$5:$B$3027,$B1540)</f>
        <v>0</v>
      </c>
      <c r="T1540" s="235">
        <f>COUNTIFS(INP_DATA!$R$5:$R$3027,T$4,INP_DATA!$D$5:$D$3027,$D1540,INP_DATA!$B$5:$B$3027,$B1540)</f>
        <v>0</v>
      </c>
    </row>
    <row r="1541" spans="1:20" x14ac:dyDescent="0.35">
      <c r="A1541" s="3" t="e">
        <f>IF(D1541="","",(VLOOKUP($D1541,KEY!$B$5:$D$74,3,FALSE)))</f>
        <v>#N/A</v>
      </c>
      <c r="B1541" s="165">
        <f t="shared" si="9"/>
        <v>45717</v>
      </c>
      <c r="C1541" s="57" t="str">
        <f>IF($B1541="","",YEAR($B1541)&amp;"-"&amp;IFERROR(VLOOKUP(MONTH(B1541),KEY!$AE$5:$AF$16,2,FALSE),""))</f>
        <v>2025-Q1</v>
      </c>
      <c r="D1541" s="3" t="s">
        <v>134</v>
      </c>
      <c r="E1541" s="219">
        <v>12</v>
      </c>
      <c r="F1541" s="166">
        <v>49</v>
      </c>
      <c r="G1541" s="166">
        <v>32</v>
      </c>
      <c r="H1541" s="21">
        <v>78</v>
      </c>
      <c r="I1541" s="21">
        <v>13</v>
      </c>
      <c r="J1541" s="21">
        <v>48</v>
      </c>
      <c r="K1541" s="21">
        <v>13</v>
      </c>
      <c r="L1541" s="21">
        <v>78</v>
      </c>
      <c r="M1541" s="21">
        <v>29</v>
      </c>
      <c r="N1541" s="21">
        <v>52</v>
      </c>
      <c r="O1541" s="19">
        <v>66</v>
      </c>
      <c r="P1541" s="22">
        <v>14</v>
      </c>
      <c r="Q1541" s="22">
        <v>10</v>
      </c>
      <c r="R1541" s="20"/>
      <c r="S1541" s="234">
        <f>COUNTIFS(INP_DATA!$R$5:$R$3027,S$4,INP_DATA!$D$5:$D$3027,$D1541,INP_DATA!$B$5:$B$3027,$B1541)</f>
        <v>0</v>
      </c>
      <c r="T1541" s="235">
        <f>COUNTIFS(INP_DATA!$R$5:$R$3027,T$4,INP_DATA!$D$5:$D$3027,$D1541,INP_DATA!$B$5:$B$3027,$B1541)</f>
        <v>0</v>
      </c>
    </row>
    <row r="1542" spans="1:20" x14ac:dyDescent="0.35">
      <c r="A1542" s="3" t="str">
        <f>IF(D1542="","",(VLOOKUP($D1542,KEY!$B$5:$D$74,3,FALSE)))</f>
        <v>Southern California</v>
      </c>
      <c r="B1542" s="165">
        <f t="shared" si="9"/>
        <v>45717</v>
      </c>
      <c r="C1542" s="57" t="str">
        <f>IF($B1542="","",YEAR($B1542)&amp;"-"&amp;IFERROR(VLOOKUP(MONTH(B1542),KEY!$AE$5:$AF$16,2,FALSE),""))</f>
        <v>2025-Q1</v>
      </c>
      <c r="D1542" s="3" t="s">
        <v>135</v>
      </c>
      <c r="E1542" s="219">
        <v>29</v>
      </c>
      <c r="F1542" s="166">
        <v>226</v>
      </c>
      <c r="G1542" s="166">
        <v>253</v>
      </c>
      <c r="H1542" s="21">
        <v>487</v>
      </c>
      <c r="I1542" s="21">
        <v>75</v>
      </c>
      <c r="J1542" s="21">
        <v>298</v>
      </c>
      <c r="K1542" s="21">
        <v>73</v>
      </c>
      <c r="L1542" s="21">
        <v>454</v>
      </c>
      <c r="M1542" s="21">
        <v>117</v>
      </c>
      <c r="N1542" s="21">
        <v>228</v>
      </c>
      <c r="O1542" s="19">
        <v>286</v>
      </c>
      <c r="P1542" s="22">
        <v>18</v>
      </c>
      <c r="Q1542" s="22">
        <v>13</v>
      </c>
      <c r="R1542" s="20"/>
      <c r="S1542" s="234">
        <f>COUNTIFS(INP_DATA!$R$5:$R$3027,S$4,INP_DATA!$D$5:$D$3027,$D1542,INP_DATA!$B$5:$B$3027,$B1542)</f>
        <v>0</v>
      </c>
      <c r="T1542" s="235">
        <f>COUNTIFS(INP_DATA!$R$5:$R$3027,T$4,INP_DATA!$D$5:$D$3027,$D1542,INP_DATA!$B$5:$B$3027,$B1542)</f>
        <v>0</v>
      </c>
    </row>
    <row r="1543" spans="1:20" x14ac:dyDescent="0.35">
      <c r="A1543" s="3" t="str">
        <f>IF(D1543="","",(VLOOKUP($D1543,KEY!$B$5:$D$74,3,FALSE)))</f>
        <v>Arizona</v>
      </c>
      <c r="B1543" s="165">
        <f t="shared" si="9"/>
        <v>45717</v>
      </c>
      <c r="C1543" s="57" t="str">
        <f>IF($B1543="","",YEAR($B1543)&amp;"-"&amp;IFERROR(VLOOKUP(MONTH(B1543),KEY!$AE$5:$AF$16,2,FALSE),""))</f>
        <v>2025-Q1</v>
      </c>
      <c r="D1543" s="3" t="s">
        <v>204</v>
      </c>
      <c r="E1543" s="219">
        <v>4</v>
      </c>
      <c r="F1543" s="166">
        <v>11</v>
      </c>
      <c r="G1543" s="166">
        <v>0</v>
      </c>
      <c r="H1543" s="21">
        <v>18</v>
      </c>
      <c r="I1543" s="21">
        <v>2</v>
      </c>
      <c r="J1543" s="21">
        <v>54</v>
      </c>
      <c r="K1543" s="21">
        <v>4</v>
      </c>
      <c r="L1543" s="21">
        <v>36</v>
      </c>
      <c r="M1543" s="21">
        <v>5</v>
      </c>
      <c r="N1543" s="21">
        <v>12</v>
      </c>
      <c r="O1543" s="19">
        <v>22</v>
      </c>
      <c r="P1543" s="22">
        <v>0</v>
      </c>
      <c r="Q1543" s="22">
        <v>0</v>
      </c>
      <c r="R1543" s="20"/>
      <c r="S1543" s="234">
        <f>COUNTIFS(INP_DATA!$R$5:$R$3027,S$4,INP_DATA!$D$5:$D$3027,$D1543,INP_DATA!$B$5:$B$3027,$B1543)</f>
        <v>0</v>
      </c>
      <c r="T1543" s="235">
        <f>COUNTIFS(INP_DATA!$R$5:$R$3027,T$4,INP_DATA!$D$5:$D$3027,$D1543,INP_DATA!$B$5:$B$3027,$B1543)</f>
        <v>0</v>
      </c>
    </row>
    <row r="1544" spans="1:20" x14ac:dyDescent="0.35">
      <c r="A1544" s="3" t="str">
        <f>IF(D1544="","",(VLOOKUP($D1544,KEY!$B$5:$D$74,3,FALSE)))</f>
        <v>Arizona</v>
      </c>
      <c r="B1544" s="165">
        <f t="shared" si="9"/>
        <v>45717</v>
      </c>
      <c r="C1544" s="57" t="str">
        <f>IF($B1544="","",YEAR($B1544)&amp;"-"&amp;IFERROR(VLOOKUP(MONTH(B1544),KEY!$AE$5:$AF$16,2,FALSE),""))</f>
        <v>2025-Q1</v>
      </c>
      <c r="D1544" s="3" t="s">
        <v>196</v>
      </c>
      <c r="E1544" s="219">
        <v>11</v>
      </c>
      <c r="F1544" s="166">
        <v>44</v>
      </c>
      <c r="G1544" s="166">
        <v>39</v>
      </c>
      <c r="H1544" s="21">
        <v>89</v>
      </c>
      <c r="I1544" s="21">
        <v>12</v>
      </c>
      <c r="J1544" s="21">
        <v>49</v>
      </c>
      <c r="K1544" s="21">
        <v>11</v>
      </c>
      <c r="L1544" s="21">
        <v>105</v>
      </c>
      <c r="M1544" s="21">
        <v>40</v>
      </c>
      <c r="N1544" s="21">
        <v>44</v>
      </c>
      <c r="O1544" s="19">
        <v>132</v>
      </c>
      <c r="P1544" s="22">
        <v>4</v>
      </c>
      <c r="Q1544" s="22">
        <v>3</v>
      </c>
      <c r="R1544" s="20"/>
      <c r="S1544" s="234">
        <f>COUNTIFS(INP_DATA!$R$5:$R$3027,S$4,INP_DATA!$D$5:$D$3027,$D1544,INP_DATA!$B$5:$B$3027,$B1544)</f>
        <v>0</v>
      </c>
      <c r="T1544" s="235">
        <f>COUNTIFS(INP_DATA!$R$5:$R$3027,T$4,INP_DATA!$D$5:$D$3027,$D1544,INP_DATA!$B$5:$B$3027,$B1544)</f>
        <v>0</v>
      </c>
    </row>
    <row r="1545" spans="1:20" x14ac:dyDescent="0.35">
      <c r="A1545" s="3" t="str">
        <f>IF(D1545="","",(VLOOKUP($D1545,KEY!$B$5:$D$74,3,FALSE)))</f>
        <v>Arizona</v>
      </c>
      <c r="B1545" s="165">
        <f t="shared" si="9"/>
        <v>45717</v>
      </c>
      <c r="C1545" s="57" t="str">
        <f>IF($B1545="","",YEAR($B1545)&amp;"-"&amp;IFERROR(VLOOKUP(MONTH(B1545),KEY!$AE$5:$AF$16,2,FALSE),""))</f>
        <v>2025-Q1</v>
      </c>
      <c r="D1545" s="3" t="s">
        <v>197</v>
      </c>
      <c r="E1545" s="219">
        <v>20</v>
      </c>
      <c r="F1545" s="166">
        <v>109</v>
      </c>
      <c r="G1545" s="166">
        <v>115</v>
      </c>
      <c r="H1545" s="21">
        <v>150</v>
      </c>
      <c r="I1545" s="21">
        <v>23</v>
      </c>
      <c r="J1545" s="21">
        <v>85</v>
      </c>
      <c r="K1545" s="21">
        <v>18</v>
      </c>
      <c r="L1545" s="21">
        <v>202</v>
      </c>
      <c r="M1545" s="21">
        <v>74</v>
      </c>
      <c r="N1545" s="21">
        <v>117</v>
      </c>
      <c r="O1545" s="19">
        <v>220</v>
      </c>
      <c r="P1545" s="22">
        <v>3</v>
      </c>
      <c r="Q1545" s="22">
        <v>2</v>
      </c>
      <c r="R1545" s="20"/>
      <c r="S1545" s="234">
        <f>COUNTIFS(INP_DATA!$R$5:$R$3027,S$4,INP_DATA!$D$5:$D$3027,$D1545,INP_DATA!$B$5:$B$3027,$B1545)</f>
        <v>0</v>
      </c>
      <c r="T1545" s="235">
        <f>COUNTIFS(INP_DATA!$R$5:$R$3027,T$4,INP_DATA!$D$5:$D$3027,$D1545,INP_DATA!$B$5:$B$3027,$B1545)</f>
        <v>0</v>
      </c>
    </row>
    <row r="1546" spans="1:20" x14ac:dyDescent="0.35">
      <c r="A1546" s="3" t="str">
        <f>IF(D1546="","",(VLOOKUP($D1546,KEY!$B$5:$D$74,3,FALSE)))</f>
        <v>Texas</v>
      </c>
      <c r="B1546" s="165">
        <f t="shared" si="9"/>
        <v>45717</v>
      </c>
      <c r="C1546" s="57" t="str">
        <f>IF($B1546="","",YEAR($B1546)&amp;"-"&amp;IFERROR(VLOOKUP(MONTH(B1546),KEY!$AE$5:$AF$16,2,FALSE),""))</f>
        <v>2025-Q1</v>
      </c>
      <c r="D1546" s="3" t="s">
        <v>136</v>
      </c>
      <c r="E1546" s="219">
        <v>80</v>
      </c>
      <c r="F1546" s="166">
        <v>296</v>
      </c>
      <c r="G1546" s="166">
        <v>306</v>
      </c>
      <c r="H1546" s="21">
        <v>525</v>
      </c>
      <c r="I1546" s="21">
        <v>77</v>
      </c>
      <c r="J1546" s="21">
        <v>312</v>
      </c>
      <c r="K1546" s="21">
        <v>34</v>
      </c>
      <c r="L1546" s="21">
        <v>431</v>
      </c>
      <c r="M1546" s="21">
        <v>177</v>
      </c>
      <c r="N1546" s="21">
        <v>313</v>
      </c>
      <c r="O1546" s="19">
        <v>330</v>
      </c>
      <c r="P1546" s="22">
        <v>29</v>
      </c>
      <c r="Q1546" s="22">
        <v>23</v>
      </c>
      <c r="R1546" s="20"/>
      <c r="S1546" s="234">
        <f>COUNTIFS(INP_DATA!$R$5:$R$3027,S$4,INP_DATA!$D$5:$D$3027,$D1546,INP_DATA!$B$5:$B$3027,$B1546)</f>
        <v>0</v>
      </c>
      <c r="T1546" s="235">
        <f>COUNTIFS(INP_DATA!$R$5:$R$3027,T$4,INP_DATA!$D$5:$D$3027,$D1546,INP_DATA!$B$5:$B$3027,$B1546)</f>
        <v>0</v>
      </c>
    </row>
    <row r="1547" spans="1:20" x14ac:dyDescent="0.35">
      <c r="A1547" s="3" t="str">
        <f>IF(D1547="","",(VLOOKUP($D1547,KEY!$B$5:$D$74,3,FALSE)))</f>
        <v>Arizona</v>
      </c>
      <c r="B1547" s="165">
        <f t="shared" si="9"/>
        <v>45717</v>
      </c>
      <c r="C1547" s="57" t="str">
        <f>IF($B1547="","",YEAR($B1547)&amp;"-"&amp;IFERROR(VLOOKUP(MONTH(B1547),KEY!$AE$5:$AF$16,2,FALSE),""))</f>
        <v>2025-Q1</v>
      </c>
      <c r="D1547" s="3" t="s">
        <v>137</v>
      </c>
      <c r="E1547" s="219">
        <v>10</v>
      </c>
      <c r="F1547" s="166">
        <v>86</v>
      </c>
      <c r="G1547" s="166">
        <v>93</v>
      </c>
      <c r="H1547" s="21">
        <v>222</v>
      </c>
      <c r="I1547" s="21">
        <v>26</v>
      </c>
      <c r="J1547" s="21">
        <v>155</v>
      </c>
      <c r="K1547" s="21">
        <v>17</v>
      </c>
      <c r="L1547" s="21">
        <v>146</v>
      </c>
      <c r="M1547" s="21">
        <v>64</v>
      </c>
      <c r="N1547" s="21">
        <v>87</v>
      </c>
      <c r="O1547" s="19">
        <v>198</v>
      </c>
      <c r="P1547" s="22">
        <v>7</v>
      </c>
      <c r="Q1547" s="22">
        <v>4</v>
      </c>
      <c r="R1547" s="20"/>
      <c r="S1547" s="234">
        <f>COUNTIFS(INP_DATA!$R$5:$R$3027,S$4,INP_DATA!$D$5:$D$3027,$D1547,INP_DATA!$B$5:$B$3027,$B1547)</f>
        <v>0</v>
      </c>
      <c r="T1547" s="235">
        <f>COUNTIFS(INP_DATA!$R$5:$R$3027,T$4,INP_DATA!$D$5:$D$3027,$D1547,INP_DATA!$B$5:$B$3027,$B1547)</f>
        <v>0</v>
      </c>
    </row>
    <row r="1548" spans="1:20" x14ac:dyDescent="0.35">
      <c r="A1548" s="3" t="str">
        <f>IF(D1548="","",(VLOOKUP($D1548,KEY!$B$5:$D$74,3,FALSE)))</f>
        <v>Texas</v>
      </c>
      <c r="B1548" s="165">
        <f t="shared" si="9"/>
        <v>45717</v>
      </c>
      <c r="C1548" s="57" t="str">
        <f>IF($B1548="","",YEAR($B1548)&amp;"-"&amp;IFERROR(VLOOKUP(MONTH(B1548),KEY!$AE$5:$AF$16,2,FALSE),""))</f>
        <v>2025-Q1</v>
      </c>
      <c r="D1548" s="3" t="s">
        <v>138</v>
      </c>
      <c r="E1548" s="219">
        <v>29</v>
      </c>
      <c r="F1548" s="166">
        <v>184</v>
      </c>
      <c r="G1548" s="166">
        <v>156</v>
      </c>
      <c r="H1548" s="21">
        <v>261</v>
      </c>
      <c r="I1548" s="21">
        <v>53</v>
      </c>
      <c r="J1548" s="21">
        <v>188</v>
      </c>
      <c r="K1548" s="21">
        <v>50</v>
      </c>
      <c r="L1548" s="21">
        <v>344</v>
      </c>
      <c r="M1548" s="21">
        <v>132</v>
      </c>
      <c r="N1548" s="21">
        <v>185</v>
      </c>
      <c r="O1548" s="19">
        <v>220</v>
      </c>
      <c r="P1548" s="22">
        <v>8</v>
      </c>
      <c r="Q1548" s="22">
        <v>6</v>
      </c>
      <c r="R1548" s="20"/>
      <c r="S1548" s="234">
        <f>COUNTIFS(INP_DATA!$R$5:$R$3027,S$4,INP_DATA!$D$5:$D$3027,$D1548,INP_DATA!$B$5:$B$3027,$B1548)</f>
        <v>0</v>
      </c>
      <c r="T1548" s="235">
        <f>COUNTIFS(INP_DATA!$R$5:$R$3027,T$4,INP_DATA!$D$5:$D$3027,$D1548,INP_DATA!$B$5:$B$3027,$B1548)</f>
        <v>0</v>
      </c>
    </row>
    <row r="1549" spans="1:20" x14ac:dyDescent="0.35">
      <c r="A1549" s="3" t="str">
        <f>IF(D1549="","",(VLOOKUP($D1549,KEY!$B$5:$D$74,3,FALSE)))</f>
        <v>Southern California</v>
      </c>
      <c r="B1549" s="165">
        <f t="shared" si="9"/>
        <v>45717</v>
      </c>
      <c r="C1549" s="57" t="str">
        <f>IF($B1549="","",YEAR($B1549)&amp;"-"&amp;IFERROR(VLOOKUP(MONTH(B1549),KEY!$AE$5:$AF$16,2,FALSE),""))</f>
        <v>2025-Q1</v>
      </c>
      <c r="D1549" s="3" t="s">
        <v>139</v>
      </c>
      <c r="E1549" s="219">
        <v>44</v>
      </c>
      <c r="F1549" s="166">
        <v>288</v>
      </c>
      <c r="G1549" s="166">
        <v>166</v>
      </c>
      <c r="H1549" s="21">
        <v>331</v>
      </c>
      <c r="I1549" s="21">
        <v>56</v>
      </c>
      <c r="J1549" s="21">
        <v>168</v>
      </c>
      <c r="K1549" s="21">
        <v>40</v>
      </c>
      <c r="L1549" s="21">
        <v>594</v>
      </c>
      <c r="M1549" s="21">
        <v>182</v>
      </c>
      <c r="N1549" s="21">
        <v>290</v>
      </c>
      <c r="O1549" s="19">
        <v>330</v>
      </c>
      <c r="P1549" s="22">
        <v>25</v>
      </c>
      <c r="Q1549" s="22">
        <v>18</v>
      </c>
      <c r="R1549" s="20"/>
      <c r="S1549" s="234">
        <f>COUNTIFS(INP_DATA!$R$5:$R$3027,S$4,INP_DATA!$D$5:$D$3027,$D1549,INP_DATA!$B$5:$B$3027,$B1549)</f>
        <v>0</v>
      </c>
      <c r="T1549" s="235">
        <f>COUNTIFS(INP_DATA!$R$5:$R$3027,T$4,INP_DATA!$D$5:$D$3027,$D1549,INP_DATA!$B$5:$B$3027,$B1549)</f>
        <v>0</v>
      </c>
    </row>
    <row r="1550" spans="1:20" x14ac:dyDescent="0.35">
      <c r="A1550" s="3" t="str">
        <f>IF(D1550="","",(VLOOKUP($D1550,KEY!$B$5:$D$74,3,FALSE)))</f>
        <v>Orange County</v>
      </c>
      <c r="B1550" s="165">
        <f t="shared" si="9"/>
        <v>45717</v>
      </c>
      <c r="C1550" s="57" t="str">
        <f>IF($B1550="","",YEAR($B1550)&amp;"-"&amp;IFERROR(VLOOKUP(MONTH(B1550),KEY!$AE$5:$AF$16,2,FALSE),""))</f>
        <v>2025-Q1</v>
      </c>
      <c r="D1550" s="3" t="s">
        <v>140</v>
      </c>
      <c r="E1550" s="219">
        <v>8</v>
      </c>
      <c r="F1550" s="166">
        <v>37</v>
      </c>
      <c r="G1550" s="166">
        <v>40</v>
      </c>
      <c r="H1550" s="21">
        <v>73</v>
      </c>
      <c r="I1550" s="21">
        <v>15</v>
      </c>
      <c r="J1550" s="21">
        <v>33</v>
      </c>
      <c r="K1550" s="21">
        <v>7</v>
      </c>
      <c r="L1550" s="21">
        <v>75</v>
      </c>
      <c r="M1550" s="21">
        <v>36</v>
      </c>
      <c r="N1550" s="21">
        <v>39</v>
      </c>
      <c r="O1550" s="19">
        <v>88</v>
      </c>
      <c r="P1550" s="22">
        <v>10</v>
      </c>
      <c r="Q1550" s="22">
        <v>4</v>
      </c>
      <c r="R1550" s="20"/>
      <c r="S1550" s="234">
        <f>COUNTIFS(INP_DATA!$R$5:$R$3027,S$4,INP_DATA!$D$5:$D$3027,$D1550,INP_DATA!$B$5:$B$3027,$B1550)</f>
        <v>0</v>
      </c>
      <c r="T1550" s="235">
        <f>COUNTIFS(INP_DATA!$R$5:$R$3027,T$4,INP_DATA!$D$5:$D$3027,$D1550,INP_DATA!$B$5:$B$3027,$B1550)</f>
        <v>0</v>
      </c>
    </row>
    <row r="1551" spans="1:20" x14ac:dyDescent="0.35">
      <c r="A1551" s="3" t="str">
        <f>IF(D1551="","",(VLOOKUP($D1551,KEY!$B$5:$D$74,3,FALSE)))</f>
        <v>Southern California</v>
      </c>
      <c r="B1551" s="165">
        <f t="shared" si="9"/>
        <v>45717</v>
      </c>
      <c r="C1551" s="57" t="str">
        <f>IF($B1551="","",YEAR($B1551)&amp;"-"&amp;IFERROR(VLOOKUP(MONTH(B1551),KEY!$AE$5:$AF$16,2,FALSE),""))</f>
        <v>2025-Q1</v>
      </c>
      <c r="D1551" s="3" t="s">
        <v>142</v>
      </c>
      <c r="E1551" s="219">
        <v>15</v>
      </c>
      <c r="F1551" s="166">
        <v>123</v>
      </c>
      <c r="G1551" s="166">
        <v>47</v>
      </c>
      <c r="H1551" s="21">
        <v>190</v>
      </c>
      <c r="I1551" s="21">
        <v>35</v>
      </c>
      <c r="J1551" s="21">
        <v>81</v>
      </c>
      <c r="K1551" s="21">
        <v>25</v>
      </c>
      <c r="L1551" s="21">
        <v>172</v>
      </c>
      <c r="M1551" s="21">
        <v>72</v>
      </c>
      <c r="N1551" s="21">
        <v>123</v>
      </c>
      <c r="O1551" s="19">
        <v>132</v>
      </c>
      <c r="P1551" s="22">
        <v>22</v>
      </c>
      <c r="Q1551" s="22">
        <v>11</v>
      </c>
      <c r="R1551" s="20"/>
      <c r="S1551" s="234">
        <f>COUNTIFS(INP_DATA!$R$5:$R$3027,S$4,INP_DATA!$D$5:$D$3027,$D1551,INP_DATA!$B$5:$B$3027,$B1551)</f>
        <v>0</v>
      </c>
      <c r="T1551" s="235">
        <f>COUNTIFS(INP_DATA!$R$5:$R$3027,T$4,INP_DATA!$D$5:$D$3027,$D1551,INP_DATA!$B$5:$B$3027,$B1551)</f>
        <v>0</v>
      </c>
    </row>
    <row r="1552" spans="1:20" x14ac:dyDescent="0.35">
      <c r="A1552" s="3" t="str">
        <f>IF(D1552="","",(VLOOKUP($D1552,KEY!$B$5:$D$74,3,FALSE)))</f>
        <v>Arizona</v>
      </c>
      <c r="B1552" s="165">
        <f t="shared" si="9"/>
        <v>45717</v>
      </c>
      <c r="C1552" s="57" t="str">
        <f>IF($B1552="","",YEAR($B1552)&amp;"-"&amp;IFERROR(VLOOKUP(MONTH(B1552),KEY!$AE$5:$AF$16,2,FALSE),""))</f>
        <v>2025-Q1</v>
      </c>
      <c r="D1552" s="3" t="s">
        <v>143</v>
      </c>
      <c r="E1552" s="219">
        <v>16</v>
      </c>
      <c r="F1552" s="166">
        <v>97</v>
      </c>
      <c r="G1552" s="166">
        <v>53</v>
      </c>
      <c r="H1552" s="21">
        <v>234</v>
      </c>
      <c r="I1552" s="21">
        <v>32</v>
      </c>
      <c r="J1552" s="21">
        <v>72</v>
      </c>
      <c r="K1552" s="21">
        <v>17</v>
      </c>
      <c r="L1552" s="21">
        <v>142</v>
      </c>
      <c r="M1552" s="21">
        <v>50</v>
      </c>
      <c r="N1552" s="21">
        <v>97</v>
      </c>
      <c r="O1552" s="19">
        <v>176</v>
      </c>
      <c r="P1552" s="22">
        <v>7</v>
      </c>
      <c r="Q1552" s="22">
        <v>3</v>
      </c>
      <c r="R1552" s="20"/>
      <c r="S1552" s="234">
        <f>COUNTIFS(INP_DATA!$R$5:$R$3027,S$4,INP_DATA!$D$5:$D$3027,$D1552,INP_DATA!$B$5:$B$3027,$B1552)</f>
        <v>0</v>
      </c>
      <c r="T1552" s="235">
        <f>COUNTIFS(INP_DATA!$R$5:$R$3027,T$4,INP_DATA!$D$5:$D$3027,$D1552,INP_DATA!$B$5:$B$3027,$B1552)</f>
        <v>0</v>
      </c>
    </row>
    <row r="1553" spans="1:20" x14ac:dyDescent="0.35">
      <c r="A1553" s="3" t="str">
        <f>IF(D1553="","",(VLOOKUP($D1553,KEY!$B$5:$D$74,3,FALSE)))</f>
        <v>Arizona</v>
      </c>
      <c r="B1553" s="165">
        <f t="shared" si="9"/>
        <v>45717</v>
      </c>
      <c r="C1553" s="57" t="str">
        <f>IF($B1553="","",YEAR($B1553)&amp;"-"&amp;IFERROR(VLOOKUP(MONTH(B1553),KEY!$AE$5:$AF$16,2,FALSE),""))</f>
        <v>2025-Q1</v>
      </c>
      <c r="D1553" s="3" t="s">
        <v>144</v>
      </c>
      <c r="E1553" s="219">
        <v>55</v>
      </c>
      <c r="F1553" s="166">
        <v>273</v>
      </c>
      <c r="G1553" s="166">
        <v>197</v>
      </c>
      <c r="H1553" s="21">
        <v>293</v>
      </c>
      <c r="I1553" s="21">
        <v>41</v>
      </c>
      <c r="J1553" s="21">
        <v>168</v>
      </c>
      <c r="K1553" s="21">
        <v>40</v>
      </c>
      <c r="L1553" s="21">
        <v>469</v>
      </c>
      <c r="M1553" s="21">
        <v>156</v>
      </c>
      <c r="N1553" s="21">
        <v>278</v>
      </c>
      <c r="O1553" s="19">
        <v>462</v>
      </c>
      <c r="P1553" s="22">
        <v>16</v>
      </c>
      <c r="Q1553" s="22">
        <v>11</v>
      </c>
      <c r="R1553" s="20"/>
      <c r="S1553" s="234">
        <f>COUNTIFS(INP_DATA!$R$5:$R$3027,S$4,INP_DATA!$D$5:$D$3027,$D1553,INP_DATA!$B$5:$B$3027,$B1553)</f>
        <v>0</v>
      </c>
      <c r="T1553" s="235">
        <f>COUNTIFS(INP_DATA!$R$5:$R$3027,T$4,INP_DATA!$D$5:$D$3027,$D1553,INP_DATA!$B$5:$B$3027,$B1553)</f>
        <v>0</v>
      </c>
    </row>
    <row r="1554" spans="1:20" x14ac:dyDescent="0.35">
      <c r="A1554" s="3" t="str">
        <f>IF(D1554="","",(VLOOKUP($D1554,KEY!$B$5:$D$74,3,FALSE)))</f>
        <v>Southern California</v>
      </c>
      <c r="B1554" s="165">
        <f t="shared" si="9"/>
        <v>45717</v>
      </c>
      <c r="C1554" s="57" t="str">
        <f>IF($B1554="","",YEAR($B1554)&amp;"-"&amp;IFERROR(VLOOKUP(MONTH(B1554),KEY!$AE$5:$AF$16,2,FALSE),""))</f>
        <v>2025-Q1</v>
      </c>
      <c r="D1554" s="3" t="s">
        <v>145</v>
      </c>
      <c r="E1554" s="219">
        <v>46</v>
      </c>
      <c r="F1554" s="166">
        <v>215</v>
      </c>
      <c r="G1554" s="166">
        <v>157</v>
      </c>
      <c r="H1554" s="21">
        <v>357</v>
      </c>
      <c r="I1554" s="21">
        <v>45</v>
      </c>
      <c r="J1554" s="21">
        <v>171</v>
      </c>
      <c r="K1554" s="21">
        <v>25</v>
      </c>
      <c r="L1554" s="21">
        <v>503</v>
      </c>
      <c r="M1554" s="21">
        <v>124</v>
      </c>
      <c r="N1554" s="21">
        <v>216</v>
      </c>
      <c r="O1554" s="19">
        <v>396</v>
      </c>
      <c r="P1554" s="22">
        <v>42</v>
      </c>
      <c r="Q1554" s="22">
        <v>26</v>
      </c>
      <c r="R1554" s="20"/>
      <c r="S1554" s="234">
        <f>COUNTIFS(INP_DATA!$R$5:$R$3027,S$4,INP_DATA!$D$5:$D$3027,$D1554,INP_DATA!$B$5:$B$3027,$B1554)</f>
        <v>0</v>
      </c>
      <c r="T1554" s="235">
        <f>COUNTIFS(INP_DATA!$R$5:$R$3027,T$4,INP_DATA!$D$5:$D$3027,$D1554,INP_DATA!$B$5:$B$3027,$B1554)</f>
        <v>0</v>
      </c>
    </row>
    <row r="1555" spans="1:20" x14ac:dyDescent="0.35">
      <c r="A1555" s="3" t="str">
        <f>IF(D1555="","",(VLOOKUP($D1555,KEY!$B$5:$D$74,3,FALSE)))</f>
        <v>Arizona</v>
      </c>
      <c r="B1555" s="165">
        <f t="shared" si="9"/>
        <v>45717</v>
      </c>
      <c r="C1555" s="57" t="str">
        <f>IF($B1555="","",YEAR($B1555)&amp;"-"&amp;IFERROR(VLOOKUP(MONTH(B1555),KEY!$AE$5:$AF$16,2,FALSE),""))</f>
        <v>2025-Q1</v>
      </c>
      <c r="D1555" s="3" t="s">
        <v>146</v>
      </c>
      <c r="E1555" s="219">
        <v>6</v>
      </c>
      <c r="F1555" s="166">
        <v>56</v>
      </c>
      <c r="G1555" s="166">
        <v>43</v>
      </c>
      <c r="H1555" s="21">
        <v>88</v>
      </c>
      <c r="I1555" s="21">
        <v>18</v>
      </c>
      <c r="J1555" s="21">
        <v>38</v>
      </c>
      <c r="K1555" s="21">
        <v>13</v>
      </c>
      <c r="L1555" s="21">
        <v>68</v>
      </c>
      <c r="M1555" s="21">
        <v>41</v>
      </c>
      <c r="N1555" s="21">
        <v>56</v>
      </c>
      <c r="O1555" s="19">
        <v>66</v>
      </c>
      <c r="P1555" s="22">
        <v>3</v>
      </c>
      <c r="Q1555" s="22">
        <v>2</v>
      </c>
      <c r="R1555" s="20"/>
      <c r="S1555" s="234">
        <f>COUNTIFS(INP_DATA!$R$5:$R$3027,S$4,INP_DATA!$D$5:$D$3027,$D1555,INP_DATA!$B$5:$B$3027,$B1555)</f>
        <v>0</v>
      </c>
      <c r="T1555" s="235">
        <f>COUNTIFS(INP_DATA!$R$5:$R$3027,T$4,INP_DATA!$D$5:$D$3027,$D1555,INP_DATA!$B$5:$B$3027,$B1555)</f>
        <v>0</v>
      </c>
    </row>
    <row r="1556" spans="1:20" x14ac:dyDescent="0.35">
      <c r="A1556" s="3" t="str">
        <f>IF(D1556="","",(VLOOKUP($D1556,KEY!$B$5:$D$74,3,FALSE)))</f>
        <v>Texas</v>
      </c>
      <c r="B1556" s="165">
        <f t="shared" si="9"/>
        <v>45717</v>
      </c>
      <c r="C1556" s="57" t="str">
        <f>IF($B1556="","",YEAR($B1556)&amp;"-"&amp;IFERROR(VLOOKUP(MONTH(B1556),KEY!$AE$5:$AF$16,2,FALSE),""))</f>
        <v>2025-Q1</v>
      </c>
      <c r="D1556" s="3" t="s">
        <v>147</v>
      </c>
      <c r="E1556" s="219">
        <v>2</v>
      </c>
      <c r="F1556" s="166">
        <v>41</v>
      </c>
      <c r="G1556" s="166">
        <v>55</v>
      </c>
      <c r="H1556" s="21">
        <v>77</v>
      </c>
      <c r="I1556" s="21">
        <v>15</v>
      </c>
      <c r="J1556" s="21">
        <v>14</v>
      </c>
      <c r="K1556" s="21">
        <v>6</v>
      </c>
      <c r="L1556" s="21">
        <v>67</v>
      </c>
      <c r="M1556" s="21">
        <v>31</v>
      </c>
      <c r="N1556" s="21">
        <v>40</v>
      </c>
      <c r="O1556" s="19">
        <v>88</v>
      </c>
      <c r="P1556" s="22">
        <v>5</v>
      </c>
      <c r="Q1556" s="22">
        <v>3</v>
      </c>
      <c r="R1556" s="20"/>
      <c r="S1556" s="234">
        <f>COUNTIFS(INP_DATA!$R$5:$R$3027,S$4,INP_DATA!$D$5:$D$3027,$D1556,INP_DATA!$B$5:$B$3027,$B1556)</f>
        <v>0</v>
      </c>
      <c r="T1556" s="235">
        <f>COUNTIFS(INP_DATA!$R$5:$R$3027,T$4,INP_DATA!$D$5:$D$3027,$D1556,INP_DATA!$B$5:$B$3027,$B1556)</f>
        <v>0</v>
      </c>
    </row>
    <row r="1557" spans="1:20" x14ac:dyDescent="0.35">
      <c r="A1557" s="3" t="str">
        <f>IF(D1557="","",(VLOOKUP($D1557,KEY!$B$5:$D$74,3,FALSE)))</f>
        <v>Northern California</v>
      </c>
      <c r="B1557" s="165">
        <f t="shared" si="9"/>
        <v>45717</v>
      </c>
      <c r="C1557" s="57" t="str">
        <f>IF($B1557="","",YEAR($B1557)&amp;"-"&amp;IFERROR(VLOOKUP(MONTH(B1557),KEY!$AE$5:$AF$16,2,FALSE),""))</f>
        <v>2025-Q1</v>
      </c>
      <c r="D1557" s="3" t="s">
        <v>148</v>
      </c>
      <c r="E1557" s="219">
        <v>9</v>
      </c>
      <c r="F1557" s="166">
        <v>39</v>
      </c>
      <c r="G1557" s="166">
        <v>47</v>
      </c>
      <c r="H1557" s="21">
        <v>110</v>
      </c>
      <c r="I1557" s="21">
        <v>11</v>
      </c>
      <c r="J1557" s="21">
        <v>64</v>
      </c>
      <c r="K1557" s="21">
        <v>8</v>
      </c>
      <c r="L1557" s="21">
        <v>93</v>
      </c>
      <c r="M1557" s="21">
        <v>26</v>
      </c>
      <c r="N1557" s="21">
        <v>39</v>
      </c>
      <c r="O1557" s="19">
        <v>66</v>
      </c>
      <c r="P1557" s="22">
        <v>15</v>
      </c>
      <c r="Q1557" s="22">
        <v>4</v>
      </c>
      <c r="R1557" s="20"/>
      <c r="S1557" s="234">
        <f>COUNTIFS(INP_DATA!$R$5:$R$3027,S$4,INP_DATA!$D$5:$D$3027,$D1557,INP_DATA!$B$5:$B$3027,$B1557)</f>
        <v>0</v>
      </c>
      <c r="T1557" s="235">
        <f>COUNTIFS(INP_DATA!$R$5:$R$3027,T$4,INP_DATA!$D$5:$D$3027,$D1557,INP_DATA!$B$5:$B$3027,$B1557)</f>
        <v>0</v>
      </c>
    </row>
    <row r="1558" spans="1:20" x14ac:dyDescent="0.35">
      <c r="A1558" s="3" t="str">
        <f>IF(D1558="","",(VLOOKUP($D1558,KEY!$B$5:$D$74,3,FALSE)))</f>
        <v>Orange County</v>
      </c>
      <c r="B1558" s="165">
        <f t="shared" si="9"/>
        <v>45717</v>
      </c>
      <c r="C1558" s="57" t="str">
        <f>IF($B1558="","",YEAR($B1558)&amp;"-"&amp;IFERROR(VLOOKUP(MONTH(B1558),KEY!$AE$5:$AF$16,2,FALSE),""))</f>
        <v>2025-Q1</v>
      </c>
      <c r="D1558" s="3" t="s">
        <v>149</v>
      </c>
      <c r="E1558" s="219">
        <v>3</v>
      </c>
      <c r="F1558" s="166">
        <v>0</v>
      </c>
      <c r="G1558" s="166">
        <v>0</v>
      </c>
      <c r="H1558" s="21">
        <v>57</v>
      </c>
      <c r="I1558" s="21">
        <v>10</v>
      </c>
      <c r="J1558" s="21">
        <v>25</v>
      </c>
      <c r="K1558" s="21">
        <v>6</v>
      </c>
      <c r="L1558" s="21">
        <v>56</v>
      </c>
      <c r="M1558" s="21">
        <v>26</v>
      </c>
      <c r="N1558" s="21">
        <v>28</v>
      </c>
      <c r="O1558" s="19">
        <v>66</v>
      </c>
      <c r="P1558" s="22">
        <v>0</v>
      </c>
      <c r="Q1558" s="22">
        <v>0</v>
      </c>
      <c r="R1558" s="20"/>
      <c r="S1558" s="234">
        <f>COUNTIFS(INP_DATA!$R$5:$R$3027,S$4,INP_DATA!$D$5:$D$3027,$D1558,INP_DATA!$B$5:$B$3027,$B1558)</f>
        <v>0</v>
      </c>
      <c r="T1558" s="235">
        <f>COUNTIFS(INP_DATA!$R$5:$R$3027,T$4,INP_DATA!$D$5:$D$3027,$D1558,INP_DATA!$B$5:$B$3027,$B1558)</f>
        <v>0</v>
      </c>
    </row>
    <row r="1559" spans="1:20" x14ac:dyDescent="0.35">
      <c r="A1559" s="3" t="str">
        <f>IF(D1559="","",(VLOOKUP($D1559,KEY!$B$5:$D$74,3,FALSE)))</f>
        <v>Southern California</v>
      </c>
      <c r="B1559" s="165">
        <f t="shared" si="9"/>
        <v>45717</v>
      </c>
      <c r="C1559" s="57" t="str">
        <f>IF($B1559="","",YEAR($B1559)&amp;"-"&amp;IFERROR(VLOOKUP(MONTH(B1559),KEY!$AE$5:$AF$16,2,FALSE),""))</f>
        <v>2025-Q1</v>
      </c>
      <c r="D1559" s="3" t="s">
        <v>150</v>
      </c>
      <c r="E1559" s="219">
        <v>8</v>
      </c>
      <c r="F1559" s="166">
        <v>45</v>
      </c>
      <c r="G1559" s="166">
        <v>33</v>
      </c>
      <c r="H1559" s="21">
        <v>71</v>
      </c>
      <c r="I1559" s="21">
        <v>15</v>
      </c>
      <c r="J1559" s="21">
        <v>33</v>
      </c>
      <c r="K1559" s="21">
        <v>4</v>
      </c>
      <c r="L1559" s="21">
        <v>50</v>
      </c>
      <c r="M1559" s="21">
        <v>13</v>
      </c>
      <c r="N1559" s="21">
        <v>48</v>
      </c>
      <c r="O1559" s="19">
        <v>66</v>
      </c>
      <c r="P1559" s="22">
        <v>5</v>
      </c>
      <c r="Q1559" s="22">
        <v>2</v>
      </c>
      <c r="R1559" s="20"/>
      <c r="S1559" s="234">
        <f>COUNTIFS(INP_DATA!$R$5:$R$3027,S$4,INP_DATA!$D$5:$D$3027,$D1559,INP_DATA!$B$5:$B$3027,$B1559)</f>
        <v>0</v>
      </c>
      <c r="T1559" s="235">
        <f>COUNTIFS(INP_DATA!$R$5:$R$3027,T$4,INP_DATA!$D$5:$D$3027,$D1559,INP_DATA!$B$5:$B$3027,$B1559)</f>
        <v>0</v>
      </c>
    </row>
    <row r="1560" spans="1:20" x14ac:dyDescent="0.35">
      <c r="A1560" s="3" t="str">
        <f>IF(D1560="","",(VLOOKUP($D1560,KEY!$B$5:$D$74,3,FALSE)))</f>
        <v>Arizona</v>
      </c>
      <c r="B1560" s="165">
        <f t="shared" si="9"/>
        <v>45717</v>
      </c>
      <c r="C1560" s="57" t="str">
        <f>IF($B1560="","",YEAR($B1560)&amp;"-"&amp;IFERROR(VLOOKUP(MONTH(B1560),KEY!$AE$5:$AF$16,2,FALSE),""))</f>
        <v>2025-Q1</v>
      </c>
      <c r="D1560" s="3" t="s">
        <v>151</v>
      </c>
      <c r="E1560" s="219">
        <v>6</v>
      </c>
      <c r="F1560" s="166">
        <v>26</v>
      </c>
      <c r="G1560" s="166">
        <v>33</v>
      </c>
      <c r="H1560" s="21">
        <v>50</v>
      </c>
      <c r="I1560" s="21">
        <v>5</v>
      </c>
      <c r="J1560" s="21">
        <v>21</v>
      </c>
      <c r="K1560" s="21">
        <v>5</v>
      </c>
      <c r="L1560" s="21">
        <v>50</v>
      </c>
      <c r="M1560" s="21">
        <v>16</v>
      </c>
      <c r="N1560" s="21">
        <v>26</v>
      </c>
      <c r="O1560" s="19">
        <v>88</v>
      </c>
      <c r="P1560" s="22">
        <v>2</v>
      </c>
      <c r="Q1560" s="22">
        <v>1</v>
      </c>
      <c r="R1560" s="20"/>
      <c r="S1560" s="234">
        <f>COUNTIFS(INP_DATA!$R$5:$R$3027,S$4,INP_DATA!$D$5:$D$3027,$D1560,INP_DATA!$B$5:$B$3027,$B1560)</f>
        <v>0</v>
      </c>
      <c r="T1560" s="235">
        <f>COUNTIFS(INP_DATA!$R$5:$R$3027,T$4,INP_DATA!$D$5:$D$3027,$D1560,INP_DATA!$B$5:$B$3027,$B1560)</f>
        <v>0</v>
      </c>
    </row>
    <row r="1561" spans="1:20" x14ac:dyDescent="0.35">
      <c r="A1561" s="3" t="str">
        <f>IF(D1561="","",(VLOOKUP($D1561,KEY!$B$5:$D$74,3,FALSE)))</f>
        <v>Michigan &amp; Minnesota</v>
      </c>
      <c r="B1561" s="165">
        <f t="shared" si="9"/>
        <v>45717</v>
      </c>
      <c r="C1561" s="57" t="str">
        <f>IF($B1561="","",YEAR($B1561)&amp;"-"&amp;IFERROR(VLOOKUP(MONTH(B1561),KEY!$AE$5:$AF$16,2,FALSE),""))</f>
        <v>2025-Q1</v>
      </c>
      <c r="D1561" s="3" t="s">
        <v>206</v>
      </c>
      <c r="E1561" s="219">
        <v>23</v>
      </c>
      <c r="F1561" s="166">
        <v>304</v>
      </c>
      <c r="G1561" s="166">
        <v>236</v>
      </c>
      <c r="H1561" s="21">
        <v>408</v>
      </c>
      <c r="I1561" s="21">
        <v>76</v>
      </c>
      <c r="J1561" s="21">
        <v>181</v>
      </c>
      <c r="K1561" s="21">
        <v>43</v>
      </c>
      <c r="L1561" s="21">
        <v>481</v>
      </c>
      <c r="M1561" s="21">
        <v>166</v>
      </c>
      <c r="N1561" s="21">
        <v>304</v>
      </c>
      <c r="O1561" s="19">
        <v>418</v>
      </c>
      <c r="P1561" s="22">
        <v>25</v>
      </c>
      <c r="Q1561" s="22">
        <v>15</v>
      </c>
      <c r="R1561" s="20"/>
      <c r="S1561" s="234">
        <f>COUNTIFS(INP_DATA!$R$5:$R$3027,S$4,INP_DATA!$D$5:$D$3027,$D1561,INP_DATA!$B$5:$B$3027,$B1561)</f>
        <v>0</v>
      </c>
      <c r="T1561" s="235">
        <f>COUNTIFS(INP_DATA!$R$5:$R$3027,T$4,INP_DATA!$D$5:$D$3027,$D1561,INP_DATA!$B$5:$B$3027,$B1561)</f>
        <v>0</v>
      </c>
    </row>
    <row r="1562" spans="1:20" x14ac:dyDescent="0.35">
      <c r="A1562" s="3" t="str">
        <f>IF(D1562="","",(VLOOKUP($D1562,KEY!$B$5:$D$74,3,FALSE)))</f>
        <v>Michigan &amp; Minnesota</v>
      </c>
      <c r="B1562" s="165">
        <f t="shared" si="9"/>
        <v>45717</v>
      </c>
      <c r="C1562" s="57" t="str">
        <f>IF($B1562="","",YEAR($B1562)&amp;"-"&amp;IFERROR(VLOOKUP(MONTH(B1562),KEY!$AE$5:$AF$16,2,FALSE),""))</f>
        <v>2025-Q1</v>
      </c>
      <c r="D1562" s="3" t="s">
        <v>207</v>
      </c>
      <c r="E1562" s="219">
        <v>1</v>
      </c>
      <c r="F1562" s="166">
        <v>57</v>
      </c>
      <c r="G1562" s="166">
        <v>65</v>
      </c>
      <c r="H1562" s="21">
        <v>123</v>
      </c>
      <c r="I1562" s="21">
        <v>18</v>
      </c>
      <c r="J1562" s="21">
        <v>28</v>
      </c>
      <c r="K1562" s="21">
        <v>3</v>
      </c>
      <c r="L1562" s="21">
        <v>75</v>
      </c>
      <c r="M1562" s="21">
        <v>22</v>
      </c>
      <c r="N1562" s="21">
        <v>56</v>
      </c>
      <c r="O1562" s="19">
        <v>132</v>
      </c>
      <c r="P1562" s="22">
        <v>5</v>
      </c>
      <c r="Q1562" s="22">
        <v>2</v>
      </c>
      <c r="R1562" s="20"/>
      <c r="S1562" s="234">
        <f>COUNTIFS(INP_DATA!$R$5:$R$3027,S$4,INP_DATA!$D$5:$D$3027,$D1562,INP_DATA!$B$5:$B$3027,$B1562)</f>
        <v>0</v>
      </c>
      <c r="T1562" s="235">
        <f>COUNTIFS(INP_DATA!$R$5:$R$3027,T$4,INP_DATA!$D$5:$D$3027,$D1562,INP_DATA!$B$5:$B$3027,$B1562)</f>
        <v>0</v>
      </c>
    </row>
    <row r="1563" spans="1:20" x14ac:dyDescent="0.35">
      <c r="A1563" s="3" t="str">
        <f>IF(D1563="","",(VLOOKUP($D1563,KEY!$B$5:$D$74,3,FALSE)))</f>
        <v>Indiana</v>
      </c>
      <c r="B1563" s="165">
        <f t="shared" si="9"/>
        <v>45717</v>
      </c>
      <c r="C1563" s="57" t="str">
        <f>IF($B1563="","",YEAR($B1563)&amp;"-"&amp;IFERROR(VLOOKUP(MONTH(B1563),KEY!$AE$5:$AF$16,2,FALSE),""))</f>
        <v>2025-Q1</v>
      </c>
      <c r="D1563" s="3" t="s">
        <v>208</v>
      </c>
      <c r="E1563" s="219">
        <v>6</v>
      </c>
      <c r="F1563" s="166">
        <v>162</v>
      </c>
      <c r="G1563" s="166">
        <v>117</v>
      </c>
      <c r="H1563" s="21">
        <v>374</v>
      </c>
      <c r="I1563" s="21">
        <v>47</v>
      </c>
      <c r="J1563" s="21">
        <v>145</v>
      </c>
      <c r="K1563" s="21">
        <v>24</v>
      </c>
      <c r="L1563" s="21">
        <v>221</v>
      </c>
      <c r="M1563" s="21">
        <v>79</v>
      </c>
      <c r="N1563" s="21">
        <v>161</v>
      </c>
      <c r="O1563" s="19">
        <v>220</v>
      </c>
      <c r="P1563" s="22">
        <v>6</v>
      </c>
      <c r="Q1563" s="22">
        <v>2</v>
      </c>
      <c r="R1563" s="20"/>
      <c r="S1563" s="234">
        <f>COUNTIFS(INP_DATA!$R$5:$R$3027,S$4,INP_DATA!$D$5:$D$3027,$D1563,INP_DATA!$B$5:$B$3027,$B1563)</f>
        <v>0</v>
      </c>
      <c r="T1563" s="235">
        <f>COUNTIFS(INP_DATA!$R$5:$R$3027,T$4,INP_DATA!$D$5:$D$3027,$D1563,INP_DATA!$B$5:$B$3027,$B1563)</f>
        <v>0</v>
      </c>
    </row>
    <row r="1564" spans="1:20" x14ac:dyDescent="0.35">
      <c r="A1564" s="3" t="str">
        <f>IF(D1564="","",(VLOOKUP($D1564,KEY!$B$5:$D$74,3,FALSE)))</f>
        <v>Indiana</v>
      </c>
      <c r="B1564" s="165">
        <f t="shared" si="9"/>
        <v>45717</v>
      </c>
      <c r="C1564" s="57" t="str">
        <f>IF($B1564="","",YEAR($B1564)&amp;"-"&amp;IFERROR(VLOOKUP(MONTH(B1564),KEY!$AE$5:$AF$16,2,FALSE),""))</f>
        <v>2025-Q1</v>
      </c>
      <c r="D1564" s="3" t="s">
        <v>209</v>
      </c>
      <c r="E1564" s="219">
        <v>27</v>
      </c>
      <c r="F1564" s="166">
        <v>597</v>
      </c>
      <c r="G1564" s="166">
        <v>574</v>
      </c>
      <c r="H1564" s="21">
        <v>835</v>
      </c>
      <c r="I1564" s="21">
        <v>174</v>
      </c>
      <c r="J1564" s="21">
        <v>321</v>
      </c>
      <c r="K1564" s="21">
        <v>97</v>
      </c>
      <c r="L1564" s="21">
        <v>605</v>
      </c>
      <c r="M1564" s="21">
        <v>279</v>
      </c>
      <c r="N1564" s="21">
        <v>621</v>
      </c>
      <c r="O1564" s="19">
        <v>528</v>
      </c>
      <c r="P1564" s="22">
        <v>73</v>
      </c>
      <c r="Q1564" s="22">
        <v>53</v>
      </c>
      <c r="R1564" s="20"/>
      <c r="S1564" s="234">
        <f>COUNTIFS(INP_DATA!$R$5:$R$3027,S$4,INP_DATA!$D$5:$D$3027,$D1564,INP_DATA!$B$5:$B$3027,$B1564)</f>
        <v>0</v>
      </c>
      <c r="T1564" s="235">
        <f>COUNTIFS(INP_DATA!$R$5:$R$3027,T$4,INP_DATA!$D$5:$D$3027,$D1564,INP_DATA!$B$5:$B$3027,$B1564)</f>
        <v>0</v>
      </c>
    </row>
    <row r="1565" spans="1:20" x14ac:dyDescent="0.35">
      <c r="A1565" s="3" t="str">
        <f>IF(D1565="","",(VLOOKUP($D1565,KEY!$B$5:$D$74,3,FALSE)))</f>
        <v>Northern California</v>
      </c>
      <c r="B1565" s="165">
        <f t="shared" si="9"/>
        <v>45717</v>
      </c>
      <c r="C1565" s="57" t="str">
        <f>IF($B1565="","",YEAR($B1565)&amp;"-"&amp;IFERROR(VLOOKUP(MONTH(B1565),KEY!$AE$5:$AF$16,2,FALSE),""))</f>
        <v>2025-Q1</v>
      </c>
      <c r="D1565" s="3" t="s">
        <v>152</v>
      </c>
      <c r="E1565" s="219">
        <v>57</v>
      </c>
      <c r="F1565" s="166">
        <v>251</v>
      </c>
      <c r="G1565" s="166">
        <v>202</v>
      </c>
      <c r="H1565" s="21">
        <v>606</v>
      </c>
      <c r="I1565" s="21">
        <v>96</v>
      </c>
      <c r="J1565" s="21">
        <v>161</v>
      </c>
      <c r="K1565" s="21">
        <v>55</v>
      </c>
      <c r="L1565" s="21">
        <v>574</v>
      </c>
      <c r="M1565" s="21">
        <v>213</v>
      </c>
      <c r="N1565" s="21">
        <v>251</v>
      </c>
      <c r="O1565" s="19">
        <v>308</v>
      </c>
      <c r="P1565" s="22">
        <v>68</v>
      </c>
      <c r="Q1565" s="22">
        <v>46</v>
      </c>
      <c r="R1565" s="20"/>
      <c r="S1565" s="234">
        <f>COUNTIFS(INP_DATA!$R$5:$R$3027,S$4,INP_DATA!$D$5:$D$3027,$D1565,INP_DATA!$B$5:$B$3027,$B1565)</f>
        <v>0</v>
      </c>
      <c r="T1565" s="235">
        <f>COUNTIFS(INP_DATA!$R$5:$R$3027,T$4,INP_DATA!$D$5:$D$3027,$D1565,INP_DATA!$B$5:$B$3027,$B1565)</f>
        <v>0</v>
      </c>
    </row>
    <row r="1566" spans="1:20" x14ac:dyDescent="0.35">
      <c r="A1566" s="3" t="str">
        <f>IF(D1566="","",(VLOOKUP($D1566,KEY!$B$5:$D$74,3,FALSE)))</f>
        <v>Arizona</v>
      </c>
      <c r="B1566" s="165">
        <f t="shared" si="9"/>
        <v>45717</v>
      </c>
      <c r="C1566" s="57" t="str">
        <f>IF($B1566="","",YEAR($B1566)&amp;"-"&amp;IFERROR(VLOOKUP(MONTH(B1566),KEY!$AE$5:$AF$16,2,FALSE),""))</f>
        <v>2025-Q1</v>
      </c>
      <c r="D1566" s="3" t="s">
        <v>153</v>
      </c>
      <c r="E1566" s="219">
        <v>32</v>
      </c>
      <c r="F1566" s="166">
        <v>112</v>
      </c>
      <c r="G1566" s="166">
        <v>99</v>
      </c>
      <c r="H1566" s="21">
        <v>246</v>
      </c>
      <c r="I1566" s="21">
        <v>19</v>
      </c>
      <c r="J1566" s="21">
        <v>84</v>
      </c>
      <c r="K1566" s="21">
        <v>11</v>
      </c>
      <c r="L1566" s="21">
        <v>341</v>
      </c>
      <c r="M1566" s="21">
        <v>63</v>
      </c>
      <c r="N1566" s="21">
        <v>110</v>
      </c>
      <c r="O1566" s="19">
        <v>286</v>
      </c>
      <c r="P1566" s="22">
        <v>3</v>
      </c>
      <c r="Q1566" s="22">
        <v>2</v>
      </c>
      <c r="R1566" s="20"/>
      <c r="S1566" s="234">
        <f>COUNTIFS(INP_DATA!$R$5:$R$3027,S$4,INP_DATA!$D$5:$D$3027,$D1566,INP_DATA!$B$5:$B$3027,$B1566)</f>
        <v>0</v>
      </c>
      <c r="T1566" s="235">
        <f>COUNTIFS(INP_DATA!$R$5:$R$3027,T$4,INP_DATA!$D$5:$D$3027,$D1566,INP_DATA!$B$5:$B$3027,$B1566)</f>
        <v>0</v>
      </c>
    </row>
    <row r="1567" spans="1:20" x14ac:dyDescent="0.35">
      <c r="A1567" s="3" t="str">
        <f>IF(D1567="","",(VLOOKUP($D1567,KEY!$B$5:$D$74,3,FALSE)))</f>
        <v>Northern California</v>
      </c>
      <c r="B1567" s="165">
        <f t="shared" si="9"/>
        <v>45717</v>
      </c>
      <c r="C1567" s="57" t="str">
        <f>IF($B1567="","",YEAR($B1567)&amp;"-"&amp;IFERROR(VLOOKUP(MONTH(B1567),KEY!$AE$5:$AF$16,2,FALSE),""))</f>
        <v>2025-Q1</v>
      </c>
      <c r="D1567" s="3" t="s">
        <v>154</v>
      </c>
      <c r="E1567" s="219">
        <v>20</v>
      </c>
      <c r="F1567" s="166">
        <v>76</v>
      </c>
      <c r="G1567" s="166">
        <v>57</v>
      </c>
      <c r="H1567" s="21">
        <v>321</v>
      </c>
      <c r="I1567" s="21">
        <v>20</v>
      </c>
      <c r="J1567" s="21">
        <v>160</v>
      </c>
      <c r="K1567" s="21">
        <v>19</v>
      </c>
      <c r="L1567" s="21">
        <v>283</v>
      </c>
      <c r="M1567" s="21">
        <v>37</v>
      </c>
      <c r="N1567" s="21">
        <v>74</v>
      </c>
      <c r="O1567" s="19">
        <v>198</v>
      </c>
      <c r="P1567" s="22">
        <v>12</v>
      </c>
      <c r="Q1567" s="22">
        <v>8</v>
      </c>
      <c r="R1567" s="20"/>
      <c r="S1567" s="234">
        <f>COUNTIFS(INP_DATA!$R$5:$R$3027,S$4,INP_DATA!$D$5:$D$3027,$D1567,INP_DATA!$B$5:$B$3027,$B1567)</f>
        <v>0</v>
      </c>
      <c r="T1567" s="235">
        <f>COUNTIFS(INP_DATA!$R$5:$R$3027,T$4,INP_DATA!$D$5:$D$3027,$D1567,INP_DATA!$B$5:$B$3027,$B1567)</f>
        <v>0</v>
      </c>
    </row>
    <row r="1568" spans="1:20" x14ac:dyDescent="0.35">
      <c r="A1568" s="3" t="str">
        <f>IF(D1568="","",(VLOOKUP($D1568,KEY!$B$5:$D$74,3,FALSE)))</f>
        <v>Texas</v>
      </c>
      <c r="B1568" s="165">
        <f t="shared" si="9"/>
        <v>45717</v>
      </c>
      <c r="C1568" s="57" t="str">
        <f>IF($B1568="","",YEAR($B1568)&amp;"-"&amp;IFERROR(VLOOKUP(MONTH(B1568),KEY!$AE$5:$AF$16,2,FALSE),""))</f>
        <v>2025-Q1</v>
      </c>
      <c r="D1568" s="3" t="s">
        <v>155</v>
      </c>
      <c r="E1568" s="219">
        <v>48</v>
      </c>
      <c r="F1568" s="166">
        <v>350</v>
      </c>
      <c r="G1568" s="166">
        <v>367</v>
      </c>
      <c r="H1568" s="21">
        <v>939</v>
      </c>
      <c r="I1568" s="21">
        <v>122</v>
      </c>
      <c r="J1568" s="21">
        <v>263</v>
      </c>
      <c r="K1568" s="21">
        <v>45</v>
      </c>
      <c r="L1568" s="21">
        <v>589</v>
      </c>
      <c r="M1568" s="21">
        <v>169</v>
      </c>
      <c r="N1568" s="21">
        <v>355</v>
      </c>
      <c r="O1568" s="19">
        <v>528</v>
      </c>
      <c r="P1568" s="22">
        <v>22</v>
      </c>
      <c r="Q1568" s="22">
        <v>15</v>
      </c>
      <c r="R1568" s="20"/>
      <c r="S1568" s="234">
        <f>COUNTIFS(INP_DATA!$R$5:$R$3027,S$4,INP_DATA!$D$5:$D$3027,$D1568,INP_DATA!$B$5:$B$3027,$B1568)</f>
        <v>0</v>
      </c>
      <c r="T1568" s="235">
        <f>COUNTIFS(INP_DATA!$R$5:$R$3027,T$4,INP_DATA!$D$5:$D$3027,$D1568,INP_DATA!$B$5:$B$3027,$B1568)</f>
        <v>0</v>
      </c>
    </row>
    <row r="1569" spans="1:20" x14ac:dyDescent="0.35">
      <c r="A1569" s="3" t="str">
        <f>IF(D1569="","",(VLOOKUP($D1569,KEY!$B$5:$D$74,3,FALSE)))</f>
        <v>Texas</v>
      </c>
      <c r="B1569" s="165">
        <f t="shared" si="9"/>
        <v>45717</v>
      </c>
      <c r="C1569" s="57" t="str">
        <f>IF($B1569="","",YEAR($B1569)&amp;"-"&amp;IFERROR(VLOOKUP(MONTH(B1569),KEY!$AE$5:$AF$16,2,FALSE),""))</f>
        <v>2025-Q1</v>
      </c>
      <c r="D1569" s="3" t="s">
        <v>156</v>
      </c>
      <c r="E1569" s="219">
        <v>54</v>
      </c>
      <c r="F1569" s="166">
        <v>305</v>
      </c>
      <c r="G1569" s="166">
        <v>239</v>
      </c>
      <c r="H1569" s="21">
        <v>460</v>
      </c>
      <c r="I1569" s="21">
        <v>88</v>
      </c>
      <c r="J1569" s="21">
        <v>226</v>
      </c>
      <c r="K1569" s="21">
        <v>60</v>
      </c>
      <c r="L1569" s="21">
        <v>444</v>
      </c>
      <c r="M1569" s="21">
        <v>149</v>
      </c>
      <c r="N1569" s="21">
        <v>308</v>
      </c>
      <c r="O1569" s="19">
        <v>396</v>
      </c>
      <c r="P1569" s="22">
        <v>6</v>
      </c>
      <c r="Q1569" s="22">
        <v>6</v>
      </c>
      <c r="R1569" s="20"/>
      <c r="S1569" s="234">
        <f>COUNTIFS(INP_DATA!$R$5:$R$3027,S$4,INP_DATA!$D$5:$D$3027,$D1569,INP_DATA!$B$5:$B$3027,$B1569)</f>
        <v>0</v>
      </c>
      <c r="T1569" s="235">
        <f>COUNTIFS(INP_DATA!$R$5:$R$3027,T$4,INP_DATA!$D$5:$D$3027,$D1569,INP_DATA!$B$5:$B$3027,$B1569)</f>
        <v>0</v>
      </c>
    </row>
    <row r="1570" spans="1:20" x14ac:dyDescent="0.35">
      <c r="A1570" s="3" t="str">
        <f>IF(D1570="","",(VLOOKUP($D1570,KEY!$B$5:$D$74,3,FALSE)))</f>
        <v>Texas</v>
      </c>
      <c r="B1570" s="165">
        <f t="shared" si="9"/>
        <v>45717</v>
      </c>
      <c r="C1570" s="57" t="str">
        <f>IF($B1570="","",YEAR($B1570)&amp;"-"&amp;IFERROR(VLOOKUP(MONTH(B1570),KEY!$AE$5:$AF$16,2,FALSE),""))</f>
        <v>2025-Q1</v>
      </c>
      <c r="D1570" s="3" t="s">
        <v>157</v>
      </c>
      <c r="E1570" s="219">
        <v>37</v>
      </c>
      <c r="F1570" s="166">
        <v>550</v>
      </c>
      <c r="G1570" s="166">
        <v>480</v>
      </c>
      <c r="H1570" s="21">
        <v>554</v>
      </c>
      <c r="I1570" s="21">
        <v>90</v>
      </c>
      <c r="J1570" s="21">
        <v>415</v>
      </c>
      <c r="K1570" s="21">
        <v>83</v>
      </c>
      <c r="L1570" s="21">
        <v>1053</v>
      </c>
      <c r="M1570" s="21">
        <v>262</v>
      </c>
      <c r="N1570" s="21">
        <v>567</v>
      </c>
      <c r="O1570" s="19">
        <v>770</v>
      </c>
      <c r="P1570" s="22">
        <v>9</v>
      </c>
      <c r="Q1570" s="22">
        <v>2</v>
      </c>
      <c r="R1570" s="20"/>
      <c r="S1570" s="234">
        <f>COUNTIFS(INP_DATA!$R$5:$R$3027,S$4,INP_DATA!$D$5:$D$3027,$D1570,INP_DATA!$B$5:$B$3027,$B1570)</f>
        <v>0</v>
      </c>
      <c r="T1570" s="235">
        <f>COUNTIFS(INP_DATA!$R$5:$R$3027,T$4,INP_DATA!$D$5:$D$3027,$D1570,INP_DATA!$B$5:$B$3027,$B1570)</f>
        <v>0</v>
      </c>
    </row>
    <row r="1571" spans="1:20" x14ac:dyDescent="0.35">
      <c r="A1571" s="3" t="str">
        <f>IF(D1571="","",(VLOOKUP($D1571,KEY!$B$5:$D$74,3,FALSE)))</f>
        <v>Arizona</v>
      </c>
      <c r="B1571" s="165">
        <f t="shared" si="9"/>
        <v>45717</v>
      </c>
      <c r="C1571" s="57" t="str">
        <f>IF($B1571="","",YEAR($B1571)&amp;"-"&amp;IFERROR(VLOOKUP(MONTH(B1571),KEY!$AE$5:$AF$16,2,FALSE),""))</f>
        <v>2025-Q1</v>
      </c>
      <c r="D1571" s="3" t="s">
        <v>158</v>
      </c>
      <c r="E1571" s="219">
        <v>3</v>
      </c>
      <c r="F1571" s="166">
        <v>33</v>
      </c>
      <c r="G1571" s="166">
        <v>37</v>
      </c>
      <c r="H1571" s="21">
        <v>105</v>
      </c>
      <c r="I1571" s="21">
        <v>7</v>
      </c>
      <c r="J1571" s="21">
        <v>48</v>
      </c>
      <c r="K1571" s="21">
        <v>6</v>
      </c>
      <c r="L1571" s="21">
        <v>128</v>
      </c>
      <c r="M1571" s="21">
        <v>24</v>
      </c>
      <c r="N1571" s="21">
        <v>34</v>
      </c>
      <c r="O1571" s="19">
        <v>132</v>
      </c>
      <c r="P1571" s="22">
        <v>2</v>
      </c>
      <c r="Q1571" s="22">
        <v>0</v>
      </c>
      <c r="R1571" s="20"/>
      <c r="S1571" s="234">
        <f>COUNTIFS(INP_DATA!$R$5:$R$3027,S$4,INP_DATA!$D$5:$D$3027,$D1571,INP_DATA!$B$5:$B$3027,$B1571)</f>
        <v>0</v>
      </c>
      <c r="T1571" s="235">
        <f>COUNTIFS(INP_DATA!$R$5:$R$3027,T$4,INP_DATA!$D$5:$D$3027,$D1571,INP_DATA!$B$5:$B$3027,$B1571)</f>
        <v>0</v>
      </c>
    </row>
    <row r="1572" spans="1:20" x14ac:dyDescent="0.35">
      <c r="A1572" s="3" t="str">
        <f>IF(D1572="","",(VLOOKUP($D1572,KEY!$B$5:$D$74,3,FALSE)))</f>
        <v>Orange County</v>
      </c>
      <c r="B1572" s="165">
        <f t="shared" si="9"/>
        <v>45717</v>
      </c>
      <c r="C1572" s="57" t="str">
        <f>IF($B1572="","",YEAR($B1572)&amp;"-"&amp;IFERROR(VLOOKUP(MONTH(B1572),KEY!$AE$5:$AF$16,2,FALSE),""))</f>
        <v>2025-Q1</v>
      </c>
      <c r="D1572" s="3" t="s">
        <v>159</v>
      </c>
      <c r="E1572" s="219">
        <v>20</v>
      </c>
      <c r="F1572" s="166">
        <v>132</v>
      </c>
      <c r="G1572" s="166">
        <v>129</v>
      </c>
      <c r="H1572" s="21">
        <v>243</v>
      </c>
      <c r="I1572" s="21">
        <v>44</v>
      </c>
      <c r="J1572" s="21">
        <v>83</v>
      </c>
      <c r="K1572" s="21">
        <v>24</v>
      </c>
      <c r="L1572" s="21">
        <v>230</v>
      </c>
      <c r="M1572" s="21">
        <v>94</v>
      </c>
      <c r="N1572" s="21">
        <v>132</v>
      </c>
      <c r="O1572" s="19">
        <v>198</v>
      </c>
      <c r="P1572" s="22">
        <v>9</v>
      </c>
      <c r="Q1572" s="22">
        <v>6</v>
      </c>
      <c r="R1572" s="20"/>
      <c r="S1572" s="234">
        <f>COUNTIFS(INP_DATA!$R$5:$R$3027,S$4,INP_DATA!$D$5:$D$3027,$D1572,INP_DATA!$B$5:$B$3027,$B1572)</f>
        <v>0</v>
      </c>
      <c r="T1572" s="235">
        <f>COUNTIFS(INP_DATA!$R$5:$R$3027,T$4,INP_DATA!$D$5:$D$3027,$D1572,INP_DATA!$B$5:$B$3027,$B1572)</f>
        <v>0</v>
      </c>
    </row>
    <row r="1573" spans="1:20" x14ac:dyDescent="0.35">
      <c r="A1573" s="3" t="str">
        <f>IF(D1573="","",(VLOOKUP($D1573,KEY!$B$5:$D$74,3,FALSE)))</f>
        <v>Arizona</v>
      </c>
      <c r="B1573" s="165">
        <f t="shared" si="9"/>
        <v>45717</v>
      </c>
      <c r="C1573" s="57" t="str">
        <f>IF($B1573="","",YEAR($B1573)&amp;"-"&amp;IFERROR(VLOOKUP(MONTH(B1573),KEY!$AE$5:$AF$16,2,FALSE),""))</f>
        <v>2025-Q1</v>
      </c>
      <c r="D1573" s="3" t="s">
        <v>160</v>
      </c>
      <c r="E1573" s="219">
        <v>67</v>
      </c>
      <c r="F1573" s="166">
        <v>390</v>
      </c>
      <c r="G1573" s="166">
        <v>362</v>
      </c>
      <c r="H1573" s="21">
        <v>666</v>
      </c>
      <c r="I1573" s="21">
        <v>108</v>
      </c>
      <c r="J1573" s="21">
        <v>227</v>
      </c>
      <c r="K1573" s="21">
        <v>47</v>
      </c>
      <c r="L1573" s="21">
        <v>559</v>
      </c>
      <c r="M1573" s="21">
        <v>240</v>
      </c>
      <c r="N1573" s="21">
        <v>409</v>
      </c>
      <c r="O1573" s="19">
        <v>506</v>
      </c>
      <c r="P1573" s="22">
        <v>22</v>
      </c>
      <c r="Q1573" s="22">
        <v>15</v>
      </c>
      <c r="R1573" s="20"/>
      <c r="S1573" s="234">
        <f>COUNTIFS(INP_DATA!$R$5:$R$3027,S$4,INP_DATA!$D$5:$D$3027,$D1573,INP_DATA!$B$5:$B$3027,$B1573)</f>
        <v>0</v>
      </c>
      <c r="T1573" s="235">
        <f>COUNTIFS(INP_DATA!$R$5:$R$3027,T$4,INP_DATA!$D$5:$D$3027,$D1573,INP_DATA!$B$5:$B$3027,$B1573)</f>
        <v>0</v>
      </c>
    </row>
    <row r="1574" spans="1:20" x14ac:dyDescent="0.35">
      <c r="A1574" s="3" t="str">
        <f>IF(D1574="","",(VLOOKUP($D1574,KEY!$B$5:$D$74,3,FALSE)))</f>
        <v>Northern California</v>
      </c>
      <c r="B1574" s="165">
        <f t="shared" si="9"/>
        <v>45717</v>
      </c>
      <c r="C1574" s="57" t="str">
        <f>IF($B1574="","",YEAR($B1574)&amp;"-"&amp;IFERROR(VLOOKUP(MONTH(B1574),KEY!$AE$5:$AF$16,2,FALSE),""))</f>
        <v>2025-Q1</v>
      </c>
      <c r="D1574" s="3" t="s">
        <v>161</v>
      </c>
      <c r="E1574" s="219">
        <v>44</v>
      </c>
      <c r="F1574" s="166">
        <v>277</v>
      </c>
      <c r="G1574" s="166">
        <v>300</v>
      </c>
      <c r="H1574" s="21">
        <v>478</v>
      </c>
      <c r="I1574" s="21">
        <v>87</v>
      </c>
      <c r="J1574" s="21">
        <v>198</v>
      </c>
      <c r="K1574" s="21">
        <v>46</v>
      </c>
      <c r="L1574" s="21">
        <v>380</v>
      </c>
      <c r="M1574" s="21">
        <v>107</v>
      </c>
      <c r="N1574" s="21">
        <v>296</v>
      </c>
      <c r="O1574" s="19">
        <v>440</v>
      </c>
      <c r="P1574" s="22">
        <v>7</v>
      </c>
      <c r="Q1574" s="22">
        <v>6</v>
      </c>
      <c r="R1574" s="20"/>
      <c r="S1574" s="234">
        <f>COUNTIFS(INP_DATA!$R$5:$R$3027,S$4,INP_DATA!$D$5:$D$3027,$D1574,INP_DATA!$B$5:$B$3027,$B1574)</f>
        <v>0</v>
      </c>
      <c r="T1574" s="235">
        <f>COUNTIFS(INP_DATA!$R$5:$R$3027,T$4,INP_DATA!$D$5:$D$3027,$D1574,INP_DATA!$B$5:$B$3027,$B1574)</f>
        <v>0</v>
      </c>
    </row>
    <row r="1575" spans="1:20" x14ac:dyDescent="0.35">
      <c r="A1575" s="3" t="str">
        <f>IF(D1575="","",(VLOOKUP($D1575,KEY!$B$5:$D$74,3,FALSE)))</f>
        <v>Arizona</v>
      </c>
      <c r="B1575" s="165">
        <f t="shared" si="9"/>
        <v>45717</v>
      </c>
      <c r="C1575" s="57" t="str">
        <f>IF($B1575="","",YEAR($B1575)&amp;"-"&amp;IFERROR(VLOOKUP(MONTH(B1575),KEY!$AE$5:$AF$16,2,FALSE),""))</f>
        <v>2025-Q1</v>
      </c>
      <c r="D1575" s="3" t="s">
        <v>163</v>
      </c>
      <c r="E1575" s="219">
        <v>60</v>
      </c>
      <c r="F1575" s="166">
        <v>305</v>
      </c>
      <c r="G1575" s="166">
        <v>277</v>
      </c>
      <c r="H1575" s="21">
        <v>513</v>
      </c>
      <c r="I1575" s="21">
        <v>77</v>
      </c>
      <c r="J1575" s="21">
        <v>179</v>
      </c>
      <c r="K1575" s="21">
        <v>47</v>
      </c>
      <c r="L1575" s="21">
        <v>430</v>
      </c>
      <c r="M1575" s="21">
        <v>191</v>
      </c>
      <c r="N1575" s="21">
        <v>314</v>
      </c>
      <c r="O1575" s="19">
        <v>374</v>
      </c>
      <c r="P1575" s="22">
        <v>4</v>
      </c>
      <c r="Q1575" s="22">
        <v>2</v>
      </c>
      <c r="R1575" s="20"/>
      <c r="S1575" s="234">
        <f>COUNTIFS(INP_DATA!$R$5:$R$3027,S$4,INP_DATA!$D$5:$D$3027,$D1575,INP_DATA!$B$5:$B$3027,$B1575)</f>
        <v>0</v>
      </c>
      <c r="T1575" s="235">
        <f>COUNTIFS(INP_DATA!$R$5:$R$3027,T$4,INP_DATA!$D$5:$D$3027,$D1575,INP_DATA!$B$5:$B$3027,$B1575)</f>
        <v>0</v>
      </c>
    </row>
    <row r="1576" spans="1:20" x14ac:dyDescent="0.35">
      <c r="A1576" s="3" t="str">
        <f>IF(D1576="","",(VLOOKUP($D1576,KEY!$B$5:$D$74,3,FALSE)))</f>
        <v>Arizona</v>
      </c>
      <c r="B1576" s="165">
        <f t="shared" si="9"/>
        <v>45717</v>
      </c>
      <c r="C1576" s="57" t="str">
        <f>IF($B1576="","",YEAR($B1576)&amp;"-"&amp;IFERROR(VLOOKUP(MONTH(B1576),KEY!$AE$5:$AF$16,2,FALSE),""))</f>
        <v>2025-Q1</v>
      </c>
      <c r="D1576" s="3" t="s">
        <v>164</v>
      </c>
      <c r="E1576" s="219">
        <v>14</v>
      </c>
      <c r="F1576" s="166">
        <v>72</v>
      </c>
      <c r="G1576" s="166">
        <v>84</v>
      </c>
      <c r="H1576" s="21">
        <v>135</v>
      </c>
      <c r="I1576" s="21">
        <v>19</v>
      </c>
      <c r="J1576" s="21">
        <v>36</v>
      </c>
      <c r="K1576" s="21">
        <v>9</v>
      </c>
      <c r="L1576" s="21">
        <v>131</v>
      </c>
      <c r="M1576" s="21">
        <v>44</v>
      </c>
      <c r="N1576" s="21">
        <v>72</v>
      </c>
      <c r="O1576" s="19">
        <v>110</v>
      </c>
      <c r="P1576" s="22">
        <v>16</v>
      </c>
      <c r="Q1576" s="22">
        <v>12</v>
      </c>
      <c r="R1576" s="20"/>
      <c r="S1576" s="234">
        <f>COUNTIFS(INP_DATA!$R$5:$R$3027,S$4,INP_DATA!$D$5:$D$3027,$D1576,INP_DATA!$B$5:$B$3027,$B1576)</f>
        <v>0</v>
      </c>
      <c r="T1576" s="235">
        <f>COUNTIFS(INP_DATA!$R$5:$R$3027,T$4,INP_DATA!$D$5:$D$3027,$D1576,INP_DATA!$B$5:$B$3027,$B1576)</f>
        <v>0</v>
      </c>
    </row>
    <row r="1577" spans="1:20" x14ac:dyDescent="0.35">
      <c r="A1577" s="3" t="str">
        <f>IF(D1577="","",(VLOOKUP($D1577,KEY!$B$5:$D$74,3,FALSE)))</f>
        <v>Orange County</v>
      </c>
      <c r="B1577" s="165">
        <f t="shared" si="9"/>
        <v>45717</v>
      </c>
      <c r="C1577" s="57" t="str">
        <f>IF($B1577="","",YEAR($B1577)&amp;"-"&amp;IFERROR(VLOOKUP(MONTH(B1577),KEY!$AE$5:$AF$16,2,FALSE),""))</f>
        <v>2025-Q1</v>
      </c>
      <c r="D1577" s="3" t="s">
        <v>165</v>
      </c>
      <c r="E1577" s="219">
        <v>16</v>
      </c>
      <c r="F1577" s="166">
        <v>68</v>
      </c>
      <c r="G1577" s="166">
        <v>89</v>
      </c>
      <c r="H1577" s="21">
        <v>165</v>
      </c>
      <c r="I1577" s="21">
        <v>30</v>
      </c>
      <c r="J1577" s="21">
        <v>39</v>
      </c>
      <c r="K1577" s="21">
        <v>9</v>
      </c>
      <c r="L1577" s="21">
        <v>86</v>
      </c>
      <c r="M1577" s="21">
        <v>43</v>
      </c>
      <c r="N1577" s="21">
        <v>68</v>
      </c>
      <c r="O1577" s="19">
        <v>154</v>
      </c>
      <c r="P1577" s="22">
        <v>36</v>
      </c>
      <c r="Q1577" s="22">
        <v>19</v>
      </c>
      <c r="R1577" s="20"/>
      <c r="S1577" s="234">
        <f>COUNTIFS(INP_DATA!$R$5:$R$3027,S$4,INP_DATA!$D$5:$D$3027,$D1577,INP_DATA!$B$5:$B$3027,$B1577)</f>
        <v>0</v>
      </c>
      <c r="T1577" s="235">
        <f>COUNTIFS(INP_DATA!$R$5:$R$3027,T$4,INP_DATA!$D$5:$D$3027,$D1577,INP_DATA!$B$5:$B$3027,$B1577)</f>
        <v>0</v>
      </c>
    </row>
    <row r="1578" spans="1:20" x14ac:dyDescent="0.35">
      <c r="A1578" s="3" t="str">
        <f>IF(D1578="","",(VLOOKUP($D1578,KEY!$B$5:$D$74,3,FALSE)))</f>
        <v/>
      </c>
      <c r="B1578" s="165">
        <f t="shared" ref="B1578:B1582" si="10">B1577</f>
        <v>45717</v>
      </c>
      <c r="C1578" s="57" t="str">
        <f>IF($B1578="","",YEAR($B1578)&amp;"-"&amp;IFERROR(VLOOKUP(MONTH(B1578),KEY!$AE$5:$AF$16,2,FALSE),""))</f>
        <v>2025-Q1</v>
      </c>
      <c r="D1578" s="3"/>
      <c r="E1578" s="219"/>
      <c r="F1578" s="166"/>
      <c r="G1578" s="166"/>
      <c r="H1578" s="21"/>
      <c r="I1578" s="21"/>
      <c r="J1578" s="21"/>
      <c r="K1578" s="21"/>
      <c r="L1578" s="21"/>
      <c r="M1578" s="21"/>
      <c r="N1578" s="21"/>
      <c r="O1578" s="19"/>
      <c r="P1578" s="22"/>
      <c r="Q1578" s="22"/>
      <c r="R1578" s="20"/>
      <c r="S1578" s="234">
        <f>COUNTIFS(INP_DATA!$R$5:$R$3027,S$4,INP_DATA!$D$5:$D$3027,$D1578,INP_DATA!$B$5:$B$3027,$B1578)</f>
        <v>0</v>
      </c>
      <c r="T1578" s="235">
        <f>COUNTIFS(INP_DATA!$R$5:$R$3027,T$4,INP_DATA!$D$5:$D$3027,$D1578,INP_DATA!$B$5:$B$3027,$B1578)</f>
        <v>0</v>
      </c>
    </row>
    <row r="1579" spans="1:20" x14ac:dyDescent="0.35">
      <c r="A1579" s="3" t="str">
        <f>IF(D1579="","",(VLOOKUP($D1579,KEY!$B$5:$D$74,3,FALSE)))</f>
        <v/>
      </c>
      <c r="B1579" s="165">
        <f t="shared" si="10"/>
        <v>45717</v>
      </c>
      <c r="C1579" s="57" t="str">
        <f>IF($B1579="","",YEAR($B1579)&amp;"-"&amp;IFERROR(VLOOKUP(MONTH(B1579),KEY!$AE$5:$AF$16,2,FALSE),""))</f>
        <v>2025-Q1</v>
      </c>
      <c r="D1579" s="3"/>
      <c r="E1579" s="219"/>
      <c r="F1579" s="166"/>
      <c r="G1579" s="166"/>
      <c r="H1579" s="21"/>
      <c r="I1579" s="21"/>
      <c r="J1579" s="21"/>
      <c r="K1579" s="21"/>
      <c r="L1579" s="21"/>
      <c r="M1579" s="21"/>
      <c r="N1579" s="21"/>
      <c r="O1579" s="19"/>
      <c r="P1579" s="22"/>
      <c r="Q1579" s="22"/>
      <c r="R1579" s="20"/>
      <c r="S1579" s="234">
        <f>COUNTIFS(INP_DATA!$R$5:$R$3027,S$4,INP_DATA!$D$5:$D$3027,$D1579,INP_DATA!$B$5:$B$3027,$B1579)</f>
        <v>0</v>
      </c>
      <c r="T1579" s="235">
        <f>COUNTIFS(INP_DATA!$R$5:$R$3027,T$4,INP_DATA!$D$5:$D$3027,$D1579,INP_DATA!$B$5:$B$3027,$B1579)</f>
        <v>0</v>
      </c>
    </row>
    <row r="1580" spans="1:20" x14ac:dyDescent="0.35">
      <c r="A1580" s="3" t="str">
        <f>IF(D1580="","",(VLOOKUP($D1580,KEY!$B$5:$D$74,3,FALSE)))</f>
        <v/>
      </c>
      <c r="B1580" s="165">
        <f t="shared" si="10"/>
        <v>45717</v>
      </c>
      <c r="C1580" s="57" t="str">
        <f>IF($B1580="","",YEAR($B1580)&amp;"-"&amp;IFERROR(VLOOKUP(MONTH(B1580),KEY!$AE$5:$AF$16,2,FALSE),""))</f>
        <v>2025-Q1</v>
      </c>
      <c r="D1580" s="3"/>
      <c r="E1580" s="219"/>
      <c r="F1580" s="166"/>
      <c r="G1580" s="166"/>
      <c r="H1580" s="21"/>
      <c r="I1580" s="21"/>
      <c r="J1580" s="21"/>
      <c r="K1580" s="21"/>
      <c r="L1580" s="21"/>
      <c r="M1580" s="21"/>
      <c r="N1580" s="21"/>
      <c r="O1580" s="19"/>
      <c r="P1580" s="22"/>
      <c r="Q1580" s="22"/>
      <c r="R1580" s="20"/>
      <c r="S1580" s="234">
        <f>COUNTIFS(INP_DATA!$R$5:$R$3027,S$4,INP_DATA!$D$5:$D$3027,$D1580,INP_DATA!$B$5:$B$3027,$B1580)</f>
        <v>0</v>
      </c>
      <c r="T1580" s="235">
        <f>COUNTIFS(INP_DATA!$R$5:$R$3027,T$4,INP_DATA!$D$5:$D$3027,$D1580,INP_DATA!$B$5:$B$3027,$B1580)</f>
        <v>0</v>
      </c>
    </row>
    <row r="1581" spans="1:20" x14ac:dyDescent="0.35">
      <c r="A1581" s="3" t="str">
        <f>IF(D1581="","",(VLOOKUP($D1581,KEY!$B$5:$D$74,3,FALSE)))</f>
        <v/>
      </c>
      <c r="B1581" s="165">
        <f t="shared" si="10"/>
        <v>45717</v>
      </c>
      <c r="C1581" s="57" t="str">
        <f>IF($B1581="","",YEAR($B1581)&amp;"-"&amp;IFERROR(VLOOKUP(MONTH(B1581),KEY!$AE$5:$AF$16,2,FALSE),""))</f>
        <v>2025-Q1</v>
      </c>
      <c r="D1581" s="3"/>
      <c r="E1581" s="219"/>
      <c r="F1581" s="166"/>
      <c r="G1581" s="166"/>
      <c r="H1581" s="21"/>
      <c r="I1581" s="21"/>
      <c r="J1581" s="21"/>
      <c r="K1581" s="21"/>
      <c r="L1581" s="21"/>
      <c r="M1581" s="21"/>
      <c r="N1581" s="21"/>
      <c r="O1581" s="19"/>
      <c r="P1581" s="22"/>
      <c r="Q1581" s="22"/>
      <c r="R1581" s="20"/>
      <c r="S1581" s="234">
        <f>COUNTIFS(INP_DATA!$R$5:$R$3027,S$4,INP_DATA!$D$5:$D$3027,$D1581,INP_DATA!$B$5:$B$3027,$B1581)</f>
        <v>0</v>
      </c>
      <c r="T1581" s="235">
        <f>COUNTIFS(INP_DATA!$R$5:$R$3027,T$4,INP_DATA!$D$5:$D$3027,$D1581,INP_DATA!$B$5:$B$3027,$B1581)</f>
        <v>0</v>
      </c>
    </row>
    <row r="1582" spans="1:20" x14ac:dyDescent="0.35">
      <c r="A1582" s="3" t="str">
        <f>IF(D1582="","",(VLOOKUP($D1582,KEY!$B$5:$D$74,3,FALSE)))</f>
        <v/>
      </c>
      <c r="B1582" s="426">
        <f t="shared" si="10"/>
        <v>45717</v>
      </c>
      <c r="C1582" s="427" t="str">
        <f>IF($B1582="","",YEAR($B1582)&amp;"-"&amp;IFERROR(VLOOKUP(MONTH(B1582),KEY!$AE$5:$AF$16,2,FALSE),""))</f>
        <v>2025-Q1</v>
      </c>
      <c r="D1582" s="428"/>
      <c r="E1582" s="429"/>
      <c r="F1582" s="430"/>
      <c r="G1582" s="430"/>
      <c r="H1582" s="431"/>
      <c r="I1582" s="431"/>
      <c r="J1582" s="431"/>
      <c r="K1582" s="431"/>
      <c r="L1582" s="431"/>
      <c r="M1582" s="431"/>
      <c r="N1582" s="431"/>
      <c r="O1582" s="432"/>
      <c r="P1582" s="433"/>
      <c r="Q1582" s="433"/>
      <c r="R1582" s="20"/>
      <c r="S1582" s="234">
        <f>COUNTIFS(INP_DATA!$R$5:$R$3027,S$4,INP_DATA!$D$5:$D$3027,$D1582,INP_DATA!$B$5:$B$3027,$B1582)</f>
        <v>0</v>
      </c>
      <c r="T1582" s="235">
        <f>COUNTIFS(INP_DATA!$R$5:$R$3027,T$4,INP_DATA!$D$5:$D$3027,$D1582,INP_DATA!$B$5:$B$3027,$B1582)</f>
        <v>0</v>
      </c>
    </row>
    <row r="1583" spans="1:20" x14ac:dyDescent="0.35">
      <c r="A1583" s="3" t="str">
        <f>IF(D1583="","",(VLOOKUP($D1583,KEY!$B$5:$D$74,3,FALSE)))</f>
        <v>Arizona</v>
      </c>
      <c r="B1583" s="165">
        <f>DATE(YEAR(B1582+31),MONTH(B1582+31),1)</f>
        <v>45748</v>
      </c>
      <c r="C1583" s="57" t="str">
        <f>IF($B1583="","",YEAR($B1583)&amp;"-"&amp;IFERROR(VLOOKUP(MONTH(B1583),KEY!$AE$5:$AF$16,2,FALSE),""))</f>
        <v>2025-Q2</v>
      </c>
      <c r="D1583" s="3" t="s">
        <v>111</v>
      </c>
      <c r="E1583" s="219">
        <v>16</v>
      </c>
      <c r="F1583" s="166">
        <v>82</v>
      </c>
      <c r="G1583" s="166">
        <v>67</v>
      </c>
      <c r="H1583" s="21">
        <v>156</v>
      </c>
      <c r="I1583" s="21">
        <v>28</v>
      </c>
      <c r="J1583" s="21">
        <v>62</v>
      </c>
      <c r="K1583" s="21">
        <v>8</v>
      </c>
      <c r="L1583" s="21">
        <v>164</v>
      </c>
      <c r="M1583" s="21">
        <v>69</v>
      </c>
      <c r="N1583" s="21">
        <v>83</v>
      </c>
      <c r="O1583" s="19">
        <v>198</v>
      </c>
      <c r="P1583" s="22">
        <v>13</v>
      </c>
      <c r="Q1583" s="22">
        <v>7</v>
      </c>
      <c r="R1583" s="20"/>
      <c r="S1583" s="234">
        <f>COUNTIFS(INP_DATA!$R$5:$R$3027,S$4,INP_DATA!$D$5:$D$3027,$D1583,INP_DATA!$B$5:$B$3027,$B1583)</f>
        <v>0</v>
      </c>
      <c r="T1583" s="235">
        <f>COUNTIFS(INP_DATA!$R$5:$R$3027,T$4,INP_DATA!$D$5:$D$3027,$D1583,INP_DATA!$B$5:$B$3027,$B1583)</f>
        <v>0</v>
      </c>
    </row>
    <row r="1584" spans="1:20" x14ac:dyDescent="0.35">
      <c r="A1584" s="3" t="str">
        <f>IF(D1584="","",(VLOOKUP($D1584,KEY!$B$5:$D$74,3,FALSE)))</f>
        <v>Southern California</v>
      </c>
      <c r="B1584" s="165">
        <f t="shared" ref="B1584:B1647" si="11">B1583</f>
        <v>45748</v>
      </c>
      <c r="C1584" s="57" t="str">
        <f>IF($B1584="","",YEAR($B1584)&amp;"-"&amp;IFERROR(VLOOKUP(MONTH(B1584),KEY!$AE$5:$AF$16,2,FALSE),""))</f>
        <v>2025-Q2</v>
      </c>
      <c r="D1584" s="3" t="s">
        <v>112</v>
      </c>
      <c r="E1584" s="219">
        <v>8</v>
      </c>
      <c r="F1584" s="166">
        <v>61</v>
      </c>
      <c r="G1584" s="166">
        <v>30</v>
      </c>
      <c r="H1584" s="21">
        <v>111</v>
      </c>
      <c r="I1584" s="21">
        <v>15</v>
      </c>
      <c r="J1584" s="21">
        <v>60</v>
      </c>
      <c r="K1584" s="21">
        <v>15</v>
      </c>
      <c r="L1584" s="21">
        <v>108</v>
      </c>
      <c r="M1584" s="21">
        <v>38</v>
      </c>
      <c r="N1584" s="21">
        <v>62</v>
      </c>
      <c r="O1584" s="19">
        <v>88</v>
      </c>
      <c r="P1584" s="22">
        <v>9</v>
      </c>
      <c r="Q1584" s="22">
        <v>6</v>
      </c>
      <c r="R1584" s="20"/>
      <c r="S1584" s="234">
        <f>COUNTIFS(INP_DATA!$R$5:$R$3027,S$4,INP_DATA!$D$5:$D$3027,$D1584,INP_DATA!$B$5:$B$3027,$B1584)</f>
        <v>0</v>
      </c>
      <c r="T1584" s="235">
        <f>COUNTIFS(INP_DATA!$R$5:$R$3027,T$4,INP_DATA!$D$5:$D$3027,$D1584,INP_DATA!$B$5:$B$3027,$B1584)</f>
        <v>0</v>
      </c>
    </row>
    <row r="1585" spans="1:20" x14ac:dyDescent="0.35">
      <c r="A1585" s="3" t="str">
        <f>IF(D1585="","",(VLOOKUP($D1585,KEY!$B$5:$D$74,3,FALSE)))</f>
        <v>Arizona</v>
      </c>
      <c r="B1585" s="165">
        <f t="shared" si="11"/>
        <v>45748</v>
      </c>
      <c r="C1585" s="57" t="str">
        <f>IF($B1585="","",YEAR($B1585)&amp;"-"&amp;IFERROR(VLOOKUP(MONTH(B1585),KEY!$AE$5:$AF$16,2,FALSE),""))</f>
        <v>2025-Q2</v>
      </c>
      <c r="D1585" s="3" t="s">
        <v>113</v>
      </c>
      <c r="E1585" s="219">
        <v>17</v>
      </c>
      <c r="F1585" s="166">
        <v>61</v>
      </c>
      <c r="G1585" s="166">
        <v>78</v>
      </c>
      <c r="H1585" s="21">
        <v>188</v>
      </c>
      <c r="I1585" s="21">
        <v>23</v>
      </c>
      <c r="J1585" s="21">
        <v>53</v>
      </c>
      <c r="K1585" s="21">
        <v>12</v>
      </c>
      <c r="L1585" s="21">
        <v>159</v>
      </c>
      <c r="M1585" s="21">
        <v>53</v>
      </c>
      <c r="N1585" s="21">
        <v>63</v>
      </c>
      <c r="O1585" s="19">
        <v>176</v>
      </c>
      <c r="P1585" s="22">
        <v>6</v>
      </c>
      <c r="Q1585" s="22">
        <v>0</v>
      </c>
      <c r="R1585" s="20"/>
      <c r="S1585" s="234">
        <f>COUNTIFS(INP_DATA!$R$5:$R$3027,S$4,INP_DATA!$D$5:$D$3027,$D1585,INP_DATA!$B$5:$B$3027,$B1585)</f>
        <v>0</v>
      </c>
      <c r="T1585" s="235">
        <f>COUNTIFS(INP_DATA!$R$5:$R$3027,T$4,INP_DATA!$D$5:$D$3027,$D1585,INP_DATA!$B$5:$B$3027,$B1585)</f>
        <v>0</v>
      </c>
    </row>
    <row r="1586" spans="1:20" x14ac:dyDescent="0.35">
      <c r="A1586" s="3" t="str">
        <f>IF(D1586="","",(VLOOKUP($D1586,KEY!$B$5:$D$74,3,FALSE)))</f>
        <v>Southern California</v>
      </c>
      <c r="B1586" s="165">
        <f t="shared" si="11"/>
        <v>45748</v>
      </c>
      <c r="C1586" s="57" t="str">
        <f>IF($B1586="","",YEAR($B1586)&amp;"-"&amp;IFERROR(VLOOKUP(MONTH(B1586),KEY!$AE$5:$AF$16,2,FALSE),""))</f>
        <v>2025-Q2</v>
      </c>
      <c r="D1586" s="3" t="s">
        <v>114</v>
      </c>
      <c r="E1586" s="219">
        <v>12</v>
      </c>
      <c r="F1586" s="166">
        <v>46</v>
      </c>
      <c r="G1586" s="166">
        <v>44</v>
      </c>
      <c r="H1586" s="21">
        <v>72</v>
      </c>
      <c r="I1586" s="21">
        <v>12</v>
      </c>
      <c r="J1586" s="21">
        <v>40</v>
      </c>
      <c r="K1586" s="21">
        <v>9</v>
      </c>
      <c r="L1586" s="21">
        <v>79</v>
      </c>
      <c r="M1586" s="21">
        <v>30</v>
      </c>
      <c r="N1586" s="21">
        <v>46</v>
      </c>
      <c r="O1586" s="19">
        <v>88</v>
      </c>
      <c r="P1586" s="22">
        <v>20</v>
      </c>
      <c r="Q1586" s="22">
        <v>13</v>
      </c>
      <c r="R1586" s="20"/>
      <c r="S1586" s="234">
        <f>COUNTIFS(INP_DATA!$R$5:$R$3027,S$4,INP_DATA!$D$5:$D$3027,$D1586,INP_DATA!$B$5:$B$3027,$B1586)</f>
        <v>0</v>
      </c>
      <c r="T1586" s="235">
        <f>COUNTIFS(INP_DATA!$R$5:$R$3027,T$4,INP_DATA!$D$5:$D$3027,$D1586,INP_DATA!$B$5:$B$3027,$B1586)</f>
        <v>0</v>
      </c>
    </row>
    <row r="1587" spans="1:20" x14ac:dyDescent="0.35">
      <c r="A1587" s="3" t="str">
        <f>IF(D1587="","",(VLOOKUP($D1587,KEY!$B$5:$D$74,3,FALSE)))</f>
        <v>Orange County</v>
      </c>
      <c r="B1587" s="165">
        <f t="shared" si="11"/>
        <v>45748</v>
      </c>
      <c r="C1587" s="57" t="str">
        <f>IF($B1587="","",YEAR($B1587)&amp;"-"&amp;IFERROR(VLOOKUP(MONTH(B1587),KEY!$AE$5:$AF$16,2,FALSE),""))</f>
        <v>2025-Q2</v>
      </c>
      <c r="D1587" s="3" t="s">
        <v>115</v>
      </c>
      <c r="E1587" s="219">
        <v>1</v>
      </c>
      <c r="F1587" s="166">
        <v>44</v>
      </c>
      <c r="G1587" s="166">
        <v>51</v>
      </c>
      <c r="H1587" s="21">
        <v>60</v>
      </c>
      <c r="I1587" s="21">
        <v>14</v>
      </c>
      <c r="J1587" s="21">
        <v>33</v>
      </c>
      <c r="K1587" s="21">
        <v>12</v>
      </c>
      <c r="L1587" s="21">
        <v>77</v>
      </c>
      <c r="M1587" s="21">
        <v>31</v>
      </c>
      <c r="N1587" s="21">
        <v>45</v>
      </c>
      <c r="O1587" s="19">
        <v>88</v>
      </c>
      <c r="P1587" s="22">
        <v>3</v>
      </c>
      <c r="Q1587" s="22">
        <v>0</v>
      </c>
      <c r="R1587" s="20"/>
      <c r="S1587" s="234">
        <f>COUNTIFS(INP_DATA!$R$5:$R$3027,S$4,INP_DATA!$D$5:$D$3027,$D1587,INP_DATA!$B$5:$B$3027,$B1587)</f>
        <v>0</v>
      </c>
      <c r="T1587" s="235">
        <f>COUNTIFS(INP_DATA!$R$5:$R$3027,T$4,INP_DATA!$D$5:$D$3027,$D1587,INP_DATA!$B$5:$B$3027,$B1587)</f>
        <v>0</v>
      </c>
    </row>
    <row r="1588" spans="1:20" x14ac:dyDescent="0.35">
      <c r="A1588" s="3" t="str">
        <f>IF(D1588="","",(VLOOKUP($D1588,KEY!$B$5:$D$74,3,FALSE)))</f>
        <v>Arizona</v>
      </c>
      <c r="B1588" s="165">
        <f t="shared" si="11"/>
        <v>45748</v>
      </c>
      <c r="C1588" s="57" t="str">
        <f>IF($B1588="","",YEAR($B1588)&amp;"-"&amp;IFERROR(VLOOKUP(MONTH(B1588),KEY!$AE$5:$AF$16,2,FALSE),""))</f>
        <v>2025-Q2</v>
      </c>
      <c r="D1588" s="3" t="s">
        <v>116</v>
      </c>
      <c r="E1588" s="219">
        <v>16</v>
      </c>
      <c r="F1588" s="166">
        <v>118</v>
      </c>
      <c r="G1588" s="166">
        <v>117</v>
      </c>
      <c r="H1588" s="21">
        <v>281</v>
      </c>
      <c r="I1588" s="21">
        <v>37</v>
      </c>
      <c r="J1588" s="21">
        <v>121</v>
      </c>
      <c r="K1588" s="21">
        <v>20</v>
      </c>
      <c r="L1588" s="21">
        <v>238</v>
      </c>
      <c r="M1588" s="21">
        <v>73</v>
      </c>
      <c r="N1588" s="21">
        <v>127</v>
      </c>
      <c r="O1588" s="19">
        <v>264</v>
      </c>
      <c r="P1588" s="22">
        <v>30</v>
      </c>
      <c r="Q1588" s="22">
        <v>14</v>
      </c>
      <c r="R1588" s="20"/>
      <c r="S1588" s="234">
        <f>COUNTIFS(INP_DATA!$R$5:$R$3027,S$4,INP_DATA!$D$5:$D$3027,$D1588,INP_DATA!$B$5:$B$3027,$B1588)</f>
        <v>0</v>
      </c>
      <c r="T1588" s="235">
        <f>COUNTIFS(INP_DATA!$R$5:$R$3027,T$4,INP_DATA!$D$5:$D$3027,$D1588,INP_DATA!$B$5:$B$3027,$B1588)</f>
        <v>0</v>
      </c>
    </row>
    <row r="1589" spans="1:20" x14ac:dyDescent="0.35">
      <c r="A1589" s="3" t="str">
        <f>IF(D1589="","",(VLOOKUP($D1589,KEY!$B$5:$D$74,3,FALSE)))</f>
        <v>Northern California</v>
      </c>
      <c r="B1589" s="165">
        <f t="shared" si="11"/>
        <v>45748</v>
      </c>
      <c r="C1589" s="57" t="str">
        <f>IF($B1589="","",YEAR($B1589)&amp;"-"&amp;IFERROR(VLOOKUP(MONTH(B1589),KEY!$AE$5:$AF$16,2,FALSE),""))</f>
        <v>2025-Q2</v>
      </c>
      <c r="D1589" s="3" t="s">
        <v>118</v>
      </c>
      <c r="E1589" s="219">
        <v>32</v>
      </c>
      <c r="F1589" s="166">
        <v>166</v>
      </c>
      <c r="G1589" s="166">
        <v>187</v>
      </c>
      <c r="H1589" s="21">
        <v>393</v>
      </c>
      <c r="I1589" s="21">
        <v>48</v>
      </c>
      <c r="J1589" s="21">
        <v>174</v>
      </c>
      <c r="K1589" s="21">
        <v>42</v>
      </c>
      <c r="L1589" s="21">
        <v>359</v>
      </c>
      <c r="M1589" s="21">
        <v>109</v>
      </c>
      <c r="N1589" s="21">
        <v>171</v>
      </c>
      <c r="O1589" s="19">
        <v>308</v>
      </c>
      <c r="P1589" s="22">
        <v>51</v>
      </c>
      <c r="Q1589" s="22">
        <v>31</v>
      </c>
      <c r="R1589" s="20"/>
      <c r="S1589" s="234">
        <f>COUNTIFS(INP_DATA!$R$5:$R$3027,S$4,INP_DATA!$D$5:$D$3027,$D1589,INP_DATA!$B$5:$B$3027,$B1589)</f>
        <v>0</v>
      </c>
      <c r="T1589" s="235">
        <f>COUNTIFS(INP_DATA!$R$5:$R$3027,T$4,INP_DATA!$D$5:$D$3027,$D1589,INP_DATA!$B$5:$B$3027,$B1589)</f>
        <v>0</v>
      </c>
    </row>
    <row r="1590" spans="1:20" x14ac:dyDescent="0.35">
      <c r="A1590" s="3" t="str">
        <f>IF(D1590="","",(VLOOKUP($D1590,KEY!$B$5:$D$74,3,FALSE)))</f>
        <v>Orange County</v>
      </c>
      <c r="B1590" s="165">
        <f t="shared" si="11"/>
        <v>45748</v>
      </c>
      <c r="C1590" s="57" t="str">
        <f>IF($B1590="","",YEAR($B1590)&amp;"-"&amp;IFERROR(VLOOKUP(MONTH(B1590),KEY!$AE$5:$AF$16,2,FALSE),""))</f>
        <v>2025-Q2</v>
      </c>
      <c r="D1590" s="3" t="s">
        <v>117</v>
      </c>
      <c r="E1590" s="219">
        <v>10</v>
      </c>
      <c r="F1590" s="166">
        <v>69</v>
      </c>
      <c r="G1590" s="166">
        <v>104</v>
      </c>
      <c r="H1590" s="21">
        <v>219</v>
      </c>
      <c r="I1590" s="21">
        <v>20</v>
      </c>
      <c r="J1590" s="21">
        <v>79</v>
      </c>
      <c r="K1590" s="21">
        <v>20</v>
      </c>
      <c r="L1590" s="21">
        <v>132</v>
      </c>
      <c r="M1590" s="21">
        <v>42</v>
      </c>
      <c r="N1590" s="21">
        <v>70</v>
      </c>
      <c r="O1590" s="19">
        <v>110</v>
      </c>
      <c r="P1590" s="22">
        <v>25</v>
      </c>
      <c r="Q1590" s="22">
        <v>10</v>
      </c>
      <c r="R1590" s="20"/>
      <c r="S1590" s="234">
        <f>COUNTIFS(INP_DATA!$R$5:$R$3027,S$4,INP_DATA!$D$5:$D$3027,$D1590,INP_DATA!$B$5:$B$3027,$B1590)</f>
        <v>0</v>
      </c>
      <c r="T1590" s="235">
        <f>COUNTIFS(INP_DATA!$R$5:$R$3027,T$4,INP_DATA!$D$5:$D$3027,$D1590,INP_DATA!$B$5:$B$3027,$B1590)</f>
        <v>0</v>
      </c>
    </row>
    <row r="1591" spans="1:20" x14ac:dyDescent="0.35">
      <c r="A1591" s="3" t="str">
        <f>IF(D1591="","",(VLOOKUP($D1591,KEY!$B$5:$D$74,3,FALSE)))</f>
        <v>Arizona</v>
      </c>
      <c r="B1591" s="165">
        <f t="shared" si="11"/>
        <v>45748</v>
      </c>
      <c r="C1591" s="57" t="str">
        <f>IF($B1591="","",YEAR($B1591)&amp;"-"&amp;IFERROR(VLOOKUP(MONTH(B1591),KEY!$AE$5:$AF$16,2,FALSE),""))</f>
        <v>2025-Q2</v>
      </c>
      <c r="D1591" s="3" t="s">
        <v>119</v>
      </c>
      <c r="E1591" s="219">
        <v>9</v>
      </c>
      <c r="F1591" s="166">
        <v>24</v>
      </c>
      <c r="G1591" s="166">
        <v>24</v>
      </c>
      <c r="H1591" s="21">
        <v>22</v>
      </c>
      <c r="I1591" s="21">
        <v>4</v>
      </c>
      <c r="J1591" s="21">
        <v>18</v>
      </c>
      <c r="K1591" s="21">
        <v>5</v>
      </c>
      <c r="L1591" s="21">
        <v>116</v>
      </c>
      <c r="M1591" s="21">
        <v>14</v>
      </c>
      <c r="N1591" s="21">
        <v>24</v>
      </c>
      <c r="O1591" s="19">
        <v>88</v>
      </c>
      <c r="P1591" s="22">
        <v>1</v>
      </c>
      <c r="Q1591" s="22">
        <v>0</v>
      </c>
      <c r="R1591" s="20"/>
      <c r="S1591" s="234">
        <f>COUNTIFS(INP_DATA!$R$5:$R$3027,S$4,INP_DATA!$D$5:$D$3027,$D1591,INP_DATA!$B$5:$B$3027,$B1591)</f>
        <v>0</v>
      </c>
      <c r="T1591" s="235">
        <f>COUNTIFS(INP_DATA!$R$5:$R$3027,T$4,INP_DATA!$D$5:$D$3027,$D1591,INP_DATA!$B$5:$B$3027,$B1591)</f>
        <v>0</v>
      </c>
    </row>
    <row r="1592" spans="1:20" x14ac:dyDescent="0.35">
      <c r="A1592" s="3" t="str">
        <f>IF(D1592="","",(VLOOKUP($D1592,KEY!$B$5:$D$74,3,FALSE)))</f>
        <v/>
      </c>
      <c r="B1592" s="165">
        <f t="shared" si="11"/>
        <v>45748</v>
      </c>
      <c r="C1592" s="57" t="str">
        <f>IF($B1592="","",YEAR($B1592)&amp;"-"&amp;IFERROR(VLOOKUP(MONTH(B1592),KEY!$AE$5:$AF$16,2,FALSE),""))</f>
        <v>2025-Q2</v>
      </c>
      <c r="D1592" s="3"/>
      <c r="E1592" s="219"/>
      <c r="F1592" s="166"/>
      <c r="G1592" s="166"/>
      <c r="H1592" s="21"/>
      <c r="I1592" s="21"/>
      <c r="J1592" s="21"/>
      <c r="K1592" s="21"/>
      <c r="L1592" s="21"/>
      <c r="M1592" s="21"/>
      <c r="N1592" s="21"/>
      <c r="O1592" s="19"/>
      <c r="P1592" s="22"/>
      <c r="Q1592" s="22"/>
      <c r="R1592" s="20"/>
      <c r="S1592" s="234">
        <f>COUNTIFS(INP_DATA!$R$5:$R$3027,S$4,INP_DATA!$D$5:$D$3027,$D1592,INP_DATA!$B$5:$B$3027,$B1592)</f>
        <v>0</v>
      </c>
      <c r="T1592" s="235">
        <f>COUNTIFS(INP_DATA!$R$5:$R$3027,T$4,INP_DATA!$D$5:$D$3027,$D1592,INP_DATA!$B$5:$B$3027,$B1592)</f>
        <v>0</v>
      </c>
    </row>
    <row r="1593" spans="1:20" x14ac:dyDescent="0.35">
      <c r="A1593" s="3" t="str">
        <f>IF(D1593="","",(VLOOKUP($D1593,KEY!$B$5:$D$74,3,FALSE)))</f>
        <v>Arizona</v>
      </c>
      <c r="B1593" s="165">
        <f t="shared" si="11"/>
        <v>45748</v>
      </c>
      <c r="C1593" s="57" t="str">
        <f>IF($B1593="","",YEAR($B1593)&amp;"-"&amp;IFERROR(VLOOKUP(MONTH(B1593),KEY!$AE$5:$AF$16,2,FALSE),""))</f>
        <v>2025-Q2</v>
      </c>
      <c r="D1593" s="3" t="s">
        <v>120</v>
      </c>
      <c r="E1593" s="219">
        <v>57</v>
      </c>
      <c r="F1593" s="166">
        <v>323</v>
      </c>
      <c r="G1593" s="166">
        <v>347</v>
      </c>
      <c r="H1593" s="21">
        <v>726</v>
      </c>
      <c r="I1593" s="21">
        <v>80</v>
      </c>
      <c r="J1593" s="21">
        <v>360</v>
      </c>
      <c r="K1593" s="21">
        <v>50</v>
      </c>
      <c r="L1593" s="21">
        <v>572</v>
      </c>
      <c r="M1593" s="21">
        <v>207</v>
      </c>
      <c r="N1593" s="21">
        <v>328</v>
      </c>
      <c r="O1593" s="19">
        <v>572</v>
      </c>
      <c r="P1593" s="22">
        <v>51</v>
      </c>
      <c r="Q1593" s="22">
        <v>28</v>
      </c>
      <c r="R1593" s="20"/>
      <c r="S1593" s="234">
        <f>COUNTIFS(INP_DATA!$R$5:$R$3027,S$4,INP_DATA!$D$5:$D$3027,$D1593,INP_DATA!$B$5:$B$3027,$B1593)</f>
        <v>0</v>
      </c>
      <c r="T1593" s="235">
        <f>COUNTIFS(INP_DATA!$R$5:$R$3027,T$4,INP_DATA!$D$5:$D$3027,$D1593,INP_DATA!$B$5:$B$3027,$B1593)</f>
        <v>0</v>
      </c>
    </row>
    <row r="1594" spans="1:20" x14ac:dyDescent="0.35">
      <c r="A1594" s="3" t="str">
        <f>IF(D1594="","",(VLOOKUP($D1594,KEY!$B$5:$D$74,3,FALSE)))</f>
        <v>Texas</v>
      </c>
      <c r="B1594" s="165">
        <f t="shared" si="11"/>
        <v>45748</v>
      </c>
      <c r="C1594" s="57" t="str">
        <f>IF($B1594="","",YEAR($B1594)&amp;"-"&amp;IFERROR(VLOOKUP(MONTH(B1594),KEY!$AE$5:$AF$16,2,FALSE),""))</f>
        <v>2025-Q2</v>
      </c>
      <c r="D1594" s="3" t="s">
        <v>121</v>
      </c>
      <c r="E1594" s="219">
        <v>66</v>
      </c>
      <c r="F1594" s="166">
        <v>264</v>
      </c>
      <c r="G1594" s="166">
        <v>259</v>
      </c>
      <c r="H1594" s="21">
        <v>697</v>
      </c>
      <c r="I1594" s="21">
        <v>85</v>
      </c>
      <c r="J1594" s="21">
        <v>266</v>
      </c>
      <c r="K1594" s="21">
        <v>37</v>
      </c>
      <c r="L1594" s="21">
        <v>630</v>
      </c>
      <c r="M1594" s="21">
        <v>192</v>
      </c>
      <c r="N1594" s="21">
        <v>265</v>
      </c>
      <c r="O1594" s="19">
        <v>506</v>
      </c>
      <c r="P1594" s="22">
        <v>16</v>
      </c>
      <c r="Q1594" s="22">
        <v>13</v>
      </c>
      <c r="R1594" s="20"/>
      <c r="S1594" s="234">
        <f>COUNTIFS(INP_DATA!$R$5:$R$3027,S$4,INP_DATA!$D$5:$D$3027,$D1594,INP_DATA!$B$5:$B$3027,$B1594)</f>
        <v>0</v>
      </c>
      <c r="T1594" s="235">
        <f>COUNTIFS(INP_DATA!$R$5:$R$3027,T$4,INP_DATA!$D$5:$D$3027,$D1594,INP_DATA!$B$5:$B$3027,$B1594)</f>
        <v>0</v>
      </c>
    </row>
    <row r="1595" spans="1:20" x14ac:dyDescent="0.35">
      <c r="A1595" s="3" t="str">
        <f>IF(D1595="","",(VLOOKUP($D1595,KEY!$B$5:$D$74,3,FALSE)))</f>
        <v>Michigan &amp; Minnesota</v>
      </c>
      <c r="B1595" s="165">
        <f t="shared" si="11"/>
        <v>45748</v>
      </c>
      <c r="C1595" s="57" t="str">
        <f>IF($B1595="","",YEAR($B1595)&amp;"-"&amp;IFERROR(VLOOKUP(MONTH(B1595),KEY!$AE$5:$AF$16,2,FALSE),""))</f>
        <v>2025-Q2</v>
      </c>
      <c r="D1595" s="3" t="s">
        <v>200</v>
      </c>
      <c r="E1595" s="219">
        <v>2</v>
      </c>
      <c r="F1595" s="166">
        <v>131</v>
      </c>
      <c r="G1595" s="166">
        <v>165</v>
      </c>
      <c r="H1595" s="21">
        <v>348</v>
      </c>
      <c r="I1595" s="21">
        <v>27</v>
      </c>
      <c r="J1595" s="21">
        <v>155</v>
      </c>
      <c r="K1595" s="21">
        <v>29</v>
      </c>
      <c r="L1595" s="21">
        <v>246</v>
      </c>
      <c r="M1595" s="21">
        <v>62</v>
      </c>
      <c r="N1595" s="21">
        <v>132</v>
      </c>
      <c r="O1595" s="19">
        <v>264</v>
      </c>
      <c r="P1595" s="22">
        <v>33</v>
      </c>
      <c r="Q1595" s="22">
        <v>17</v>
      </c>
      <c r="R1595" s="20"/>
      <c r="S1595" s="234">
        <f>COUNTIFS(INP_DATA!$R$5:$R$3027,S$4,INP_DATA!$D$5:$D$3027,$D1595,INP_DATA!$B$5:$B$3027,$B1595)</f>
        <v>0</v>
      </c>
      <c r="T1595" s="235">
        <f>COUNTIFS(INP_DATA!$R$5:$R$3027,T$4,INP_DATA!$D$5:$D$3027,$D1595,INP_DATA!$B$5:$B$3027,$B1595)</f>
        <v>0</v>
      </c>
    </row>
    <row r="1596" spans="1:20" x14ac:dyDescent="0.35">
      <c r="A1596" s="3" t="str">
        <f>IF(D1596="","",(VLOOKUP($D1596,KEY!$B$5:$D$74,3,FALSE)))</f>
        <v>Southern California</v>
      </c>
      <c r="B1596" s="165">
        <f t="shared" si="11"/>
        <v>45748</v>
      </c>
      <c r="C1596" s="57" t="str">
        <f>IF($B1596="","",YEAR($B1596)&amp;"-"&amp;IFERROR(VLOOKUP(MONTH(B1596),KEY!$AE$5:$AF$16,2,FALSE),""))</f>
        <v>2025-Q2</v>
      </c>
      <c r="D1596" s="3" t="s">
        <v>122</v>
      </c>
      <c r="E1596" s="219">
        <v>4</v>
      </c>
      <c r="F1596" s="166">
        <v>77</v>
      </c>
      <c r="G1596" s="166">
        <v>63</v>
      </c>
      <c r="H1596" s="21">
        <v>303</v>
      </c>
      <c r="I1596" s="21">
        <v>35</v>
      </c>
      <c r="J1596" s="21">
        <v>140</v>
      </c>
      <c r="K1596" s="21">
        <v>11</v>
      </c>
      <c r="L1596" s="21">
        <v>147</v>
      </c>
      <c r="M1596" s="21">
        <v>41</v>
      </c>
      <c r="N1596" s="21">
        <v>77</v>
      </c>
      <c r="O1596" s="19">
        <v>242</v>
      </c>
      <c r="P1596" s="22">
        <v>6</v>
      </c>
      <c r="Q1596" s="22">
        <v>1</v>
      </c>
      <c r="R1596" s="20"/>
      <c r="S1596" s="234">
        <f>COUNTIFS(INP_DATA!$R$5:$R$3027,S$4,INP_DATA!$D$5:$D$3027,$D1596,INP_DATA!$B$5:$B$3027,$B1596)</f>
        <v>0</v>
      </c>
      <c r="T1596" s="235">
        <f>COUNTIFS(INP_DATA!$R$5:$R$3027,T$4,INP_DATA!$D$5:$D$3027,$D1596,INP_DATA!$B$5:$B$3027,$B1596)</f>
        <v>0</v>
      </c>
    </row>
    <row r="1597" spans="1:20" x14ac:dyDescent="0.35">
      <c r="A1597" s="3" t="str">
        <f>IF(D1597="","",(VLOOKUP($D1597,KEY!$B$5:$D$74,3,FALSE)))</f>
        <v>Orange County</v>
      </c>
      <c r="B1597" s="165">
        <f t="shared" si="11"/>
        <v>45748</v>
      </c>
      <c r="C1597" s="57" t="str">
        <f>IF($B1597="","",YEAR($B1597)&amp;"-"&amp;IFERROR(VLOOKUP(MONTH(B1597),KEY!$AE$5:$AF$16,2,FALSE),""))</f>
        <v>2025-Q2</v>
      </c>
      <c r="D1597" s="3" t="s">
        <v>123</v>
      </c>
      <c r="E1597" s="219">
        <v>52</v>
      </c>
      <c r="F1597" s="166">
        <v>307</v>
      </c>
      <c r="G1597" s="166">
        <v>233</v>
      </c>
      <c r="H1597" s="21">
        <v>475</v>
      </c>
      <c r="I1597" s="21">
        <v>73</v>
      </c>
      <c r="J1597" s="21">
        <v>216</v>
      </c>
      <c r="K1597" s="21">
        <v>51</v>
      </c>
      <c r="L1597" s="21">
        <v>487</v>
      </c>
      <c r="M1597" s="21">
        <v>211</v>
      </c>
      <c r="N1597" s="21">
        <v>282</v>
      </c>
      <c r="O1597" s="19">
        <v>440</v>
      </c>
      <c r="P1597" s="22">
        <v>12</v>
      </c>
      <c r="Q1597" s="22">
        <v>7</v>
      </c>
      <c r="R1597" s="20"/>
      <c r="S1597" s="234">
        <f>COUNTIFS(INP_DATA!$R$5:$R$3027,S$4,INP_DATA!$D$5:$D$3027,$D1597,INP_DATA!$B$5:$B$3027,$B1597)</f>
        <v>0</v>
      </c>
      <c r="T1597" s="235">
        <f>COUNTIFS(INP_DATA!$R$5:$R$3027,T$4,INP_DATA!$D$5:$D$3027,$D1597,INP_DATA!$B$5:$B$3027,$B1597)</f>
        <v>0</v>
      </c>
    </row>
    <row r="1598" spans="1:20" x14ac:dyDescent="0.35">
      <c r="A1598" s="3" t="str">
        <f>IF(D1598="","",(VLOOKUP($D1598,KEY!$B$5:$D$74,3,FALSE)))</f>
        <v>Southern California</v>
      </c>
      <c r="B1598" s="165">
        <f t="shared" si="11"/>
        <v>45748</v>
      </c>
      <c r="C1598" s="57" t="str">
        <f>IF($B1598="","",YEAR($B1598)&amp;"-"&amp;IFERROR(VLOOKUP(MONTH(B1598),KEY!$AE$5:$AF$16,2,FALSE),""))</f>
        <v>2025-Q2</v>
      </c>
      <c r="D1598" s="3" t="s">
        <v>124</v>
      </c>
      <c r="E1598" s="219">
        <v>43</v>
      </c>
      <c r="F1598" s="166">
        <v>246</v>
      </c>
      <c r="G1598" s="166">
        <v>195</v>
      </c>
      <c r="H1598" s="21">
        <v>320</v>
      </c>
      <c r="I1598" s="21">
        <v>59</v>
      </c>
      <c r="J1598" s="21">
        <v>255</v>
      </c>
      <c r="K1598" s="21">
        <v>62</v>
      </c>
      <c r="L1598" s="21">
        <v>444</v>
      </c>
      <c r="M1598" s="21">
        <v>155</v>
      </c>
      <c r="N1598" s="21">
        <v>247</v>
      </c>
      <c r="O1598" s="19">
        <v>440</v>
      </c>
      <c r="P1598" s="22">
        <v>42</v>
      </c>
      <c r="Q1598" s="22">
        <v>31</v>
      </c>
      <c r="R1598" s="20"/>
      <c r="S1598" s="234">
        <f>COUNTIFS(INP_DATA!$R$5:$R$3027,S$4,INP_DATA!$D$5:$D$3027,$D1598,INP_DATA!$B$5:$B$3027,$B1598)</f>
        <v>0</v>
      </c>
      <c r="T1598" s="235">
        <f>COUNTIFS(INP_DATA!$R$5:$R$3027,T$4,INP_DATA!$D$5:$D$3027,$D1598,INP_DATA!$B$5:$B$3027,$B1598)</f>
        <v>0</v>
      </c>
    </row>
    <row r="1599" spans="1:20" x14ac:dyDescent="0.35">
      <c r="A1599" s="3" t="str">
        <f>IF(D1599="","",(VLOOKUP($D1599,KEY!$B$5:$D$74,3,FALSE)))</f>
        <v>Northern California</v>
      </c>
      <c r="B1599" s="165">
        <f t="shared" si="11"/>
        <v>45748</v>
      </c>
      <c r="C1599" s="57" t="str">
        <f>IF($B1599="","",YEAR($B1599)&amp;"-"&amp;IFERROR(VLOOKUP(MONTH(B1599),KEY!$AE$5:$AF$16,2,FALSE),""))</f>
        <v>2025-Q2</v>
      </c>
      <c r="D1599" s="3" t="s">
        <v>195</v>
      </c>
      <c r="E1599" s="219">
        <v>5</v>
      </c>
      <c r="F1599" s="166">
        <v>57</v>
      </c>
      <c r="G1599" s="166">
        <v>48</v>
      </c>
      <c r="H1599" s="21">
        <v>185</v>
      </c>
      <c r="I1599" s="21">
        <v>30</v>
      </c>
      <c r="J1599" s="21">
        <v>45</v>
      </c>
      <c r="K1599" s="21">
        <v>12</v>
      </c>
      <c r="L1599" s="21">
        <v>111</v>
      </c>
      <c r="M1599" s="21">
        <v>36</v>
      </c>
      <c r="N1599" s="21">
        <v>57</v>
      </c>
      <c r="O1599" s="19">
        <v>110</v>
      </c>
      <c r="P1599" s="22">
        <v>10</v>
      </c>
      <c r="Q1599" s="22">
        <v>9</v>
      </c>
      <c r="R1599" s="20"/>
      <c r="S1599" s="234">
        <f>COUNTIFS(INP_DATA!$R$5:$R$3027,S$4,INP_DATA!$D$5:$D$3027,$D1599,INP_DATA!$B$5:$B$3027,$B1599)</f>
        <v>0</v>
      </c>
      <c r="T1599" s="235">
        <f>COUNTIFS(INP_DATA!$R$5:$R$3027,T$4,INP_DATA!$D$5:$D$3027,$D1599,INP_DATA!$B$5:$B$3027,$B1599)</f>
        <v>0</v>
      </c>
    </row>
    <row r="1600" spans="1:20" x14ac:dyDescent="0.35">
      <c r="A1600" s="3" t="str">
        <f>IF(D1600="","",(VLOOKUP($D1600,KEY!$B$5:$D$74,3,FALSE)))</f>
        <v>Northern California</v>
      </c>
      <c r="B1600" s="165">
        <f t="shared" si="11"/>
        <v>45748</v>
      </c>
      <c r="C1600" s="57" t="str">
        <f>IF($B1600="","",YEAR($B1600)&amp;"-"&amp;IFERROR(VLOOKUP(MONTH(B1600),KEY!$AE$5:$AF$16,2,FALSE),""))</f>
        <v>2025-Q2</v>
      </c>
      <c r="D1600" s="3" t="s">
        <v>125</v>
      </c>
      <c r="E1600" s="219">
        <v>25</v>
      </c>
      <c r="F1600" s="166">
        <v>229</v>
      </c>
      <c r="G1600" s="166">
        <v>260</v>
      </c>
      <c r="H1600" s="21">
        <v>392</v>
      </c>
      <c r="I1600" s="21">
        <v>44</v>
      </c>
      <c r="J1600" s="21">
        <v>197</v>
      </c>
      <c r="K1600" s="21">
        <v>42</v>
      </c>
      <c r="L1600" s="21">
        <v>375</v>
      </c>
      <c r="M1600" s="21">
        <v>79</v>
      </c>
      <c r="N1600" s="21">
        <v>240</v>
      </c>
      <c r="O1600" s="19">
        <v>418</v>
      </c>
      <c r="P1600" s="22">
        <v>14</v>
      </c>
      <c r="Q1600" s="22">
        <v>12</v>
      </c>
      <c r="R1600" s="20"/>
      <c r="S1600" s="234">
        <f>COUNTIFS(INP_DATA!$R$5:$R$3027,S$4,INP_DATA!$D$5:$D$3027,$D1600,INP_DATA!$B$5:$B$3027,$B1600)</f>
        <v>0</v>
      </c>
      <c r="T1600" s="235">
        <f>COUNTIFS(INP_DATA!$R$5:$R$3027,T$4,INP_DATA!$D$5:$D$3027,$D1600,INP_DATA!$B$5:$B$3027,$B1600)</f>
        <v>0</v>
      </c>
    </row>
    <row r="1601" spans="1:20" x14ac:dyDescent="0.35">
      <c r="A1601" s="3" t="str">
        <f>IF(D1601="","",(VLOOKUP($D1601,KEY!$B$5:$D$74,3,FALSE)))</f>
        <v>Orange County</v>
      </c>
      <c r="B1601" s="165">
        <f t="shared" si="11"/>
        <v>45748</v>
      </c>
      <c r="C1601" s="57" t="str">
        <f>IF($B1601="","",YEAR($B1601)&amp;"-"&amp;IFERROR(VLOOKUP(MONTH(B1601),KEY!$AE$5:$AF$16,2,FALSE),""))</f>
        <v>2025-Q2</v>
      </c>
      <c r="D1601" s="3" t="s">
        <v>126</v>
      </c>
      <c r="E1601" s="219">
        <v>75</v>
      </c>
      <c r="F1601" s="166">
        <v>443</v>
      </c>
      <c r="G1601" s="166">
        <v>435</v>
      </c>
      <c r="H1601" s="21">
        <v>732</v>
      </c>
      <c r="I1601" s="21">
        <v>103</v>
      </c>
      <c r="J1601" s="21">
        <v>406</v>
      </c>
      <c r="K1601" s="21">
        <v>111</v>
      </c>
      <c r="L1601" s="21">
        <v>716</v>
      </c>
      <c r="M1601" s="21">
        <v>279</v>
      </c>
      <c r="N1601" s="21">
        <v>450</v>
      </c>
      <c r="O1601" s="19">
        <v>616</v>
      </c>
      <c r="P1601" s="22">
        <v>109</v>
      </c>
      <c r="Q1601" s="22">
        <v>69</v>
      </c>
      <c r="R1601" s="20"/>
      <c r="S1601" s="234">
        <f>COUNTIFS(INP_DATA!$R$5:$R$3027,S$4,INP_DATA!$D$5:$D$3027,$D1601,INP_DATA!$B$5:$B$3027,$B1601)</f>
        <v>0</v>
      </c>
      <c r="T1601" s="235">
        <f>COUNTIFS(INP_DATA!$R$5:$R$3027,T$4,INP_DATA!$D$5:$D$3027,$D1601,INP_DATA!$B$5:$B$3027,$B1601)</f>
        <v>0</v>
      </c>
    </row>
    <row r="1602" spans="1:20" x14ac:dyDescent="0.35">
      <c r="A1602" s="3" t="str">
        <f>IF(D1602="","",(VLOOKUP($D1602,KEY!$B$5:$D$74,3,FALSE)))</f>
        <v>Orange County</v>
      </c>
      <c r="B1602" s="165">
        <f t="shared" si="11"/>
        <v>45748</v>
      </c>
      <c r="C1602" s="57" t="str">
        <f>IF($B1602="","",YEAR($B1602)&amp;"-"&amp;IFERROR(VLOOKUP(MONTH(B1602),KEY!$AE$5:$AF$16,2,FALSE),""))</f>
        <v>2025-Q2</v>
      </c>
      <c r="D1602" s="3" t="s">
        <v>127</v>
      </c>
      <c r="E1602" s="219">
        <v>15</v>
      </c>
      <c r="F1602" s="166">
        <v>64</v>
      </c>
      <c r="G1602" s="166">
        <v>39</v>
      </c>
      <c r="H1602" s="21">
        <v>59</v>
      </c>
      <c r="I1602" s="21">
        <v>18</v>
      </c>
      <c r="J1602" s="21">
        <v>29</v>
      </c>
      <c r="K1602" s="21">
        <v>5</v>
      </c>
      <c r="L1602" s="21">
        <v>88</v>
      </c>
      <c r="M1602" s="21">
        <v>48</v>
      </c>
      <c r="N1602" s="21">
        <v>64</v>
      </c>
      <c r="O1602" s="19">
        <v>77</v>
      </c>
      <c r="P1602" s="22">
        <v>2</v>
      </c>
      <c r="Q1602" s="22">
        <v>2</v>
      </c>
      <c r="R1602" s="20"/>
      <c r="S1602" s="234">
        <f>COUNTIFS(INP_DATA!$R$5:$R$3027,S$4,INP_DATA!$D$5:$D$3027,$D1602,INP_DATA!$B$5:$B$3027,$B1602)</f>
        <v>0</v>
      </c>
      <c r="T1602" s="235">
        <f>COUNTIFS(INP_DATA!$R$5:$R$3027,T$4,INP_DATA!$D$5:$D$3027,$D1602,INP_DATA!$B$5:$B$3027,$B1602)</f>
        <v>0</v>
      </c>
    </row>
    <row r="1603" spans="1:20" x14ac:dyDescent="0.35">
      <c r="A1603" s="3" t="str">
        <f>IF(D1603="","",(VLOOKUP($D1603,KEY!$B$5:$D$74,3,FALSE)))</f>
        <v>Wisconsin</v>
      </c>
      <c r="B1603" s="165">
        <f t="shared" si="11"/>
        <v>45748</v>
      </c>
      <c r="C1603" s="57" t="str">
        <f>IF($B1603="","",YEAR($B1603)&amp;"-"&amp;IFERROR(VLOOKUP(MONTH(B1603),KEY!$AE$5:$AF$16,2,FALSE),""))</f>
        <v>2025-Q2</v>
      </c>
      <c r="D1603" s="3" t="s">
        <v>201</v>
      </c>
      <c r="E1603" s="219">
        <v>29</v>
      </c>
      <c r="F1603" s="166">
        <v>231</v>
      </c>
      <c r="G1603" s="166">
        <v>252</v>
      </c>
      <c r="H1603" s="21">
        <v>323</v>
      </c>
      <c r="I1603" s="21">
        <v>59</v>
      </c>
      <c r="J1603" s="21">
        <v>233</v>
      </c>
      <c r="K1603" s="21">
        <v>39</v>
      </c>
      <c r="L1603" s="21">
        <v>293</v>
      </c>
      <c r="M1603" s="21">
        <v>116</v>
      </c>
      <c r="N1603" s="21">
        <v>232</v>
      </c>
      <c r="O1603" s="19">
        <v>308</v>
      </c>
      <c r="P1603" s="22">
        <v>10</v>
      </c>
      <c r="Q1603" s="22">
        <v>6</v>
      </c>
      <c r="R1603" s="20"/>
      <c r="S1603" s="234">
        <f>COUNTIFS(INP_DATA!$R$5:$R$3027,S$4,INP_DATA!$D$5:$D$3027,$D1603,INP_DATA!$B$5:$B$3027,$B1603)</f>
        <v>0</v>
      </c>
      <c r="T1603" s="235">
        <f>COUNTIFS(INP_DATA!$R$5:$R$3027,T$4,INP_DATA!$D$5:$D$3027,$D1603,INP_DATA!$B$5:$B$3027,$B1603)</f>
        <v>0</v>
      </c>
    </row>
    <row r="1604" spans="1:20" x14ac:dyDescent="0.35">
      <c r="A1604" s="3" t="e">
        <f>IF(D1604="","",(VLOOKUP($D1604,KEY!$B$5:$D$74,3,FALSE)))</f>
        <v>#N/A</v>
      </c>
      <c r="B1604" s="165">
        <f t="shared" si="11"/>
        <v>45748</v>
      </c>
      <c r="C1604" s="57" t="str">
        <f>IF($B1604="","",YEAR($B1604)&amp;"-"&amp;IFERROR(VLOOKUP(MONTH(B1604),KEY!$AE$5:$AF$16,2,FALSE),""))</f>
        <v>2025-Q2</v>
      </c>
      <c r="D1604" s="3" t="s">
        <v>202</v>
      </c>
      <c r="E1604" s="219">
        <v>2</v>
      </c>
      <c r="F1604" s="166">
        <v>31</v>
      </c>
      <c r="G1604" s="166">
        <v>35</v>
      </c>
      <c r="H1604" s="21">
        <v>87</v>
      </c>
      <c r="I1604" s="21">
        <v>13</v>
      </c>
      <c r="J1604" s="21">
        <v>30</v>
      </c>
      <c r="K1604" s="21">
        <v>8</v>
      </c>
      <c r="L1604" s="21">
        <v>30</v>
      </c>
      <c r="M1604" s="21">
        <v>19</v>
      </c>
      <c r="N1604" s="21">
        <v>34</v>
      </c>
      <c r="O1604" s="19">
        <v>66</v>
      </c>
      <c r="P1604" s="22">
        <v>6</v>
      </c>
      <c r="Q1604" s="22">
        <v>3</v>
      </c>
      <c r="R1604" s="20"/>
      <c r="S1604" s="234">
        <f>COUNTIFS(INP_DATA!$R$5:$R$3027,S$4,INP_DATA!$D$5:$D$3027,$D1604,INP_DATA!$B$5:$B$3027,$B1604)</f>
        <v>0</v>
      </c>
      <c r="T1604" s="235">
        <f>COUNTIFS(INP_DATA!$R$5:$R$3027,T$4,INP_DATA!$D$5:$D$3027,$D1604,INP_DATA!$B$5:$B$3027,$B1604)</f>
        <v>0</v>
      </c>
    </row>
    <row r="1605" spans="1:20" x14ac:dyDescent="0.35">
      <c r="A1605" s="3" t="str">
        <f>IF(D1605="","",(VLOOKUP($D1605,KEY!$B$5:$D$74,3,FALSE)))</f>
        <v>Texas</v>
      </c>
      <c r="B1605" s="165">
        <f t="shared" si="11"/>
        <v>45748</v>
      </c>
      <c r="C1605" s="57" t="str">
        <f>IF($B1605="","",YEAR($B1605)&amp;"-"&amp;IFERROR(VLOOKUP(MONTH(B1605),KEY!$AE$5:$AF$16,2,FALSE),""))</f>
        <v>2025-Q2</v>
      </c>
      <c r="D1605" s="3" t="s">
        <v>198</v>
      </c>
      <c r="E1605" s="219">
        <v>4</v>
      </c>
      <c r="F1605" s="166">
        <v>60</v>
      </c>
      <c r="G1605" s="166">
        <v>39</v>
      </c>
      <c r="H1605" s="21">
        <v>172</v>
      </c>
      <c r="I1605" s="21">
        <v>21</v>
      </c>
      <c r="J1605" s="21">
        <v>92</v>
      </c>
      <c r="K1605" s="21">
        <v>13</v>
      </c>
      <c r="L1605" s="21">
        <v>85</v>
      </c>
      <c r="M1605" s="21">
        <v>28</v>
      </c>
      <c r="N1605" s="21">
        <v>61</v>
      </c>
      <c r="O1605" s="19">
        <v>154</v>
      </c>
      <c r="P1605" s="22">
        <v>2</v>
      </c>
      <c r="Q1605" s="22">
        <v>1</v>
      </c>
      <c r="R1605" s="20"/>
      <c r="S1605" s="234">
        <f>COUNTIFS(INP_DATA!$R$5:$R$3027,S$4,INP_DATA!$D$5:$D$3027,$D1605,INP_DATA!$B$5:$B$3027,$B1605)</f>
        <v>0</v>
      </c>
      <c r="T1605" s="235">
        <f>COUNTIFS(INP_DATA!$R$5:$R$3027,T$4,INP_DATA!$D$5:$D$3027,$D1605,INP_DATA!$B$5:$B$3027,$B1605)</f>
        <v>0</v>
      </c>
    </row>
    <row r="1606" spans="1:20" x14ac:dyDescent="0.35">
      <c r="A1606" s="3" t="str">
        <f>IF(D1606="","",(VLOOKUP($D1606,KEY!$B$5:$D$74,3,FALSE)))</f>
        <v>Texas</v>
      </c>
      <c r="B1606" s="165">
        <f t="shared" si="11"/>
        <v>45748</v>
      </c>
      <c r="C1606" s="57" t="str">
        <f>IF($B1606="","",YEAR($B1606)&amp;"-"&amp;IFERROR(VLOOKUP(MONTH(B1606),KEY!$AE$5:$AF$16,2,FALSE),""))</f>
        <v>2025-Q2</v>
      </c>
      <c r="D1606" s="3" t="s">
        <v>128</v>
      </c>
      <c r="E1606" s="219">
        <v>54</v>
      </c>
      <c r="F1606" s="166">
        <v>315</v>
      </c>
      <c r="G1606" s="166">
        <v>224</v>
      </c>
      <c r="H1606" s="21">
        <v>745</v>
      </c>
      <c r="I1606" s="21">
        <v>105</v>
      </c>
      <c r="J1606" s="21">
        <v>221</v>
      </c>
      <c r="K1606" s="21">
        <v>46</v>
      </c>
      <c r="L1606" s="21">
        <v>453</v>
      </c>
      <c r="M1606" s="21">
        <v>151</v>
      </c>
      <c r="N1606" s="21">
        <v>316</v>
      </c>
      <c r="O1606" s="19">
        <v>352</v>
      </c>
      <c r="P1606" s="22">
        <v>5</v>
      </c>
      <c r="Q1606" s="22">
        <v>3</v>
      </c>
      <c r="R1606" s="20"/>
      <c r="S1606" s="234">
        <f>COUNTIFS(INP_DATA!$R$5:$R$3027,S$4,INP_DATA!$D$5:$D$3027,$D1606,INP_DATA!$B$5:$B$3027,$B1606)</f>
        <v>0</v>
      </c>
      <c r="T1606" s="235">
        <f>COUNTIFS(INP_DATA!$R$5:$R$3027,T$4,INP_DATA!$D$5:$D$3027,$D1606,INP_DATA!$B$5:$B$3027,$B1606)</f>
        <v>0</v>
      </c>
    </row>
    <row r="1607" spans="1:20" x14ac:dyDescent="0.35">
      <c r="A1607" s="3" t="str">
        <f>IF(D1607="","",(VLOOKUP($D1607,KEY!$B$5:$D$74,3,FALSE)))</f>
        <v>Northern California</v>
      </c>
      <c r="B1607" s="165">
        <f t="shared" si="11"/>
        <v>45748</v>
      </c>
      <c r="C1607" s="57" t="str">
        <f>IF($B1607="","",YEAR($B1607)&amp;"-"&amp;IFERROR(VLOOKUP(MONTH(B1607),KEY!$AE$5:$AF$16,2,FALSE),""))</f>
        <v>2025-Q2</v>
      </c>
      <c r="D1607" s="3" t="s">
        <v>129</v>
      </c>
      <c r="E1607" s="219">
        <v>25</v>
      </c>
      <c r="F1607" s="166">
        <v>190</v>
      </c>
      <c r="G1607" s="166">
        <v>185</v>
      </c>
      <c r="H1607" s="21">
        <v>352</v>
      </c>
      <c r="I1607" s="21">
        <v>58</v>
      </c>
      <c r="J1607" s="21">
        <v>186</v>
      </c>
      <c r="K1607" s="21">
        <v>51</v>
      </c>
      <c r="L1607" s="21">
        <v>309</v>
      </c>
      <c r="M1607" s="21">
        <v>83</v>
      </c>
      <c r="N1607" s="21">
        <v>194</v>
      </c>
      <c r="O1607" s="19">
        <v>330</v>
      </c>
      <c r="P1607" s="22">
        <v>18</v>
      </c>
      <c r="Q1607" s="22">
        <v>14</v>
      </c>
      <c r="R1607" s="20"/>
      <c r="S1607" s="234">
        <f>COUNTIFS(INP_DATA!$R$5:$R$3027,S$4,INP_DATA!$D$5:$D$3027,$D1607,INP_DATA!$B$5:$B$3027,$B1607)</f>
        <v>0</v>
      </c>
      <c r="T1607" s="235">
        <f>COUNTIFS(INP_DATA!$R$5:$R$3027,T$4,INP_DATA!$D$5:$D$3027,$D1607,INP_DATA!$B$5:$B$3027,$B1607)</f>
        <v>0</v>
      </c>
    </row>
    <row r="1608" spans="1:20" x14ac:dyDescent="0.35">
      <c r="A1608" s="3" t="str">
        <f>IF(D1608="","",(VLOOKUP($D1608,KEY!$B$5:$D$74,3,FALSE)))</f>
        <v>Southern California</v>
      </c>
      <c r="B1608" s="165">
        <f t="shared" si="11"/>
        <v>45748</v>
      </c>
      <c r="C1608" s="57" t="str">
        <f>IF($B1608="","",YEAR($B1608)&amp;"-"&amp;IFERROR(VLOOKUP(MONTH(B1608),KEY!$AE$5:$AF$16,2,FALSE),""))</f>
        <v>2025-Q2</v>
      </c>
      <c r="D1608" s="3" t="s">
        <v>130</v>
      </c>
      <c r="E1608" s="219">
        <v>24</v>
      </c>
      <c r="F1608" s="166">
        <v>214</v>
      </c>
      <c r="G1608" s="166">
        <v>116</v>
      </c>
      <c r="H1608" s="21">
        <v>741</v>
      </c>
      <c r="I1608" s="21">
        <v>69</v>
      </c>
      <c r="J1608" s="21">
        <v>327</v>
      </c>
      <c r="K1608" s="21">
        <v>44</v>
      </c>
      <c r="L1608" s="21">
        <v>315</v>
      </c>
      <c r="M1608" s="21">
        <v>104</v>
      </c>
      <c r="N1608" s="21">
        <v>221</v>
      </c>
      <c r="O1608" s="19">
        <v>242</v>
      </c>
      <c r="P1608" s="22">
        <v>19</v>
      </c>
      <c r="Q1608" s="22">
        <v>14</v>
      </c>
      <c r="R1608" s="20"/>
      <c r="S1608" s="234">
        <f>COUNTIFS(INP_DATA!$R$5:$R$3027,S$4,INP_DATA!$D$5:$D$3027,$D1608,INP_DATA!$B$5:$B$3027,$B1608)</f>
        <v>0</v>
      </c>
      <c r="T1608" s="235">
        <f>COUNTIFS(INP_DATA!$R$5:$R$3027,T$4,INP_DATA!$D$5:$D$3027,$D1608,INP_DATA!$B$5:$B$3027,$B1608)</f>
        <v>0</v>
      </c>
    </row>
    <row r="1609" spans="1:20" x14ac:dyDescent="0.35">
      <c r="A1609" s="3" t="str">
        <f>IF(D1609="","",(VLOOKUP($D1609,KEY!$B$5:$D$74,3,FALSE)))</f>
        <v>Texas</v>
      </c>
      <c r="B1609" s="165">
        <f t="shared" si="11"/>
        <v>45748</v>
      </c>
      <c r="C1609" s="57" t="str">
        <f>IF($B1609="","",YEAR($B1609)&amp;"-"&amp;IFERROR(VLOOKUP(MONTH(B1609),KEY!$AE$5:$AF$16,2,FALSE),""))</f>
        <v>2025-Q2</v>
      </c>
      <c r="D1609" s="3" t="s">
        <v>210</v>
      </c>
      <c r="E1609" s="219">
        <v>2</v>
      </c>
      <c r="F1609" s="166">
        <v>0</v>
      </c>
      <c r="G1609" s="166">
        <v>0</v>
      </c>
      <c r="H1609" s="21">
        <v>422</v>
      </c>
      <c r="I1609" s="21">
        <v>44</v>
      </c>
      <c r="J1609" s="21">
        <v>118</v>
      </c>
      <c r="K1609" s="21">
        <v>13</v>
      </c>
      <c r="L1609" s="21">
        <v>172</v>
      </c>
      <c r="M1609" s="21">
        <v>63</v>
      </c>
      <c r="N1609" s="21">
        <v>0</v>
      </c>
      <c r="O1609" s="19">
        <v>132</v>
      </c>
      <c r="P1609" s="22">
        <v>0</v>
      </c>
      <c r="Q1609" s="22">
        <v>0</v>
      </c>
      <c r="R1609" s="20"/>
      <c r="S1609" s="234">
        <f>COUNTIFS(INP_DATA!$R$5:$R$3027,S$4,INP_DATA!$D$5:$D$3027,$D1609,INP_DATA!$B$5:$B$3027,$B1609)</f>
        <v>0</v>
      </c>
      <c r="T1609" s="235">
        <f>COUNTIFS(INP_DATA!$R$5:$R$3027,T$4,INP_DATA!$D$5:$D$3027,$D1609,INP_DATA!$B$5:$B$3027,$B1609)</f>
        <v>0</v>
      </c>
    </row>
    <row r="1610" spans="1:20" x14ac:dyDescent="0.35">
      <c r="A1610" s="3" t="e">
        <f>IF(D1610="","",(VLOOKUP($D1610,KEY!$B$5:$D$74,3,FALSE)))</f>
        <v>#N/A</v>
      </c>
      <c r="B1610" s="165">
        <f t="shared" si="11"/>
        <v>45748</v>
      </c>
      <c r="C1610" s="57" t="str">
        <f>IF($B1610="","",YEAR($B1610)&amp;"-"&amp;IFERROR(VLOOKUP(MONTH(B1610),KEY!$AE$5:$AF$16,2,FALSE),""))</f>
        <v>2025-Q2</v>
      </c>
      <c r="D1610" s="3" t="s">
        <v>203</v>
      </c>
      <c r="E1610" s="219">
        <v>9</v>
      </c>
      <c r="F1610" s="166">
        <v>99</v>
      </c>
      <c r="G1610" s="166">
        <v>129</v>
      </c>
      <c r="H1610" s="21">
        <v>153</v>
      </c>
      <c r="I1610" s="21">
        <v>20</v>
      </c>
      <c r="J1610" s="21">
        <v>69</v>
      </c>
      <c r="K1610" s="21">
        <v>18</v>
      </c>
      <c r="L1610" s="21">
        <v>89</v>
      </c>
      <c r="M1610" s="21">
        <v>53</v>
      </c>
      <c r="N1610" s="21">
        <v>100</v>
      </c>
      <c r="O1610" s="19">
        <v>154</v>
      </c>
      <c r="P1610" s="22">
        <v>14</v>
      </c>
      <c r="Q1610" s="22">
        <v>3</v>
      </c>
      <c r="R1610" s="20"/>
      <c r="S1610" s="234">
        <f>COUNTIFS(INP_DATA!$R$5:$R$3027,S$4,INP_DATA!$D$5:$D$3027,$D1610,INP_DATA!$B$5:$B$3027,$B1610)</f>
        <v>0</v>
      </c>
      <c r="T1610" s="235">
        <f>COUNTIFS(INP_DATA!$R$5:$R$3027,T$4,INP_DATA!$D$5:$D$3027,$D1610,INP_DATA!$B$5:$B$3027,$B1610)</f>
        <v>0</v>
      </c>
    </row>
    <row r="1611" spans="1:20" x14ac:dyDescent="0.35">
      <c r="A1611" s="3">
        <f>IF(D1611="","",(VLOOKUP($D1611,KEY!$B$5:$D$74,3,FALSE)))</f>
        <v>0</v>
      </c>
      <c r="B1611" s="165">
        <f t="shared" si="11"/>
        <v>45748</v>
      </c>
      <c r="C1611" s="57" t="str">
        <f>IF($B1611="","",YEAR($B1611)&amp;"-"&amp;IFERROR(VLOOKUP(MONTH(B1611),KEY!$AE$5:$AF$16,2,FALSE),""))</f>
        <v>2025-Q2</v>
      </c>
      <c r="D1611" s="3" t="s">
        <v>131</v>
      </c>
      <c r="E1611" s="219">
        <v>62</v>
      </c>
      <c r="F1611" s="166">
        <v>185</v>
      </c>
      <c r="G1611" s="166">
        <v>163</v>
      </c>
      <c r="H1611" s="21">
        <v>195</v>
      </c>
      <c r="I1611" s="21">
        <v>31</v>
      </c>
      <c r="J1611" s="21">
        <v>100</v>
      </c>
      <c r="K1611" s="21">
        <v>25</v>
      </c>
      <c r="L1611" s="21">
        <v>308</v>
      </c>
      <c r="M1611" s="21">
        <v>91</v>
      </c>
      <c r="N1611" s="21">
        <v>195</v>
      </c>
      <c r="O1611" s="19">
        <v>264</v>
      </c>
      <c r="P1611" s="22">
        <v>4</v>
      </c>
      <c r="Q1611" s="22">
        <v>3</v>
      </c>
      <c r="R1611" s="20"/>
      <c r="S1611" s="234">
        <f>COUNTIFS(INP_DATA!$R$5:$R$3027,S$4,INP_DATA!$D$5:$D$3027,$D1611,INP_DATA!$B$5:$B$3027,$B1611)</f>
        <v>0</v>
      </c>
      <c r="T1611" s="235">
        <f>COUNTIFS(INP_DATA!$R$5:$R$3027,T$4,INP_DATA!$D$5:$D$3027,$D1611,INP_DATA!$B$5:$B$3027,$B1611)</f>
        <v>0</v>
      </c>
    </row>
    <row r="1612" spans="1:20" x14ac:dyDescent="0.35">
      <c r="A1612" s="3" t="e">
        <f>IF(D1612="","",(VLOOKUP($D1612,KEY!$B$5:$D$74,3,FALSE)))</f>
        <v>#N/A</v>
      </c>
      <c r="B1612" s="165">
        <f t="shared" si="11"/>
        <v>45748</v>
      </c>
      <c r="C1612" s="57" t="str">
        <f>IF($B1612="","",YEAR($B1612)&amp;"-"&amp;IFERROR(VLOOKUP(MONTH(B1612),KEY!$AE$5:$AF$16,2,FALSE),""))</f>
        <v>2025-Q2</v>
      </c>
      <c r="D1612" s="3" t="s">
        <v>134</v>
      </c>
      <c r="E1612" s="219">
        <v>9</v>
      </c>
      <c r="F1612" s="166">
        <v>47</v>
      </c>
      <c r="G1612" s="166">
        <v>30</v>
      </c>
      <c r="H1612" s="21">
        <v>90</v>
      </c>
      <c r="I1612" s="21">
        <v>15</v>
      </c>
      <c r="J1612" s="21">
        <v>42</v>
      </c>
      <c r="K1612" s="21">
        <v>9</v>
      </c>
      <c r="L1612" s="21">
        <v>78</v>
      </c>
      <c r="M1612" s="21">
        <v>18</v>
      </c>
      <c r="N1612" s="21">
        <v>46</v>
      </c>
      <c r="O1612" s="19">
        <v>110</v>
      </c>
      <c r="P1612" s="22">
        <v>7</v>
      </c>
      <c r="Q1612" s="22">
        <v>5</v>
      </c>
      <c r="R1612" s="20"/>
      <c r="S1612" s="234">
        <f>COUNTIFS(INP_DATA!$R$5:$R$3027,S$4,INP_DATA!$D$5:$D$3027,$D1612,INP_DATA!$B$5:$B$3027,$B1612)</f>
        <v>0</v>
      </c>
      <c r="T1612" s="235">
        <f>COUNTIFS(INP_DATA!$R$5:$R$3027,T$4,INP_DATA!$D$5:$D$3027,$D1612,INP_DATA!$B$5:$B$3027,$B1612)</f>
        <v>0</v>
      </c>
    </row>
    <row r="1613" spans="1:20" x14ac:dyDescent="0.35">
      <c r="A1613" s="3" t="str">
        <f>IF(D1613="","",(VLOOKUP($D1613,KEY!$B$5:$D$74,3,FALSE)))</f>
        <v>Southern California</v>
      </c>
      <c r="B1613" s="165">
        <f t="shared" si="11"/>
        <v>45748</v>
      </c>
      <c r="C1613" s="57" t="str">
        <f>IF($B1613="","",YEAR($B1613)&amp;"-"&amp;IFERROR(VLOOKUP(MONTH(B1613),KEY!$AE$5:$AF$16,2,FALSE),""))</f>
        <v>2025-Q2</v>
      </c>
      <c r="D1613" s="3" t="s">
        <v>135</v>
      </c>
      <c r="E1613" s="219">
        <v>36</v>
      </c>
      <c r="F1613" s="166">
        <v>228</v>
      </c>
      <c r="G1613" s="166">
        <v>261</v>
      </c>
      <c r="H1613" s="21">
        <v>468</v>
      </c>
      <c r="I1613" s="21">
        <v>76</v>
      </c>
      <c r="J1613" s="21">
        <v>333</v>
      </c>
      <c r="K1613" s="21">
        <v>76</v>
      </c>
      <c r="L1613" s="21">
        <v>486</v>
      </c>
      <c r="M1613" s="21">
        <v>132</v>
      </c>
      <c r="N1613" s="21">
        <v>229</v>
      </c>
      <c r="O1613" s="19">
        <v>308</v>
      </c>
      <c r="P1613" s="22">
        <v>18</v>
      </c>
      <c r="Q1613" s="22">
        <v>12</v>
      </c>
      <c r="R1613" s="20"/>
      <c r="S1613" s="234">
        <f>COUNTIFS(INP_DATA!$R$5:$R$3027,S$4,INP_DATA!$D$5:$D$3027,$D1613,INP_DATA!$B$5:$B$3027,$B1613)</f>
        <v>0</v>
      </c>
      <c r="T1613" s="235">
        <f>COUNTIFS(INP_DATA!$R$5:$R$3027,T$4,INP_DATA!$D$5:$D$3027,$D1613,INP_DATA!$B$5:$B$3027,$B1613)</f>
        <v>0</v>
      </c>
    </row>
    <row r="1614" spans="1:20" x14ac:dyDescent="0.35">
      <c r="A1614" s="3" t="str">
        <f>IF(D1614="","",(VLOOKUP($D1614,KEY!$B$5:$D$74,3,FALSE)))</f>
        <v>Arizona</v>
      </c>
      <c r="B1614" s="165">
        <f t="shared" si="11"/>
        <v>45748</v>
      </c>
      <c r="C1614" s="57" t="str">
        <f>IF($B1614="","",YEAR($B1614)&amp;"-"&amp;IFERROR(VLOOKUP(MONTH(B1614),KEY!$AE$5:$AF$16,2,FALSE),""))</f>
        <v>2025-Q2</v>
      </c>
      <c r="D1614" s="3" t="s">
        <v>204</v>
      </c>
      <c r="E1614" s="219">
        <v>3</v>
      </c>
      <c r="F1614" s="166">
        <v>9</v>
      </c>
      <c r="G1614" s="166">
        <v>0</v>
      </c>
      <c r="H1614" s="21">
        <v>15</v>
      </c>
      <c r="I1614" s="21">
        <v>2</v>
      </c>
      <c r="J1614" s="21">
        <v>20</v>
      </c>
      <c r="K1614" s="21">
        <v>2</v>
      </c>
      <c r="L1614" s="21">
        <v>22</v>
      </c>
      <c r="M1614" s="21">
        <v>8</v>
      </c>
      <c r="N1614" s="21">
        <v>9</v>
      </c>
      <c r="O1614" s="19">
        <v>22</v>
      </c>
      <c r="P1614" s="22">
        <v>1</v>
      </c>
      <c r="Q1614" s="22">
        <v>1</v>
      </c>
      <c r="R1614" s="20"/>
      <c r="S1614" s="234">
        <f>COUNTIFS(INP_DATA!$R$5:$R$3027,S$4,INP_DATA!$D$5:$D$3027,$D1614,INP_DATA!$B$5:$B$3027,$B1614)</f>
        <v>0</v>
      </c>
      <c r="T1614" s="235">
        <f>COUNTIFS(INP_DATA!$R$5:$R$3027,T$4,INP_DATA!$D$5:$D$3027,$D1614,INP_DATA!$B$5:$B$3027,$B1614)</f>
        <v>0</v>
      </c>
    </row>
    <row r="1615" spans="1:20" x14ac:dyDescent="0.35">
      <c r="A1615" s="3" t="str">
        <f>IF(D1615="","",(VLOOKUP($D1615,KEY!$B$5:$D$74,3,FALSE)))</f>
        <v>Arizona</v>
      </c>
      <c r="B1615" s="165">
        <f t="shared" si="11"/>
        <v>45748</v>
      </c>
      <c r="C1615" s="57" t="str">
        <f>IF($B1615="","",YEAR($B1615)&amp;"-"&amp;IFERROR(VLOOKUP(MONTH(B1615),KEY!$AE$5:$AF$16,2,FALSE),""))</f>
        <v>2025-Q2</v>
      </c>
      <c r="D1615" s="3" t="s">
        <v>196</v>
      </c>
      <c r="E1615" s="219">
        <v>12</v>
      </c>
      <c r="F1615" s="166">
        <v>47</v>
      </c>
      <c r="G1615" s="166">
        <v>55</v>
      </c>
      <c r="H1615" s="21">
        <v>62</v>
      </c>
      <c r="I1615" s="21">
        <v>12</v>
      </c>
      <c r="J1615" s="21">
        <v>47</v>
      </c>
      <c r="K1615" s="21">
        <v>10</v>
      </c>
      <c r="L1615" s="21">
        <v>108</v>
      </c>
      <c r="M1615" s="21">
        <v>44</v>
      </c>
      <c r="N1615" s="21">
        <v>47</v>
      </c>
      <c r="O1615" s="19">
        <v>132</v>
      </c>
      <c r="P1615" s="22">
        <v>5</v>
      </c>
      <c r="Q1615" s="22">
        <v>2</v>
      </c>
      <c r="R1615" s="20"/>
      <c r="S1615" s="234">
        <f>COUNTIFS(INP_DATA!$R$5:$R$3027,S$4,INP_DATA!$D$5:$D$3027,$D1615,INP_DATA!$B$5:$B$3027,$B1615)</f>
        <v>0</v>
      </c>
      <c r="T1615" s="235">
        <f>COUNTIFS(INP_DATA!$R$5:$R$3027,T$4,INP_DATA!$D$5:$D$3027,$D1615,INP_DATA!$B$5:$B$3027,$B1615)</f>
        <v>0</v>
      </c>
    </row>
    <row r="1616" spans="1:20" x14ac:dyDescent="0.35">
      <c r="A1616" s="3" t="str">
        <f>IF(D1616="","",(VLOOKUP($D1616,KEY!$B$5:$D$74,3,FALSE)))</f>
        <v>Arizona</v>
      </c>
      <c r="B1616" s="165">
        <f t="shared" si="11"/>
        <v>45748</v>
      </c>
      <c r="C1616" s="57" t="str">
        <f>IF($B1616="","",YEAR($B1616)&amp;"-"&amp;IFERROR(VLOOKUP(MONTH(B1616),KEY!$AE$5:$AF$16,2,FALSE),""))</f>
        <v>2025-Q2</v>
      </c>
      <c r="D1616" s="3" t="s">
        <v>197</v>
      </c>
      <c r="E1616" s="219">
        <v>15</v>
      </c>
      <c r="F1616" s="166">
        <v>93</v>
      </c>
      <c r="G1616" s="166">
        <v>83</v>
      </c>
      <c r="H1616" s="21">
        <v>127</v>
      </c>
      <c r="I1616" s="21">
        <v>21</v>
      </c>
      <c r="J1616" s="21">
        <v>91</v>
      </c>
      <c r="K1616" s="21">
        <v>22</v>
      </c>
      <c r="L1616" s="21">
        <v>159</v>
      </c>
      <c r="M1616" s="21">
        <v>71</v>
      </c>
      <c r="N1616" s="21">
        <v>94</v>
      </c>
      <c r="O1616" s="19">
        <v>242</v>
      </c>
      <c r="P1616" s="22">
        <v>2</v>
      </c>
      <c r="Q1616" s="22">
        <v>1</v>
      </c>
      <c r="R1616" s="20"/>
      <c r="S1616" s="234">
        <f>COUNTIFS(INP_DATA!$R$5:$R$3027,S$4,INP_DATA!$D$5:$D$3027,$D1616,INP_DATA!$B$5:$B$3027,$B1616)</f>
        <v>0</v>
      </c>
      <c r="T1616" s="235">
        <f>COUNTIFS(INP_DATA!$R$5:$R$3027,T$4,INP_DATA!$D$5:$D$3027,$D1616,INP_DATA!$B$5:$B$3027,$B1616)</f>
        <v>0</v>
      </c>
    </row>
    <row r="1617" spans="1:20" x14ac:dyDescent="0.35">
      <c r="A1617" s="3" t="str">
        <f>IF(D1617="","",(VLOOKUP($D1617,KEY!$B$5:$D$74,3,FALSE)))</f>
        <v>Texas</v>
      </c>
      <c r="B1617" s="165">
        <f t="shared" si="11"/>
        <v>45748</v>
      </c>
      <c r="C1617" s="57" t="str">
        <f>IF($B1617="","",YEAR($B1617)&amp;"-"&amp;IFERROR(VLOOKUP(MONTH(B1617),KEY!$AE$5:$AF$16,2,FALSE),""))</f>
        <v>2025-Q2</v>
      </c>
      <c r="D1617" s="3" t="s">
        <v>136</v>
      </c>
      <c r="E1617" s="219">
        <v>45</v>
      </c>
      <c r="F1617" s="166">
        <v>304</v>
      </c>
      <c r="G1617" s="166">
        <v>259</v>
      </c>
      <c r="H1617" s="21">
        <v>421</v>
      </c>
      <c r="I1617" s="21">
        <v>66</v>
      </c>
      <c r="J1617" s="21">
        <v>386</v>
      </c>
      <c r="K1617" s="21">
        <v>52</v>
      </c>
      <c r="L1617" s="21">
        <v>329</v>
      </c>
      <c r="M1617" s="21">
        <v>177</v>
      </c>
      <c r="N1617" s="21">
        <v>313</v>
      </c>
      <c r="O1617" s="19">
        <v>330</v>
      </c>
      <c r="P1617" s="22">
        <v>16</v>
      </c>
      <c r="Q1617" s="22">
        <v>13</v>
      </c>
      <c r="R1617" s="20"/>
      <c r="S1617" s="234">
        <f>COUNTIFS(INP_DATA!$R$5:$R$3027,S$4,INP_DATA!$D$5:$D$3027,$D1617,INP_DATA!$B$5:$B$3027,$B1617)</f>
        <v>0</v>
      </c>
      <c r="T1617" s="235">
        <f>COUNTIFS(INP_DATA!$R$5:$R$3027,T$4,INP_DATA!$D$5:$D$3027,$D1617,INP_DATA!$B$5:$B$3027,$B1617)</f>
        <v>0</v>
      </c>
    </row>
    <row r="1618" spans="1:20" x14ac:dyDescent="0.35">
      <c r="A1618" s="3" t="str">
        <f>IF(D1618="","",(VLOOKUP($D1618,KEY!$B$5:$D$74,3,FALSE)))</f>
        <v>Arizona</v>
      </c>
      <c r="B1618" s="165">
        <f t="shared" si="11"/>
        <v>45748</v>
      </c>
      <c r="C1618" s="57" t="str">
        <f>IF($B1618="","",YEAR($B1618)&amp;"-"&amp;IFERROR(VLOOKUP(MONTH(B1618),KEY!$AE$5:$AF$16,2,FALSE),""))</f>
        <v>2025-Q2</v>
      </c>
      <c r="D1618" s="3" t="s">
        <v>137</v>
      </c>
      <c r="E1618" s="219">
        <v>20</v>
      </c>
      <c r="F1618" s="166">
        <v>114</v>
      </c>
      <c r="G1618" s="166">
        <v>94</v>
      </c>
      <c r="H1618" s="21">
        <v>220</v>
      </c>
      <c r="I1618" s="21">
        <v>31</v>
      </c>
      <c r="J1618" s="21">
        <v>162</v>
      </c>
      <c r="K1618" s="21">
        <v>18</v>
      </c>
      <c r="L1618" s="21">
        <v>154</v>
      </c>
      <c r="M1618" s="21">
        <v>80</v>
      </c>
      <c r="N1618" s="21">
        <v>119</v>
      </c>
      <c r="O1618" s="19">
        <v>176</v>
      </c>
      <c r="P1618" s="22">
        <v>4</v>
      </c>
      <c r="Q1618" s="22">
        <v>3</v>
      </c>
      <c r="R1618" s="20"/>
      <c r="S1618" s="234">
        <f>COUNTIFS(INP_DATA!$R$5:$R$3027,S$4,INP_DATA!$D$5:$D$3027,$D1618,INP_DATA!$B$5:$B$3027,$B1618)</f>
        <v>0</v>
      </c>
      <c r="T1618" s="235">
        <f>COUNTIFS(INP_DATA!$R$5:$R$3027,T$4,INP_DATA!$D$5:$D$3027,$D1618,INP_DATA!$B$5:$B$3027,$B1618)</f>
        <v>0</v>
      </c>
    </row>
    <row r="1619" spans="1:20" x14ac:dyDescent="0.35">
      <c r="A1619" s="3" t="str">
        <f>IF(D1619="","",(VLOOKUP($D1619,KEY!$B$5:$D$74,3,FALSE)))</f>
        <v>Texas</v>
      </c>
      <c r="B1619" s="165">
        <f t="shared" si="11"/>
        <v>45748</v>
      </c>
      <c r="C1619" s="57" t="str">
        <f>IF($B1619="","",YEAR($B1619)&amp;"-"&amp;IFERROR(VLOOKUP(MONTH(B1619),KEY!$AE$5:$AF$16,2,FALSE),""))</f>
        <v>2025-Q2</v>
      </c>
      <c r="D1619" s="3" t="s">
        <v>138</v>
      </c>
      <c r="E1619" s="219">
        <v>33</v>
      </c>
      <c r="F1619" s="166">
        <v>176</v>
      </c>
      <c r="G1619" s="166">
        <v>133</v>
      </c>
      <c r="H1619" s="21">
        <v>206</v>
      </c>
      <c r="I1619" s="21">
        <v>39</v>
      </c>
      <c r="J1619" s="21">
        <v>197</v>
      </c>
      <c r="K1619" s="21">
        <v>53</v>
      </c>
      <c r="L1619" s="21">
        <v>356</v>
      </c>
      <c r="M1619" s="21">
        <v>140</v>
      </c>
      <c r="N1619" s="21">
        <v>178</v>
      </c>
      <c r="O1619" s="19">
        <v>220</v>
      </c>
      <c r="P1619" s="22">
        <v>13</v>
      </c>
      <c r="Q1619" s="22">
        <v>12</v>
      </c>
      <c r="R1619" s="20"/>
      <c r="S1619" s="234">
        <f>COUNTIFS(INP_DATA!$R$5:$R$3027,S$4,INP_DATA!$D$5:$D$3027,$D1619,INP_DATA!$B$5:$B$3027,$B1619)</f>
        <v>0</v>
      </c>
      <c r="T1619" s="235">
        <f>COUNTIFS(INP_DATA!$R$5:$R$3027,T$4,INP_DATA!$D$5:$D$3027,$D1619,INP_DATA!$B$5:$B$3027,$B1619)</f>
        <v>0</v>
      </c>
    </row>
    <row r="1620" spans="1:20" x14ac:dyDescent="0.35">
      <c r="A1620" s="3" t="str">
        <f>IF(D1620="","",(VLOOKUP($D1620,KEY!$B$5:$D$74,3,FALSE)))</f>
        <v>Southern California</v>
      </c>
      <c r="B1620" s="165">
        <f t="shared" si="11"/>
        <v>45748</v>
      </c>
      <c r="C1620" s="57" t="str">
        <f>IF($B1620="","",YEAR($B1620)&amp;"-"&amp;IFERROR(VLOOKUP(MONTH(B1620),KEY!$AE$5:$AF$16,2,FALSE),""))</f>
        <v>2025-Q2</v>
      </c>
      <c r="D1620" s="3" t="s">
        <v>139</v>
      </c>
      <c r="E1620" s="219">
        <v>40</v>
      </c>
      <c r="F1620" s="166">
        <v>241</v>
      </c>
      <c r="G1620" s="166">
        <v>210</v>
      </c>
      <c r="H1620" s="21">
        <v>345</v>
      </c>
      <c r="I1620" s="21">
        <v>64</v>
      </c>
      <c r="J1620" s="21">
        <v>158</v>
      </c>
      <c r="K1620" s="21">
        <v>43</v>
      </c>
      <c r="L1620" s="21">
        <v>540</v>
      </c>
      <c r="M1620" s="21">
        <v>167</v>
      </c>
      <c r="N1620" s="21">
        <v>246</v>
      </c>
      <c r="O1620" s="19">
        <v>308</v>
      </c>
      <c r="P1620" s="22">
        <v>15</v>
      </c>
      <c r="Q1620" s="22">
        <v>12</v>
      </c>
      <c r="R1620" s="20"/>
      <c r="S1620" s="234">
        <f>COUNTIFS(INP_DATA!$R$5:$R$3027,S$4,INP_DATA!$D$5:$D$3027,$D1620,INP_DATA!$B$5:$B$3027,$B1620)</f>
        <v>0</v>
      </c>
      <c r="T1620" s="235">
        <f>COUNTIFS(INP_DATA!$R$5:$R$3027,T$4,INP_DATA!$D$5:$D$3027,$D1620,INP_DATA!$B$5:$B$3027,$B1620)</f>
        <v>0</v>
      </c>
    </row>
    <row r="1621" spans="1:20" x14ac:dyDescent="0.35">
      <c r="A1621" s="3" t="str">
        <f>IF(D1621="","",(VLOOKUP($D1621,KEY!$B$5:$D$74,3,FALSE)))</f>
        <v>Orange County</v>
      </c>
      <c r="B1621" s="165">
        <f t="shared" si="11"/>
        <v>45748</v>
      </c>
      <c r="C1621" s="57" t="str">
        <f>IF($B1621="","",YEAR($B1621)&amp;"-"&amp;IFERROR(VLOOKUP(MONTH(B1621),KEY!$AE$5:$AF$16,2,FALSE),""))</f>
        <v>2025-Q2</v>
      </c>
      <c r="D1621" s="3" t="s">
        <v>140</v>
      </c>
      <c r="E1621" s="219">
        <v>7</v>
      </c>
      <c r="F1621" s="166">
        <v>36</v>
      </c>
      <c r="G1621" s="166">
        <v>31</v>
      </c>
      <c r="H1621" s="21">
        <v>57</v>
      </c>
      <c r="I1621" s="21">
        <v>10</v>
      </c>
      <c r="J1621" s="21">
        <v>23</v>
      </c>
      <c r="K1621" s="21">
        <v>5</v>
      </c>
      <c r="L1621" s="21">
        <v>69</v>
      </c>
      <c r="M1621" s="21">
        <v>28</v>
      </c>
      <c r="N1621" s="21">
        <v>36</v>
      </c>
      <c r="O1621" s="19">
        <v>88</v>
      </c>
      <c r="P1621" s="22">
        <v>0</v>
      </c>
      <c r="Q1621" s="22">
        <v>0</v>
      </c>
      <c r="R1621" s="20"/>
      <c r="S1621" s="234">
        <f>COUNTIFS(INP_DATA!$R$5:$R$3027,S$4,INP_DATA!$D$5:$D$3027,$D1621,INP_DATA!$B$5:$B$3027,$B1621)</f>
        <v>0</v>
      </c>
      <c r="T1621" s="235">
        <f>COUNTIFS(INP_DATA!$R$5:$R$3027,T$4,INP_DATA!$D$5:$D$3027,$D1621,INP_DATA!$B$5:$B$3027,$B1621)</f>
        <v>0</v>
      </c>
    </row>
    <row r="1622" spans="1:20" x14ac:dyDescent="0.35">
      <c r="A1622" s="3" t="str">
        <f>IF(D1622="","",(VLOOKUP($D1622,KEY!$B$5:$D$74,3,FALSE)))</f>
        <v>Southern California</v>
      </c>
      <c r="B1622" s="165">
        <f t="shared" si="11"/>
        <v>45748</v>
      </c>
      <c r="C1622" s="57" t="str">
        <f>IF($B1622="","",YEAR($B1622)&amp;"-"&amp;IFERROR(VLOOKUP(MONTH(B1622),KEY!$AE$5:$AF$16,2,FALSE),""))</f>
        <v>2025-Q2</v>
      </c>
      <c r="D1622" s="3" t="s">
        <v>142</v>
      </c>
      <c r="E1622" s="219">
        <v>14</v>
      </c>
      <c r="F1622" s="166">
        <v>84</v>
      </c>
      <c r="G1622" s="166">
        <v>85</v>
      </c>
      <c r="H1622" s="21">
        <v>166</v>
      </c>
      <c r="I1622" s="21">
        <v>27</v>
      </c>
      <c r="J1622" s="21">
        <v>46</v>
      </c>
      <c r="K1622" s="21">
        <v>14</v>
      </c>
      <c r="L1622" s="21">
        <v>128</v>
      </c>
      <c r="M1622" s="21">
        <v>46</v>
      </c>
      <c r="N1622" s="21">
        <v>86</v>
      </c>
      <c r="O1622" s="19">
        <v>110</v>
      </c>
      <c r="P1622" s="22">
        <v>16</v>
      </c>
      <c r="Q1622" s="22">
        <v>7</v>
      </c>
      <c r="R1622" s="20"/>
      <c r="S1622" s="234">
        <f>COUNTIFS(INP_DATA!$R$5:$R$3027,S$4,INP_DATA!$D$5:$D$3027,$D1622,INP_DATA!$B$5:$B$3027,$B1622)</f>
        <v>0</v>
      </c>
      <c r="T1622" s="235">
        <f>COUNTIFS(INP_DATA!$R$5:$R$3027,T$4,INP_DATA!$D$5:$D$3027,$D1622,INP_DATA!$B$5:$B$3027,$B1622)</f>
        <v>0</v>
      </c>
    </row>
    <row r="1623" spans="1:20" x14ac:dyDescent="0.35">
      <c r="A1623" s="3" t="str">
        <f>IF(D1623="","",(VLOOKUP($D1623,KEY!$B$5:$D$74,3,FALSE)))</f>
        <v>Arizona</v>
      </c>
      <c r="B1623" s="165">
        <f t="shared" si="11"/>
        <v>45748</v>
      </c>
      <c r="C1623" s="57" t="str">
        <f>IF($B1623="","",YEAR($B1623)&amp;"-"&amp;IFERROR(VLOOKUP(MONTH(B1623),KEY!$AE$5:$AF$16,2,FALSE),""))</f>
        <v>2025-Q2</v>
      </c>
      <c r="D1623" s="3" t="s">
        <v>143</v>
      </c>
      <c r="E1623" s="219">
        <v>11</v>
      </c>
      <c r="F1623" s="166">
        <v>65</v>
      </c>
      <c r="G1623" s="166">
        <v>59</v>
      </c>
      <c r="H1623" s="21">
        <v>196</v>
      </c>
      <c r="I1623" s="21">
        <v>25</v>
      </c>
      <c r="J1623" s="21">
        <v>77</v>
      </c>
      <c r="K1623" s="21">
        <v>17</v>
      </c>
      <c r="L1623" s="21">
        <v>130</v>
      </c>
      <c r="M1623" s="21">
        <v>41</v>
      </c>
      <c r="N1623" s="21">
        <v>68</v>
      </c>
      <c r="O1623" s="19">
        <v>176</v>
      </c>
      <c r="P1623" s="22">
        <v>6</v>
      </c>
      <c r="Q1623" s="22">
        <v>4</v>
      </c>
      <c r="R1623" s="20"/>
      <c r="S1623" s="234">
        <f>COUNTIFS(INP_DATA!$R$5:$R$3027,S$4,INP_DATA!$D$5:$D$3027,$D1623,INP_DATA!$B$5:$B$3027,$B1623)</f>
        <v>0</v>
      </c>
      <c r="T1623" s="235">
        <f>COUNTIFS(INP_DATA!$R$5:$R$3027,T$4,INP_DATA!$D$5:$D$3027,$D1623,INP_DATA!$B$5:$B$3027,$B1623)</f>
        <v>0</v>
      </c>
    </row>
    <row r="1624" spans="1:20" x14ac:dyDescent="0.35">
      <c r="A1624" s="3" t="str">
        <f>IF(D1624="","",(VLOOKUP($D1624,KEY!$B$5:$D$74,3,FALSE)))</f>
        <v>Arizona</v>
      </c>
      <c r="B1624" s="165">
        <f t="shared" si="11"/>
        <v>45748</v>
      </c>
      <c r="C1624" s="57" t="str">
        <f>IF($B1624="","",YEAR($B1624)&amp;"-"&amp;IFERROR(VLOOKUP(MONTH(B1624),KEY!$AE$5:$AF$16,2,FALSE),""))</f>
        <v>2025-Q2</v>
      </c>
      <c r="D1624" s="3" t="s">
        <v>144</v>
      </c>
      <c r="E1624" s="219">
        <v>42</v>
      </c>
      <c r="F1624" s="166">
        <v>230</v>
      </c>
      <c r="G1624" s="166">
        <v>209</v>
      </c>
      <c r="H1624" s="21">
        <v>224</v>
      </c>
      <c r="I1624" s="21">
        <v>43</v>
      </c>
      <c r="J1624" s="21">
        <v>185</v>
      </c>
      <c r="K1624" s="21">
        <v>49</v>
      </c>
      <c r="L1624" s="21">
        <v>392</v>
      </c>
      <c r="M1624" s="21">
        <v>129</v>
      </c>
      <c r="N1624" s="21">
        <v>238</v>
      </c>
      <c r="O1624" s="19">
        <v>462</v>
      </c>
      <c r="P1624" s="22">
        <v>13</v>
      </c>
      <c r="Q1624" s="22">
        <v>11</v>
      </c>
      <c r="R1624" s="20"/>
      <c r="S1624" s="234">
        <f>COUNTIFS(INP_DATA!$R$5:$R$3027,S$4,INP_DATA!$D$5:$D$3027,$D1624,INP_DATA!$B$5:$B$3027,$B1624)</f>
        <v>0</v>
      </c>
      <c r="T1624" s="235">
        <f>COUNTIFS(INP_DATA!$R$5:$R$3027,T$4,INP_DATA!$D$5:$D$3027,$D1624,INP_DATA!$B$5:$B$3027,$B1624)</f>
        <v>0</v>
      </c>
    </row>
    <row r="1625" spans="1:20" x14ac:dyDescent="0.35">
      <c r="A1625" s="3" t="str">
        <f>IF(D1625="","",(VLOOKUP($D1625,KEY!$B$5:$D$74,3,FALSE)))</f>
        <v>Southern California</v>
      </c>
      <c r="B1625" s="165">
        <f t="shared" si="11"/>
        <v>45748</v>
      </c>
      <c r="C1625" s="57" t="str">
        <f>IF($B1625="","",YEAR($B1625)&amp;"-"&amp;IFERROR(VLOOKUP(MONTH(B1625),KEY!$AE$5:$AF$16,2,FALSE),""))</f>
        <v>2025-Q2</v>
      </c>
      <c r="D1625" s="3" t="s">
        <v>145</v>
      </c>
      <c r="E1625" s="219">
        <v>52</v>
      </c>
      <c r="F1625" s="166">
        <v>204</v>
      </c>
      <c r="G1625" s="166">
        <v>132</v>
      </c>
      <c r="H1625" s="21">
        <v>295</v>
      </c>
      <c r="I1625" s="21">
        <v>38</v>
      </c>
      <c r="J1625" s="21">
        <v>162</v>
      </c>
      <c r="K1625" s="21">
        <v>51</v>
      </c>
      <c r="L1625" s="21">
        <v>394</v>
      </c>
      <c r="M1625" s="21">
        <v>115</v>
      </c>
      <c r="N1625" s="21">
        <v>204</v>
      </c>
      <c r="O1625" s="19">
        <v>374</v>
      </c>
      <c r="P1625" s="22">
        <v>44</v>
      </c>
      <c r="Q1625" s="22">
        <v>27</v>
      </c>
      <c r="R1625" s="20"/>
      <c r="S1625" s="234">
        <f>COUNTIFS(INP_DATA!$R$5:$R$3027,S$4,INP_DATA!$D$5:$D$3027,$D1625,INP_DATA!$B$5:$B$3027,$B1625)</f>
        <v>0</v>
      </c>
      <c r="T1625" s="235">
        <f>COUNTIFS(INP_DATA!$R$5:$R$3027,T$4,INP_DATA!$D$5:$D$3027,$D1625,INP_DATA!$B$5:$B$3027,$B1625)</f>
        <v>0</v>
      </c>
    </row>
    <row r="1626" spans="1:20" x14ac:dyDescent="0.35">
      <c r="A1626" s="3" t="str">
        <f>IF(D1626="","",(VLOOKUP($D1626,KEY!$B$5:$D$74,3,FALSE)))</f>
        <v>Arizona</v>
      </c>
      <c r="B1626" s="165">
        <f t="shared" si="11"/>
        <v>45748</v>
      </c>
      <c r="C1626" s="57" t="str">
        <f>IF($B1626="","",YEAR($B1626)&amp;"-"&amp;IFERROR(VLOOKUP(MONTH(B1626),KEY!$AE$5:$AF$16,2,FALSE),""))</f>
        <v>2025-Q2</v>
      </c>
      <c r="D1626" s="3" t="s">
        <v>146</v>
      </c>
      <c r="E1626" s="219">
        <v>6</v>
      </c>
      <c r="F1626" s="166">
        <v>34</v>
      </c>
      <c r="G1626" s="166">
        <v>27</v>
      </c>
      <c r="H1626" s="21">
        <v>68</v>
      </c>
      <c r="I1626" s="21">
        <v>12</v>
      </c>
      <c r="J1626" s="21">
        <v>25</v>
      </c>
      <c r="K1626" s="21">
        <v>5</v>
      </c>
      <c r="L1626" s="21">
        <v>57</v>
      </c>
      <c r="M1626" s="21">
        <v>27</v>
      </c>
      <c r="N1626" s="21">
        <v>34</v>
      </c>
      <c r="O1626" s="19">
        <v>66</v>
      </c>
      <c r="P1626" s="22">
        <v>2</v>
      </c>
      <c r="Q1626" s="22">
        <v>2</v>
      </c>
      <c r="R1626" s="20"/>
      <c r="S1626" s="234">
        <f>COUNTIFS(INP_DATA!$R$5:$R$3027,S$4,INP_DATA!$D$5:$D$3027,$D1626,INP_DATA!$B$5:$B$3027,$B1626)</f>
        <v>0</v>
      </c>
      <c r="T1626" s="235">
        <f>COUNTIFS(INP_DATA!$R$5:$R$3027,T$4,INP_DATA!$D$5:$D$3027,$D1626,INP_DATA!$B$5:$B$3027,$B1626)</f>
        <v>0</v>
      </c>
    </row>
    <row r="1627" spans="1:20" x14ac:dyDescent="0.35">
      <c r="A1627" s="3" t="str">
        <f>IF(D1627="","",(VLOOKUP($D1627,KEY!$B$5:$D$74,3,FALSE)))</f>
        <v>Texas</v>
      </c>
      <c r="B1627" s="165">
        <f t="shared" si="11"/>
        <v>45748</v>
      </c>
      <c r="C1627" s="57" t="str">
        <f>IF($B1627="","",YEAR($B1627)&amp;"-"&amp;IFERROR(VLOOKUP(MONTH(B1627),KEY!$AE$5:$AF$16,2,FALSE),""))</f>
        <v>2025-Q2</v>
      </c>
      <c r="D1627" s="3" t="s">
        <v>147</v>
      </c>
      <c r="E1627" s="219">
        <v>4</v>
      </c>
      <c r="F1627" s="166">
        <v>46</v>
      </c>
      <c r="G1627" s="166">
        <v>40</v>
      </c>
      <c r="H1627" s="21">
        <v>127</v>
      </c>
      <c r="I1627" s="21">
        <v>24</v>
      </c>
      <c r="J1627" s="21">
        <v>32</v>
      </c>
      <c r="K1627" s="21">
        <v>5</v>
      </c>
      <c r="L1627" s="21">
        <v>85</v>
      </c>
      <c r="M1627" s="21">
        <v>37</v>
      </c>
      <c r="N1627" s="21">
        <v>46</v>
      </c>
      <c r="O1627" s="19">
        <v>88</v>
      </c>
      <c r="P1627" s="22">
        <v>1</v>
      </c>
      <c r="Q1627" s="22">
        <v>1</v>
      </c>
      <c r="R1627" s="20"/>
      <c r="S1627" s="234">
        <f>COUNTIFS(INP_DATA!$R$5:$R$3027,S$4,INP_DATA!$D$5:$D$3027,$D1627,INP_DATA!$B$5:$B$3027,$B1627)</f>
        <v>0</v>
      </c>
      <c r="T1627" s="235">
        <f>COUNTIFS(INP_DATA!$R$5:$R$3027,T$4,INP_DATA!$D$5:$D$3027,$D1627,INP_DATA!$B$5:$B$3027,$B1627)</f>
        <v>0</v>
      </c>
    </row>
    <row r="1628" spans="1:20" x14ac:dyDescent="0.35">
      <c r="A1628" s="3" t="str">
        <f>IF(D1628="","",(VLOOKUP($D1628,KEY!$B$5:$D$74,3,FALSE)))</f>
        <v>Northern California</v>
      </c>
      <c r="B1628" s="165">
        <f t="shared" si="11"/>
        <v>45748</v>
      </c>
      <c r="C1628" s="57" t="str">
        <f>IF($B1628="","",YEAR($B1628)&amp;"-"&amp;IFERROR(VLOOKUP(MONTH(B1628),KEY!$AE$5:$AF$16,2,FALSE),""))</f>
        <v>2025-Q2</v>
      </c>
      <c r="D1628" s="3" t="s">
        <v>148</v>
      </c>
      <c r="E1628" s="219">
        <v>7</v>
      </c>
      <c r="F1628" s="166">
        <v>54</v>
      </c>
      <c r="G1628" s="166">
        <v>34</v>
      </c>
      <c r="H1628" s="21">
        <v>85</v>
      </c>
      <c r="I1628" s="21">
        <v>16</v>
      </c>
      <c r="J1628" s="21">
        <v>65</v>
      </c>
      <c r="K1628" s="21">
        <v>10</v>
      </c>
      <c r="L1628" s="21">
        <v>96</v>
      </c>
      <c r="M1628" s="21">
        <v>39</v>
      </c>
      <c r="N1628" s="21">
        <v>53</v>
      </c>
      <c r="O1628" s="19">
        <v>66</v>
      </c>
      <c r="P1628" s="22">
        <v>1</v>
      </c>
      <c r="Q1628" s="22">
        <v>1</v>
      </c>
      <c r="R1628" s="20"/>
      <c r="S1628" s="234">
        <f>COUNTIFS(INP_DATA!$R$5:$R$3027,S$4,INP_DATA!$D$5:$D$3027,$D1628,INP_DATA!$B$5:$B$3027,$B1628)</f>
        <v>0</v>
      </c>
      <c r="T1628" s="235">
        <f>COUNTIFS(INP_DATA!$R$5:$R$3027,T$4,INP_DATA!$D$5:$D$3027,$D1628,INP_DATA!$B$5:$B$3027,$B1628)</f>
        <v>0</v>
      </c>
    </row>
    <row r="1629" spans="1:20" x14ac:dyDescent="0.35">
      <c r="A1629" s="3" t="str">
        <f>IF(D1629="","",(VLOOKUP($D1629,KEY!$B$5:$D$74,3,FALSE)))</f>
        <v>Orange County</v>
      </c>
      <c r="B1629" s="165">
        <f t="shared" si="11"/>
        <v>45748</v>
      </c>
      <c r="C1629" s="57" t="str">
        <f>IF($B1629="","",YEAR($B1629)&amp;"-"&amp;IFERROR(VLOOKUP(MONTH(B1629),KEY!$AE$5:$AF$16,2,FALSE),""))</f>
        <v>2025-Q2</v>
      </c>
      <c r="D1629" s="3" t="s">
        <v>149</v>
      </c>
      <c r="E1629" s="219">
        <v>6</v>
      </c>
      <c r="F1629" s="166">
        <v>0</v>
      </c>
      <c r="G1629" s="166">
        <v>0</v>
      </c>
      <c r="H1629" s="21">
        <v>45</v>
      </c>
      <c r="I1629" s="21">
        <v>6</v>
      </c>
      <c r="J1629" s="21">
        <v>28</v>
      </c>
      <c r="K1629" s="21">
        <v>9</v>
      </c>
      <c r="L1629" s="21">
        <v>55</v>
      </c>
      <c r="M1629" s="21">
        <v>24</v>
      </c>
      <c r="N1629" s="21">
        <v>0</v>
      </c>
      <c r="O1629" s="19">
        <v>66</v>
      </c>
      <c r="P1629" s="22">
        <v>0</v>
      </c>
      <c r="Q1629" s="22">
        <v>0</v>
      </c>
      <c r="R1629" s="20"/>
      <c r="S1629" s="234">
        <f>COUNTIFS(INP_DATA!$R$5:$R$3027,S$4,INP_DATA!$D$5:$D$3027,$D1629,INP_DATA!$B$5:$B$3027,$B1629)</f>
        <v>0</v>
      </c>
      <c r="T1629" s="235">
        <f>COUNTIFS(INP_DATA!$R$5:$R$3027,T$4,INP_DATA!$D$5:$D$3027,$D1629,INP_DATA!$B$5:$B$3027,$B1629)</f>
        <v>0</v>
      </c>
    </row>
    <row r="1630" spans="1:20" x14ac:dyDescent="0.35">
      <c r="A1630" s="3" t="str">
        <f>IF(D1630="","",(VLOOKUP($D1630,KEY!$B$5:$D$74,3,FALSE)))</f>
        <v>Southern California</v>
      </c>
      <c r="B1630" s="165">
        <f t="shared" si="11"/>
        <v>45748</v>
      </c>
      <c r="C1630" s="57" t="str">
        <f>IF($B1630="","",YEAR($B1630)&amp;"-"&amp;IFERROR(VLOOKUP(MONTH(B1630),KEY!$AE$5:$AF$16,2,FALSE),""))</f>
        <v>2025-Q2</v>
      </c>
      <c r="D1630" s="3" t="s">
        <v>150</v>
      </c>
      <c r="E1630" s="219">
        <v>10</v>
      </c>
      <c r="F1630" s="166">
        <v>57</v>
      </c>
      <c r="G1630" s="166">
        <v>40</v>
      </c>
      <c r="H1630" s="21">
        <v>62</v>
      </c>
      <c r="I1630" s="21">
        <v>15</v>
      </c>
      <c r="J1630" s="21">
        <v>18</v>
      </c>
      <c r="K1630" s="21">
        <v>5</v>
      </c>
      <c r="L1630" s="21">
        <v>59</v>
      </c>
      <c r="M1630" s="21">
        <v>23</v>
      </c>
      <c r="N1630" s="21">
        <v>59</v>
      </c>
      <c r="O1630" s="19">
        <v>66</v>
      </c>
      <c r="P1630" s="22">
        <v>1</v>
      </c>
      <c r="Q1630" s="22">
        <v>1</v>
      </c>
      <c r="R1630" s="20"/>
      <c r="S1630" s="234">
        <f>COUNTIFS(INP_DATA!$R$5:$R$3027,S$4,INP_DATA!$D$5:$D$3027,$D1630,INP_DATA!$B$5:$B$3027,$B1630)</f>
        <v>0</v>
      </c>
      <c r="T1630" s="235">
        <f>COUNTIFS(INP_DATA!$R$5:$R$3027,T$4,INP_DATA!$D$5:$D$3027,$D1630,INP_DATA!$B$5:$B$3027,$B1630)</f>
        <v>0</v>
      </c>
    </row>
    <row r="1631" spans="1:20" x14ac:dyDescent="0.35">
      <c r="A1631" s="3" t="str">
        <f>IF(D1631="","",(VLOOKUP($D1631,KEY!$B$5:$D$74,3,FALSE)))</f>
        <v>Arizona</v>
      </c>
      <c r="B1631" s="165">
        <f t="shared" si="11"/>
        <v>45748</v>
      </c>
      <c r="C1631" s="57" t="str">
        <f>IF($B1631="","",YEAR($B1631)&amp;"-"&amp;IFERROR(VLOOKUP(MONTH(B1631),KEY!$AE$5:$AF$16,2,FALSE),""))</f>
        <v>2025-Q2</v>
      </c>
      <c r="D1631" s="3" t="s">
        <v>151</v>
      </c>
      <c r="E1631" s="219">
        <v>5</v>
      </c>
      <c r="F1631" s="166">
        <v>42</v>
      </c>
      <c r="G1631" s="166">
        <v>31</v>
      </c>
      <c r="H1631" s="21">
        <v>82</v>
      </c>
      <c r="I1631" s="21">
        <v>17</v>
      </c>
      <c r="J1631" s="21">
        <v>21</v>
      </c>
      <c r="K1631" s="21">
        <v>7</v>
      </c>
      <c r="L1631" s="21">
        <v>82</v>
      </c>
      <c r="M1631" s="21">
        <v>38</v>
      </c>
      <c r="N1631" s="21">
        <v>41</v>
      </c>
      <c r="O1631" s="19">
        <v>88</v>
      </c>
      <c r="P1631" s="22">
        <v>1</v>
      </c>
      <c r="Q1631" s="22">
        <v>0</v>
      </c>
      <c r="R1631" s="20"/>
      <c r="S1631" s="234">
        <f>COUNTIFS(INP_DATA!$R$5:$R$3027,S$4,INP_DATA!$D$5:$D$3027,$D1631,INP_DATA!$B$5:$B$3027,$B1631)</f>
        <v>0</v>
      </c>
      <c r="T1631" s="235">
        <f>COUNTIFS(INP_DATA!$R$5:$R$3027,T$4,INP_DATA!$D$5:$D$3027,$D1631,INP_DATA!$B$5:$B$3027,$B1631)</f>
        <v>0</v>
      </c>
    </row>
    <row r="1632" spans="1:20" x14ac:dyDescent="0.35">
      <c r="A1632" s="3" t="str">
        <f>IF(D1632="","",(VLOOKUP($D1632,KEY!$B$5:$D$74,3,FALSE)))</f>
        <v>Michigan &amp; Minnesota</v>
      </c>
      <c r="B1632" s="165">
        <f t="shared" si="11"/>
        <v>45748</v>
      </c>
      <c r="C1632" s="57" t="str">
        <f>IF($B1632="","",YEAR($B1632)&amp;"-"&amp;IFERROR(VLOOKUP(MONTH(B1632),KEY!$AE$5:$AF$16,2,FALSE),""))</f>
        <v>2025-Q2</v>
      </c>
      <c r="D1632" s="3" t="s">
        <v>206</v>
      </c>
      <c r="E1632" s="219">
        <v>16</v>
      </c>
      <c r="F1632" s="166">
        <v>301</v>
      </c>
      <c r="G1632" s="166">
        <v>214</v>
      </c>
      <c r="H1632" s="21">
        <v>472</v>
      </c>
      <c r="I1632" s="21">
        <v>83</v>
      </c>
      <c r="J1632" s="21">
        <v>224</v>
      </c>
      <c r="K1632" s="21">
        <v>57</v>
      </c>
      <c r="L1632" s="21">
        <v>643</v>
      </c>
      <c r="M1632" s="21">
        <v>176</v>
      </c>
      <c r="N1632" s="21">
        <v>302</v>
      </c>
      <c r="O1632" s="19">
        <v>396</v>
      </c>
      <c r="P1632" s="22">
        <v>20</v>
      </c>
      <c r="Q1632" s="22">
        <v>19</v>
      </c>
      <c r="R1632" s="20"/>
      <c r="S1632" s="234">
        <f>COUNTIFS(INP_DATA!$R$5:$R$3027,S$4,INP_DATA!$D$5:$D$3027,$D1632,INP_DATA!$B$5:$B$3027,$B1632)</f>
        <v>0</v>
      </c>
      <c r="T1632" s="235">
        <f>COUNTIFS(INP_DATA!$R$5:$R$3027,T$4,INP_DATA!$D$5:$D$3027,$D1632,INP_DATA!$B$5:$B$3027,$B1632)</f>
        <v>0</v>
      </c>
    </row>
    <row r="1633" spans="1:20" x14ac:dyDescent="0.35">
      <c r="A1633" s="3" t="str">
        <f>IF(D1633="","",(VLOOKUP($D1633,KEY!$B$5:$D$74,3,FALSE)))</f>
        <v>Michigan &amp; Minnesota</v>
      </c>
      <c r="B1633" s="165">
        <f t="shared" si="11"/>
        <v>45748</v>
      </c>
      <c r="C1633" s="57" t="str">
        <f>IF($B1633="","",YEAR($B1633)&amp;"-"&amp;IFERROR(VLOOKUP(MONTH(B1633),KEY!$AE$5:$AF$16,2,FALSE),""))</f>
        <v>2025-Q2</v>
      </c>
      <c r="D1633" s="3" t="s">
        <v>207</v>
      </c>
      <c r="E1633" s="219">
        <v>3</v>
      </c>
      <c r="F1633" s="166">
        <v>82</v>
      </c>
      <c r="G1633" s="166">
        <v>53</v>
      </c>
      <c r="H1633" s="21">
        <v>116</v>
      </c>
      <c r="I1633" s="21">
        <v>20</v>
      </c>
      <c r="J1633" s="21">
        <v>39</v>
      </c>
      <c r="K1633" s="21">
        <v>12</v>
      </c>
      <c r="L1633" s="21">
        <v>96</v>
      </c>
      <c r="M1633" s="21">
        <v>39</v>
      </c>
      <c r="N1633" s="21">
        <v>83</v>
      </c>
      <c r="O1633" s="19">
        <v>110</v>
      </c>
      <c r="P1633" s="22">
        <v>2</v>
      </c>
      <c r="Q1633" s="22">
        <v>0</v>
      </c>
      <c r="R1633" s="20"/>
      <c r="S1633" s="234">
        <f>COUNTIFS(INP_DATA!$R$5:$R$3027,S$4,INP_DATA!$D$5:$D$3027,$D1633,INP_DATA!$B$5:$B$3027,$B1633)</f>
        <v>0</v>
      </c>
      <c r="T1633" s="235">
        <f>COUNTIFS(INP_DATA!$R$5:$R$3027,T$4,INP_DATA!$D$5:$D$3027,$D1633,INP_DATA!$B$5:$B$3027,$B1633)</f>
        <v>0</v>
      </c>
    </row>
    <row r="1634" spans="1:20" x14ac:dyDescent="0.35">
      <c r="A1634" s="3" t="str">
        <f>IF(D1634="","",(VLOOKUP($D1634,KEY!$B$5:$D$74,3,FALSE)))</f>
        <v>Indiana</v>
      </c>
      <c r="B1634" s="165">
        <f t="shared" si="11"/>
        <v>45748</v>
      </c>
      <c r="C1634" s="57" t="str">
        <f>IF($B1634="","",YEAR($B1634)&amp;"-"&amp;IFERROR(VLOOKUP(MONTH(B1634),KEY!$AE$5:$AF$16,2,FALSE),""))</f>
        <v>2025-Q2</v>
      </c>
      <c r="D1634" s="3" t="s">
        <v>208</v>
      </c>
      <c r="E1634" s="219">
        <v>3</v>
      </c>
      <c r="F1634" s="166">
        <v>123</v>
      </c>
      <c r="G1634" s="166">
        <v>93</v>
      </c>
      <c r="H1634" s="21">
        <v>336</v>
      </c>
      <c r="I1634" s="21">
        <v>32</v>
      </c>
      <c r="J1634" s="21">
        <v>146</v>
      </c>
      <c r="K1634" s="21">
        <v>29</v>
      </c>
      <c r="L1634" s="21">
        <v>164</v>
      </c>
      <c r="M1634" s="21">
        <v>53</v>
      </c>
      <c r="N1634" s="21">
        <v>123</v>
      </c>
      <c r="O1634" s="19">
        <v>220</v>
      </c>
      <c r="P1634" s="22">
        <v>9</v>
      </c>
      <c r="Q1634" s="22">
        <v>5</v>
      </c>
      <c r="R1634" s="20"/>
      <c r="S1634" s="234">
        <f>COUNTIFS(INP_DATA!$R$5:$R$3027,S$4,INP_DATA!$D$5:$D$3027,$D1634,INP_DATA!$B$5:$B$3027,$B1634)</f>
        <v>0</v>
      </c>
      <c r="T1634" s="235">
        <f>COUNTIFS(INP_DATA!$R$5:$R$3027,T$4,INP_DATA!$D$5:$D$3027,$D1634,INP_DATA!$B$5:$B$3027,$B1634)</f>
        <v>0</v>
      </c>
    </row>
    <row r="1635" spans="1:20" x14ac:dyDescent="0.35">
      <c r="A1635" s="3" t="str">
        <f>IF(D1635="","",(VLOOKUP($D1635,KEY!$B$5:$D$74,3,FALSE)))</f>
        <v>Indiana</v>
      </c>
      <c r="B1635" s="165">
        <f t="shared" si="11"/>
        <v>45748</v>
      </c>
      <c r="C1635" s="57" t="str">
        <f>IF($B1635="","",YEAR($B1635)&amp;"-"&amp;IFERROR(VLOOKUP(MONTH(B1635),KEY!$AE$5:$AF$16,2,FALSE),""))</f>
        <v>2025-Q2</v>
      </c>
      <c r="D1635" s="3" t="s">
        <v>209</v>
      </c>
      <c r="E1635" s="219">
        <v>33</v>
      </c>
      <c r="F1635" s="166">
        <v>509</v>
      </c>
      <c r="G1635" s="166">
        <v>505</v>
      </c>
      <c r="H1635" s="21">
        <v>702</v>
      </c>
      <c r="I1635" s="21">
        <v>135</v>
      </c>
      <c r="J1635" s="21">
        <v>277</v>
      </c>
      <c r="K1635" s="21">
        <v>68</v>
      </c>
      <c r="L1635" s="21">
        <v>537</v>
      </c>
      <c r="M1635" s="21">
        <v>237</v>
      </c>
      <c r="N1635" s="21">
        <v>511</v>
      </c>
      <c r="O1635" s="19">
        <v>528</v>
      </c>
      <c r="P1635" s="22">
        <v>61</v>
      </c>
      <c r="Q1635" s="22">
        <v>42</v>
      </c>
      <c r="R1635" s="20"/>
      <c r="S1635" s="234">
        <f>COUNTIFS(INP_DATA!$R$5:$R$3027,S$4,INP_DATA!$D$5:$D$3027,$D1635,INP_DATA!$B$5:$B$3027,$B1635)</f>
        <v>0</v>
      </c>
      <c r="T1635" s="235">
        <f>COUNTIFS(INP_DATA!$R$5:$R$3027,T$4,INP_DATA!$D$5:$D$3027,$D1635,INP_DATA!$B$5:$B$3027,$B1635)</f>
        <v>0</v>
      </c>
    </row>
    <row r="1636" spans="1:20" x14ac:dyDescent="0.35">
      <c r="A1636" s="3" t="str">
        <f>IF(D1636="","",(VLOOKUP($D1636,KEY!$B$5:$D$74,3,FALSE)))</f>
        <v>Northern California</v>
      </c>
      <c r="B1636" s="165">
        <f t="shared" si="11"/>
        <v>45748</v>
      </c>
      <c r="C1636" s="57" t="str">
        <f>IF($B1636="","",YEAR($B1636)&amp;"-"&amp;IFERROR(VLOOKUP(MONTH(B1636),KEY!$AE$5:$AF$16,2,FALSE),""))</f>
        <v>2025-Q2</v>
      </c>
      <c r="D1636" s="3" t="s">
        <v>152</v>
      </c>
      <c r="E1636" s="219">
        <v>52</v>
      </c>
      <c r="F1636" s="166">
        <v>191</v>
      </c>
      <c r="G1636" s="166">
        <v>178</v>
      </c>
      <c r="H1636" s="21">
        <v>443</v>
      </c>
      <c r="I1636" s="21">
        <v>76</v>
      </c>
      <c r="J1636" s="21">
        <v>130</v>
      </c>
      <c r="K1636" s="21">
        <v>34</v>
      </c>
      <c r="L1636" s="21">
        <v>395</v>
      </c>
      <c r="M1636" s="21">
        <v>168</v>
      </c>
      <c r="N1636" s="21">
        <v>189</v>
      </c>
      <c r="O1636" s="19">
        <v>308</v>
      </c>
      <c r="P1636" s="22">
        <v>46</v>
      </c>
      <c r="Q1636" s="22">
        <v>34</v>
      </c>
      <c r="R1636" s="20"/>
      <c r="S1636" s="234">
        <f>COUNTIFS(INP_DATA!$R$5:$R$3027,S$4,INP_DATA!$D$5:$D$3027,$D1636,INP_DATA!$B$5:$B$3027,$B1636)</f>
        <v>0</v>
      </c>
      <c r="T1636" s="235">
        <f>COUNTIFS(INP_DATA!$R$5:$R$3027,T$4,INP_DATA!$D$5:$D$3027,$D1636,INP_DATA!$B$5:$B$3027,$B1636)</f>
        <v>0</v>
      </c>
    </row>
    <row r="1637" spans="1:20" x14ac:dyDescent="0.35">
      <c r="A1637" s="3" t="str">
        <f>IF(D1637="","",(VLOOKUP($D1637,KEY!$B$5:$D$74,3,FALSE)))</f>
        <v>Arizona</v>
      </c>
      <c r="B1637" s="165">
        <f t="shared" si="11"/>
        <v>45748</v>
      </c>
      <c r="C1637" s="57" t="str">
        <f>IF($B1637="","",YEAR($B1637)&amp;"-"&amp;IFERROR(VLOOKUP(MONTH(B1637),KEY!$AE$5:$AF$16,2,FALSE),""))</f>
        <v>2025-Q2</v>
      </c>
      <c r="D1637" s="3" t="s">
        <v>153</v>
      </c>
      <c r="E1637" s="219">
        <v>36</v>
      </c>
      <c r="F1637" s="166">
        <v>108</v>
      </c>
      <c r="G1637" s="166">
        <v>89</v>
      </c>
      <c r="H1637" s="21">
        <v>224</v>
      </c>
      <c r="I1637" s="21">
        <v>30</v>
      </c>
      <c r="J1637" s="21">
        <v>158</v>
      </c>
      <c r="K1637" s="21">
        <v>13</v>
      </c>
      <c r="L1637" s="21">
        <v>326</v>
      </c>
      <c r="M1637" s="21">
        <v>66</v>
      </c>
      <c r="N1637" s="21">
        <v>110</v>
      </c>
      <c r="O1637" s="19">
        <v>286</v>
      </c>
      <c r="P1637" s="22">
        <v>3</v>
      </c>
      <c r="Q1637" s="22">
        <v>1</v>
      </c>
      <c r="R1637" s="20"/>
      <c r="S1637" s="234">
        <f>COUNTIFS(INP_DATA!$R$5:$R$3027,S$4,INP_DATA!$D$5:$D$3027,$D1637,INP_DATA!$B$5:$B$3027,$B1637)</f>
        <v>0</v>
      </c>
      <c r="T1637" s="235">
        <f>COUNTIFS(INP_DATA!$R$5:$R$3027,T$4,INP_DATA!$D$5:$D$3027,$D1637,INP_DATA!$B$5:$B$3027,$B1637)</f>
        <v>0</v>
      </c>
    </row>
    <row r="1638" spans="1:20" x14ac:dyDescent="0.35">
      <c r="A1638" s="3" t="str">
        <f>IF(D1638="","",(VLOOKUP($D1638,KEY!$B$5:$D$74,3,FALSE)))</f>
        <v>Northern California</v>
      </c>
      <c r="B1638" s="165">
        <f t="shared" si="11"/>
        <v>45748</v>
      </c>
      <c r="C1638" s="57" t="str">
        <f>IF($B1638="","",YEAR($B1638)&amp;"-"&amp;IFERROR(VLOOKUP(MONTH(B1638),KEY!$AE$5:$AF$16,2,FALSE),""))</f>
        <v>2025-Q2</v>
      </c>
      <c r="D1638" s="3" t="s">
        <v>154</v>
      </c>
      <c r="E1638" s="219">
        <v>22</v>
      </c>
      <c r="F1638" s="166">
        <v>97</v>
      </c>
      <c r="G1638" s="166">
        <v>51</v>
      </c>
      <c r="H1638" s="21">
        <v>294</v>
      </c>
      <c r="I1638" s="21">
        <v>36</v>
      </c>
      <c r="J1638" s="21">
        <v>151</v>
      </c>
      <c r="K1638" s="21">
        <v>23</v>
      </c>
      <c r="L1638" s="21">
        <v>217</v>
      </c>
      <c r="M1638" s="21">
        <v>65</v>
      </c>
      <c r="N1638" s="21">
        <v>96</v>
      </c>
      <c r="O1638" s="19">
        <v>198</v>
      </c>
      <c r="P1638" s="22">
        <v>13</v>
      </c>
      <c r="Q1638" s="22">
        <v>9</v>
      </c>
      <c r="R1638" s="20"/>
      <c r="S1638" s="234">
        <f>COUNTIFS(INP_DATA!$R$5:$R$3027,S$4,INP_DATA!$D$5:$D$3027,$D1638,INP_DATA!$B$5:$B$3027,$B1638)</f>
        <v>0</v>
      </c>
      <c r="T1638" s="235">
        <f>COUNTIFS(INP_DATA!$R$5:$R$3027,T$4,INP_DATA!$D$5:$D$3027,$D1638,INP_DATA!$B$5:$B$3027,$B1638)</f>
        <v>0</v>
      </c>
    </row>
    <row r="1639" spans="1:20" x14ac:dyDescent="0.35">
      <c r="A1639" s="3" t="str">
        <f>IF(D1639="","",(VLOOKUP($D1639,KEY!$B$5:$D$74,3,FALSE)))</f>
        <v>Texas</v>
      </c>
      <c r="B1639" s="165">
        <f t="shared" si="11"/>
        <v>45748</v>
      </c>
      <c r="C1639" s="57" t="str">
        <f>IF($B1639="","",YEAR($B1639)&amp;"-"&amp;IFERROR(VLOOKUP(MONTH(B1639),KEY!$AE$5:$AF$16,2,FALSE),""))</f>
        <v>2025-Q2</v>
      </c>
      <c r="D1639" s="3" t="s">
        <v>155</v>
      </c>
      <c r="E1639" s="219">
        <v>45</v>
      </c>
      <c r="F1639" s="166">
        <v>341</v>
      </c>
      <c r="G1639" s="166">
        <v>359</v>
      </c>
      <c r="H1639" s="21">
        <v>886</v>
      </c>
      <c r="I1639" s="21">
        <v>108</v>
      </c>
      <c r="J1639" s="21">
        <v>269</v>
      </c>
      <c r="K1639" s="21">
        <v>48</v>
      </c>
      <c r="L1639" s="21">
        <v>572</v>
      </c>
      <c r="M1639" s="21">
        <v>168</v>
      </c>
      <c r="N1639" s="21">
        <v>343</v>
      </c>
      <c r="O1639" s="19">
        <v>616</v>
      </c>
      <c r="P1639" s="22">
        <v>17</v>
      </c>
      <c r="Q1639" s="22">
        <v>11</v>
      </c>
      <c r="R1639" s="20"/>
      <c r="S1639" s="234">
        <f>COUNTIFS(INP_DATA!$R$5:$R$3027,S$4,INP_DATA!$D$5:$D$3027,$D1639,INP_DATA!$B$5:$B$3027,$B1639)</f>
        <v>0</v>
      </c>
      <c r="T1639" s="235">
        <f>COUNTIFS(INP_DATA!$R$5:$R$3027,T$4,INP_DATA!$D$5:$D$3027,$D1639,INP_DATA!$B$5:$B$3027,$B1639)</f>
        <v>0</v>
      </c>
    </row>
    <row r="1640" spans="1:20" x14ac:dyDescent="0.35">
      <c r="A1640" s="3" t="str">
        <f>IF(D1640="","",(VLOOKUP($D1640,KEY!$B$5:$D$74,3,FALSE)))</f>
        <v>Texas</v>
      </c>
      <c r="B1640" s="165">
        <f t="shared" si="11"/>
        <v>45748</v>
      </c>
      <c r="C1640" s="57" t="str">
        <f>IF($B1640="","",YEAR($B1640)&amp;"-"&amp;IFERROR(VLOOKUP(MONTH(B1640),KEY!$AE$5:$AF$16,2,FALSE),""))</f>
        <v>2025-Q2</v>
      </c>
      <c r="D1640" s="3" t="s">
        <v>156</v>
      </c>
      <c r="E1640" s="219">
        <v>40</v>
      </c>
      <c r="F1640" s="166">
        <v>225</v>
      </c>
      <c r="G1640" s="166">
        <v>232</v>
      </c>
      <c r="H1640" s="21">
        <v>448</v>
      </c>
      <c r="I1640" s="21">
        <v>63</v>
      </c>
      <c r="J1640" s="21">
        <v>193</v>
      </c>
      <c r="K1640" s="21">
        <v>54</v>
      </c>
      <c r="L1640" s="21">
        <v>337</v>
      </c>
      <c r="M1640" s="21">
        <v>114</v>
      </c>
      <c r="N1640" s="21">
        <v>229</v>
      </c>
      <c r="O1640" s="19">
        <v>396</v>
      </c>
      <c r="P1640" s="22">
        <v>9</v>
      </c>
      <c r="Q1640" s="22">
        <v>4</v>
      </c>
      <c r="R1640" s="20"/>
      <c r="S1640" s="234">
        <f>COUNTIFS(INP_DATA!$R$5:$R$3027,S$4,INP_DATA!$D$5:$D$3027,$D1640,INP_DATA!$B$5:$B$3027,$B1640)</f>
        <v>0</v>
      </c>
      <c r="T1640" s="235">
        <f>COUNTIFS(INP_DATA!$R$5:$R$3027,T$4,INP_DATA!$D$5:$D$3027,$D1640,INP_DATA!$B$5:$B$3027,$B1640)</f>
        <v>0</v>
      </c>
    </row>
    <row r="1641" spans="1:20" x14ac:dyDescent="0.35">
      <c r="A1641" s="3" t="str">
        <f>IF(D1641="","",(VLOOKUP($D1641,KEY!$B$5:$D$74,3,FALSE)))</f>
        <v>Texas</v>
      </c>
      <c r="B1641" s="165">
        <f t="shared" si="11"/>
        <v>45748</v>
      </c>
      <c r="C1641" s="57" t="str">
        <f>IF($B1641="","",YEAR($B1641)&amp;"-"&amp;IFERROR(VLOOKUP(MONTH(B1641),KEY!$AE$5:$AF$16,2,FALSE),""))</f>
        <v>2025-Q2</v>
      </c>
      <c r="D1641" s="3" t="s">
        <v>157</v>
      </c>
      <c r="E1641" s="219">
        <v>43</v>
      </c>
      <c r="F1641" s="166">
        <v>514</v>
      </c>
      <c r="G1641" s="166">
        <v>473</v>
      </c>
      <c r="H1641" s="21">
        <v>581</v>
      </c>
      <c r="I1641" s="21">
        <v>77</v>
      </c>
      <c r="J1641" s="21">
        <v>424</v>
      </c>
      <c r="K1641" s="21">
        <v>65</v>
      </c>
      <c r="L1641" s="21">
        <v>1013</v>
      </c>
      <c r="M1641" s="21">
        <v>249</v>
      </c>
      <c r="N1641" s="21">
        <v>522</v>
      </c>
      <c r="O1641" s="19">
        <v>770</v>
      </c>
      <c r="P1641" s="22">
        <v>4</v>
      </c>
      <c r="Q1641" s="22">
        <v>1</v>
      </c>
      <c r="R1641" s="20"/>
      <c r="S1641" s="234">
        <f>COUNTIFS(INP_DATA!$R$5:$R$3027,S$4,INP_DATA!$D$5:$D$3027,$D1641,INP_DATA!$B$5:$B$3027,$B1641)</f>
        <v>0</v>
      </c>
      <c r="T1641" s="235">
        <f>COUNTIFS(INP_DATA!$R$5:$R$3027,T$4,INP_DATA!$D$5:$D$3027,$D1641,INP_DATA!$B$5:$B$3027,$B1641)</f>
        <v>0</v>
      </c>
    </row>
    <row r="1642" spans="1:20" x14ac:dyDescent="0.35">
      <c r="A1642" s="3" t="str">
        <f>IF(D1642="","",(VLOOKUP($D1642,KEY!$B$5:$D$74,3,FALSE)))</f>
        <v>Arizona</v>
      </c>
      <c r="B1642" s="165">
        <f t="shared" si="11"/>
        <v>45748</v>
      </c>
      <c r="C1642" s="57" t="str">
        <f>IF($B1642="","",YEAR($B1642)&amp;"-"&amp;IFERROR(VLOOKUP(MONTH(B1642),KEY!$AE$5:$AF$16,2,FALSE),""))</f>
        <v>2025-Q2</v>
      </c>
      <c r="D1642" s="3" t="s">
        <v>158</v>
      </c>
      <c r="E1642" s="219">
        <v>6</v>
      </c>
      <c r="F1642" s="166">
        <v>25</v>
      </c>
      <c r="G1642" s="166">
        <v>29</v>
      </c>
      <c r="H1642" s="21">
        <v>85</v>
      </c>
      <c r="I1642" s="21">
        <v>5</v>
      </c>
      <c r="J1642" s="21">
        <v>68</v>
      </c>
      <c r="K1642" s="21">
        <v>2</v>
      </c>
      <c r="L1642" s="21">
        <v>108</v>
      </c>
      <c r="M1642" s="21">
        <v>12</v>
      </c>
      <c r="N1642" s="21">
        <v>26</v>
      </c>
      <c r="O1642" s="19">
        <v>132</v>
      </c>
      <c r="P1642" s="22">
        <v>4</v>
      </c>
      <c r="Q1642" s="22">
        <v>1</v>
      </c>
      <c r="R1642" s="20"/>
      <c r="S1642" s="234">
        <f>COUNTIFS(INP_DATA!$R$5:$R$3027,S$4,INP_DATA!$D$5:$D$3027,$D1642,INP_DATA!$B$5:$B$3027,$B1642)</f>
        <v>0</v>
      </c>
      <c r="T1642" s="235">
        <f>COUNTIFS(INP_DATA!$R$5:$R$3027,T$4,INP_DATA!$D$5:$D$3027,$D1642,INP_DATA!$B$5:$B$3027,$B1642)</f>
        <v>0</v>
      </c>
    </row>
    <row r="1643" spans="1:20" x14ac:dyDescent="0.35">
      <c r="A1643" s="3" t="str">
        <f>IF(D1643="","",(VLOOKUP($D1643,KEY!$B$5:$D$74,3,FALSE)))</f>
        <v>Orange County</v>
      </c>
      <c r="B1643" s="165">
        <f t="shared" si="11"/>
        <v>45748</v>
      </c>
      <c r="C1643" s="57" t="str">
        <f>IF($B1643="","",YEAR($B1643)&amp;"-"&amp;IFERROR(VLOOKUP(MONTH(B1643),KEY!$AE$5:$AF$16,2,FALSE),""))</f>
        <v>2025-Q2</v>
      </c>
      <c r="D1643" s="3" t="s">
        <v>159</v>
      </c>
      <c r="E1643" s="219">
        <v>22</v>
      </c>
      <c r="F1643" s="166">
        <v>118</v>
      </c>
      <c r="G1643" s="166">
        <v>121</v>
      </c>
      <c r="H1643" s="21">
        <v>235</v>
      </c>
      <c r="I1643" s="21">
        <v>37</v>
      </c>
      <c r="J1643" s="21">
        <v>120</v>
      </c>
      <c r="K1643" s="21">
        <v>30</v>
      </c>
      <c r="L1643" s="21">
        <v>189</v>
      </c>
      <c r="M1643" s="21">
        <v>73</v>
      </c>
      <c r="N1643" s="21">
        <v>119</v>
      </c>
      <c r="O1643" s="19">
        <v>198</v>
      </c>
      <c r="P1643" s="22">
        <v>14</v>
      </c>
      <c r="Q1643" s="22">
        <v>10</v>
      </c>
      <c r="R1643" s="20"/>
      <c r="S1643" s="234">
        <f>COUNTIFS(INP_DATA!$R$5:$R$3027,S$4,INP_DATA!$D$5:$D$3027,$D1643,INP_DATA!$B$5:$B$3027,$B1643)</f>
        <v>0</v>
      </c>
      <c r="T1643" s="235">
        <f>COUNTIFS(INP_DATA!$R$5:$R$3027,T$4,INP_DATA!$D$5:$D$3027,$D1643,INP_DATA!$B$5:$B$3027,$B1643)</f>
        <v>0</v>
      </c>
    </row>
    <row r="1644" spans="1:20" x14ac:dyDescent="0.35">
      <c r="A1644" s="3" t="str">
        <f>IF(D1644="","",(VLOOKUP($D1644,KEY!$B$5:$D$74,3,FALSE)))</f>
        <v>Arizona</v>
      </c>
      <c r="B1644" s="165">
        <f t="shared" si="11"/>
        <v>45748</v>
      </c>
      <c r="C1644" s="57" t="str">
        <f>IF($B1644="","",YEAR($B1644)&amp;"-"&amp;IFERROR(VLOOKUP(MONTH(B1644),KEY!$AE$5:$AF$16,2,FALSE),""))</f>
        <v>2025-Q2</v>
      </c>
      <c r="D1644" s="3" t="s">
        <v>160</v>
      </c>
      <c r="E1644" s="219">
        <v>62</v>
      </c>
      <c r="F1644" s="166">
        <v>373</v>
      </c>
      <c r="G1644" s="166">
        <v>369</v>
      </c>
      <c r="H1644" s="21">
        <v>679</v>
      </c>
      <c r="I1644" s="21">
        <v>121</v>
      </c>
      <c r="J1644" s="21">
        <v>204</v>
      </c>
      <c r="K1644" s="21">
        <v>50</v>
      </c>
      <c r="L1644" s="21">
        <v>457</v>
      </c>
      <c r="M1644" s="21">
        <v>232</v>
      </c>
      <c r="N1644" s="21">
        <v>373</v>
      </c>
      <c r="O1644" s="19">
        <v>506</v>
      </c>
      <c r="P1644" s="22">
        <v>23</v>
      </c>
      <c r="Q1644" s="22">
        <v>15</v>
      </c>
      <c r="R1644" s="20"/>
      <c r="S1644" s="234">
        <f>COUNTIFS(INP_DATA!$R$5:$R$3027,S$4,INP_DATA!$D$5:$D$3027,$D1644,INP_DATA!$B$5:$B$3027,$B1644)</f>
        <v>0</v>
      </c>
      <c r="T1644" s="235">
        <f>COUNTIFS(INP_DATA!$R$5:$R$3027,T$4,INP_DATA!$D$5:$D$3027,$D1644,INP_DATA!$B$5:$B$3027,$B1644)</f>
        <v>0</v>
      </c>
    </row>
    <row r="1645" spans="1:20" x14ac:dyDescent="0.35">
      <c r="A1645" s="3" t="str">
        <f>IF(D1645="","",(VLOOKUP($D1645,KEY!$B$5:$D$74,3,FALSE)))</f>
        <v>Northern California</v>
      </c>
      <c r="B1645" s="165">
        <f t="shared" si="11"/>
        <v>45748</v>
      </c>
      <c r="C1645" s="57" t="str">
        <f>IF($B1645="","",YEAR($B1645)&amp;"-"&amp;IFERROR(VLOOKUP(MONTH(B1645),KEY!$AE$5:$AF$16,2,FALSE),""))</f>
        <v>2025-Q2</v>
      </c>
      <c r="D1645" s="3" t="s">
        <v>161</v>
      </c>
      <c r="E1645" s="219">
        <v>40</v>
      </c>
      <c r="F1645" s="166">
        <v>256</v>
      </c>
      <c r="G1645" s="166">
        <v>312</v>
      </c>
      <c r="H1645" s="21">
        <v>449</v>
      </c>
      <c r="I1645" s="21">
        <v>76</v>
      </c>
      <c r="J1645" s="21">
        <v>232</v>
      </c>
      <c r="K1645" s="21">
        <v>50</v>
      </c>
      <c r="L1645" s="21">
        <v>387</v>
      </c>
      <c r="M1645" s="21">
        <v>116</v>
      </c>
      <c r="N1645" s="21">
        <v>271</v>
      </c>
      <c r="O1645" s="19">
        <v>462</v>
      </c>
      <c r="P1645" s="22">
        <v>2</v>
      </c>
      <c r="Q1645" s="22">
        <v>1</v>
      </c>
      <c r="R1645" s="20"/>
      <c r="S1645" s="234">
        <f>COUNTIFS(INP_DATA!$R$5:$R$3027,S$4,INP_DATA!$D$5:$D$3027,$D1645,INP_DATA!$B$5:$B$3027,$B1645)</f>
        <v>0</v>
      </c>
      <c r="T1645" s="235">
        <f>COUNTIFS(INP_DATA!$R$5:$R$3027,T$4,INP_DATA!$D$5:$D$3027,$D1645,INP_DATA!$B$5:$B$3027,$B1645)</f>
        <v>0</v>
      </c>
    </row>
    <row r="1646" spans="1:20" x14ac:dyDescent="0.35">
      <c r="A1646" s="3" t="str">
        <f>IF(D1646="","",(VLOOKUP($D1646,KEY!$B$5:$D$74,3,FALSE)))</f>
        <v>Arizona</v>
      </c>
      <c r="B1646" s="165">
        <f t="shared" si="11"/>
        <v>45748</v>
      </c>
      <c r="C1646" s="57" t="str">
        <f>IF($B1646="","",YEAR($B1646)&amp;"-"&amp;IFERROR(VLOOKUP(MONTH(B1646),KEY!$AE$5:$AF$16,2,FALSE),""))</f>
        <v>2025-Q2</v>
      </c>
      <c r="D1646" s="3" t="s">
        <v>163</v>
      </c>
      <c r="E1646" s="219">
        <v>70</v>
      </c>
      <c r="F1646" s="166">
        <v>300</v>
      </c>
      <c r="G1646" s="166">
        <v>298</v>
      </c>
      <c r="H1646" s="21">
        <v>383</v>
      </c>
      <c r="I1646" s="21">
        <v>65</v>
      </c>
      <c r="J1646" s="21">
        <v>167</v>
      </c>
      <c r="K1646" s="21">
        <v>51</v>
      </c>
      <c r="L1646" s="21">
        <v>390</v>
      </c>
      <c r="M1646" s="21">
        <v>166</v>
      </c>
      <c r="N1646" s="21">
        <v>304</v>
      </c>
      <c r="O1646" s="19">
        <v>396</v>
      </c>
      <c r="P1646" s="22">
        <v>5</v>
      </c>
      <c r="Q1646" s="22">
        <v>0</v>
      </c>
      <c r="R1646" s="20"/>
      <c r="S1646" s="234">
        <f>COUNTIFS(INP_DATA!$R$5:$R$3027,S$4,INP_DATA!$D$5:$D$3027,$D1646,INP_DATA!$B$5:$B$3027,$B1646)</f>
        <v>0</v>
      </c>
      <c r="T1646" s="235">
        <f>COUNTIFS(INP_DATA!$R$5:$R$3027,T$4,INP_DATA!$D$5:$D$3027,$D1646,INP_DATA!$B$5:$B$3027,$B1646)</f>
        <v>0</v>
      </c>
    </row>
    <row r="1647" spans="1:20" x14ac:dyDescent="0.35">
      <c r="A1647" s="3" t="str">
        <f>IF(D1647="","",(VLOOKUP($D1647,KEY!$B$5:$D$74,3,FALSE)))</f>
        <v>Arizona</v>
      </c>
      <c r="B1647" s="165">
        <f t="shared" si="11"/>
        <v>45748</v>
      </c>
      <c r="C1647" s="57" t="str">
        <f>IF($B1647="","",YEAR($B1647)&amp;"-"&amp;IFERROR(VLOOKUP(MONTH(B1647),KEY!$AE$5:$AF$16,2,FALSE),""))</f>
        <v>2025-Q2</v>
      </c>
      <c r="D1647" s="3" t="s">
        <v>164</v>
      </c>
      <c r="E1647" s="219">
        <v>7</v>
      </c>
      <c r="F1647" s="166">
        <v>56</v>
      </c>
      <c r="G1647" s="166">
        <v>85</v>
      </c>
      <c r="H1647" s="21">
        <v>102</v>
      </c>
      <c r="I1647" s="21">
        <v>21</v>
      </c>
      <c r="J1647" s="21">
        <v>37</v>
      </c>
      <c r="K1647" s="21">
        <v>14</v>
      </c>
      <c r="L1647" s="21">
        <v>103</v>
      </c>
      <c r="M1647" s="21">
        <v>37</v>
      </c>
      <c r="N1647" s="21">
        <v>58</v>
      </c>
      <c r="O1647" s="19">
        <v>110</v>
      </c>
      <c r="P1647" s="22">
        <v>13</v>
      </c>
      <c r="Q1647" s="22">
        <v>11</v>
      </c>
      <c r="R1647" s="20"/>
      <c r="S1647" s="234">
        <f>COUNTIFS(INP_DATA!$R$5:$R$3027,S$4,INP_DATA!$D$5:$D$3027,$D1647,INP_DATA!$B$5:$B$3027,$B1647)</f>
        <v>0</v>
      </c>
      <c r="T1647" s="235">
        <f>COUNTIFS(INP_DATA!$R$5:$R$3027,T$4,INP_DATA!$D$5:$D$3027,$D1647,INP_DATA!$B$5:$B$3027,$B1647)</f>
        <v>0</v>
      </c>
    </row>
    <row r="1648" spans="1:20" x14ac:dyDescent="0.35">
      <c r="A1648" s="3" t="str">
        <f>IF(D1648="","",(VLOOKUP($D1648,KEY!$B$5:$D$74,3,FALSE)))</f>
        <v>Orange County</v>
      </c>
      <c r="B1648" s="165">
        <f t="shared" ref="B1648:B1652" si="12">B1647</f>
        <v>45748</v>
      </c>
      <c r="C1648" s="57" t="str">
        <f>IF($B1648="","",YEAR($B1648)&amp;"-"&amp;IFERROR(VLOOKUP(MONTH(B1648),KEY!$AE$5:$AF$16,2,FALSE),""))</f>
        <v>2025-Q2</v>
      </c>
      <c r="D1648" s="3" t="s">
        <v>165</v>
      </c>
      <c r="E1648" s="219">
        <v>9</v>
      </c>
      <c r="F1648" s="166">
        <v>45</v>
      </c>
      <c r="G1648" s="166">
        <v>66</v>
      </c>
      <c r="H1648" s="21">
        <v>104</v>
      </c>
      <c r="I1648" s="21">
        <v>18</v>
      </c>
      <c r="J1648" s="21">
        <v>45</v>
      </c>
      <c r="K1648" s="21">
        <v>11</v>
      </c>
      <c r="L1648" s="21">
        <v>74</v>
      </c>
      <c r="M1648" s="21">
        <v>35</v>
      </c>
      <c r="N1648" s="21">
        <v>45</v>
      </c>
      <c r="O1648" s="19">
        <v>132</v>
      </c>
      <c r="P1648" s="22">
        <v>22</v>
      </c>
      <c r="Q1648" s="22">
        <v>13</v>
      </c>
      <c r="R1648" s="20"/>
      <c r="S1648" s="234">
        <f>COUNTIFS(INP_DATA!$R$5:$R$3027,S$4,INP_DATA!$D$5:$D$3027,$D1648,INP_DATA!$B$5:$B$3027,$B1648)</f>
        <v>0</v>
      </c>
      <c r="T1648" s="235">
        <f>COUNTIFS(INP_DATA!$R$5:$R$3027,T$4,INP_DATA!$D$5:$D$3027,$D1648,INP_DATA!$B$5:$B$3027,$B1648)</f>
        <v>0</v>
      </c>
    </row>
    <row r="1649" spans="1:20" x14ac:dyDescent="0.35">
      <c r="A1649" s="3" t="str">
        <f>IF(D1649="","",(VLOOKUP($D1649,KEY!$B$5:$D$74,3,FALSE)))</f>
        <v/>
      </c>
      <c r="B1649" s="165">
        <f t="shared" si="12"/>
        <v>45748</v>
      </c>
      <c r="C1649" s="57" t="str">
        <f>IF($B1649="","",YEAR($B1649)&amp;"-"&amp;IFERROR(VLOOKUP(MONTH(B1649),KEY!$AE$5:$AF$16,2,FALSE),""))</f>
        <v>2025-Q2</v>
      </c>
      <c r="D1649" s="3"/>
      <c r="E1649" s="219"/>
      <c r="F1649" s="166"/>
      <c r="G1649" s="166"/>
      <c r="H1649" s="21"/>
      <c r="I1649" s="21"/>
      <c r="J1649" s="21"/>
      <c r="K1649" s="21"/>
      <c r="L1649" s="21"/>
      <c r="M1649" s="21"/>
      <c r="N1649" s="21"/>
      <c r="O1649" s="19"/>
      <c r="P1649" s="22"/>
      <c r="Q1649" s="22"/>
      <c r="R1649" s="20"/>
      <c r="S1649" s="234">
        <f>COUNTIFS(INP_DATA!$R$5:$R$3027,S$4,INP_DATA!$D$5:$D$3027,$D1649,INP_DATA!$B$5:$B$3027,$B1649)</f>
        <v>0</v>
      </c>
      <c r="T1649" s="235">
        <f>COUNTIFS(INP_DATA!$R$5:$R$3027,T$4,INP_DATA!$D$5:$D$3027,$D1649,INP_DATA!$B$5:$B$3027,$B1649)</f>
        <v>0</v>
      </c>
    </row>
    <row r="1650" spans="1:20" x14ac:dyDescent="0.35">
      <c r="A1650" s="3" t="str">
        <f>IF(D1650="","",(VLOOKUP($D1650,KEY!$B$5:$D$74,3,FALSE)))</f>
        <v/>
      </c>
      <c r="B1650" s="165">
        <f t="shared" si="12"/>
        <v>45748</v>
      </c>
      <c r="C1650" s="57" t="str">
        <f>IF($B1650="","",YEAR($B1650)&amp;"-"&amp;IFERROR(VLOOKUP(MONTH(B1650),KEY!$AE$5:$AF$16,2,FALSE),""))</f>
        <v>2025-Q2</v>
      </c>
      <c r="D1650" s="3"/>
      <c r="E1650" s="219"/>
      <c r="F1650" s="166"/>
      <c r="G1650" s="166"/>
      <c r="H1650" s="21"/>
      <c r="I1650" s="21"/>
      <c r="J1650" s="21"/>
      <c r="K1650" s="21"/>
      <c r="L1650" s="21"/>
      <c r="M1650" s="21"/>
      <c r="N1650" s="21"/>
      <c r="O1650" s="19"/>
      <c r="P1650" s="22"/>
      <c r="Q1650" s="22"/>
      <c r="R1650" s="20"/>
      <c r="S1650" s="234">
        <f>COUNTIFS(INP_DATA!$R$5:$R$3027,S$4,INP_DATA!$D$5:$D$3027,$D1650,INP_DATA!$B$5:$B$3027,$B1650)</f>
        <v>0</v>
      </c>
      <c r="T1650" s="235">
        <f>COUNTIFS(INP_DATA!$R$5:$R$3027,T$4,INP_DATA!$D$5:$D$3027,$D1650,INP_DATA!$B$5:$B$3027,$B1650)</f>
        <v>0</v>
      </c>
    </row>
    <row r="1651" spans="1:20" x14ac:dyDescent="0.35">
      <c r="A1651" s="3" t="str">
        <f>IF(D1651="","",(VLOOKUP($D1651,KEY!$B$5:$D$74,3,FALSE)))</f>
        <v/>
      </c>
      <c r="B1651" s="165">
        <f t="shared" si="12"/>
        <v>45748</v>
      </c>
      <c r="C1651" s="57" t="str">
        <f>IF($B1651="","",YEAR($B1651)&amp;"-"&amp;IFERROR(VLOOKUP(MONTH(B1651),KEY!$AE$5:$AF$16,2,FALSE),""))</f>
        <v>2025-Q2</v>
      </c>
      <c r="D1651" s="3"/>
      <c r="E1651" s="219"/>
      <c r="F1651" s="166"/>
      <c r="G1651" s="166"/>
      <c r="H1651" s="21"/>
      <c r="I1651" s="21"/>
      <c r="J1651" s="21"/>
      <c r="K1651" s="21"/>
      <c r="L1651" s="21"/>
      <c r="M1651" s="21"/>
      <c r="N1651" s="21"/>
      <c r="O1651" s="19"/>
      <c r="P1651" s="22"/>
      <c r="Q1651" s="22"/>
      <c r="R1651" s="20"/>
      <c r="S1651" s="234">
        <f>COUNTIFS(INP_DATA!$R$5:$R$3027,S$4,INP_DATA!$D$5:$D$3027,$D1651,INP_DATA!$B$5:$B$3027,$B1651)</f>
        <v>0</v>
      </c>
      <c r="T1651" s="235">
        <f>COUNTIFS(INP_DATA!$R$5:$R$3027,T$4,INP_DATA!$D$5:$D$3027,$D1651,INP_DATA!$B$5:$B$3027,$B1651)</f>
        <v>0</v>
      </c>
    </row>
    <row r="1652" spans="1:20" x14ac:dyDescent="0.35">
      <c r="A1652" s="3" t="str">
        <f>IF(D1652="","",(VLOOKUP($D1652,KEY!$B$5:$D$74,3,FALSE)))</f>
        <v/>
      </c>
      <c r="B1652" s="426">
        <f t="shared" si="12"/>
        <v>45748</v>
      </c>
      <c r="C1652" s="427" t="str">
        <f>IF($B1652="","",YEAR($B1652)&amp;"-"&amp;IFERROR(VLOOKUP(MONTH(B1652),KEY!$AE$5:$AF$16,2,FALSE),""))</f>
        <v>2025-Q2</v>
      </c>
      <c r="D1652" s="428"/>
      <c r="E1652" s="429"/>
      <c r="F1652" s="430"/>
      <c r="G1652" s="430"/>
      <c r="H1652" s="431"/>
      <c r="I1652" s="431"/>
      <c r="J1652" s="431"/>
      <c r="K1652" s="431"/>
      <c r="L1652" s="431"/>
      <c r="M1652" s="431"/>
      <c r="N1652" s="431"/>
      <c r="O1652" s="432"/>
      <c r="P1652" s="433"/>
      <c r="Q1652" s="433"/>
      <c r="R1652" s="20"/>
      <c r="S1652" s="234">
        <f>COUNTIFS(INP_DATA!$R$5:$R$3027,S$4,INP_DATA!$D$5:$D$3027,$D1652,INP_DATA!$B$5:$B$3027,$B1652)</f>
        <v>0</v>
      </c>
      <c r="T1652" s="235">
        <f>COUNTIFS(INP_DATA!$R$5:$R$3027,T$4,INP_DATA!$D$5:$D$3027,$D1652,INP_DATA!$B$5:$B$3027,$B1652)</f>
        <v>0</v>
      </c>
    </row>
    <row r="1653" spans="1:20" x14ac:dyDescent="0.35">
      <c r="A1653" s="3" t="str">
        <f>IF(D1653="","",(VLOOKUP($D1653,KEY!$B$5:$D$74,3,FALSE)))</f>
        <v>Arizona</v>
      </c>
      <c r="B1653" s="165">
        <f>DATE(YEAR(B1652+31),MONTH(B1652+31),1)</f>
        <v>45778</v>
      </c>
      <c r="C1653" s="57" t="str">
        <f>IF($B1653="","",YEAR($B1653)&amp;"-"&amp;IFERROR(VLOOKUP(MONTH(B1653),KEY!$AE$5:$AF$16,2,FALSE),""))</f>
        <v>2025-Q2</v>
      </c>
      <c r="D1653" s="3" t="s">
        <v>111</v>
      </c>
      <c r="E1653" s="219">
        <v>12</v>
      </c>
      <c r="F1653" s="166">
        <v>60</v>
      </c>
      <c r="G1653" s="166">
        <v>72</v>
      </c>
      <c r="H1653" s="21">
        <v>104</v>
      </c>
      <c r="I1653" s="21">
        <v>15</v>
      </c>
      <c r="J1653" s="21">
        <v>60</v>
      </c>
      <c r="K1653" s="21">
        <v>11</v>
      </c>
      <c r="L1653" s="21">
        <v>98</v>
      </c>
      <c r="M1653" s="21">
        <v>44</v>
      </c>
      <c r="N1653" s="21">
        <v>61</v>
      </c>
      <c r="O1653" s="19">
        <v>176</v>
      </c>
      <c r="P1653" s="22">
        <v>5</v>
      </c>
      <c r="Q1653" s="22">
        <v>3</v>
      </c>
      <c r="R1653" s="20"/>
      <c r="S1653" s="234">
        <f>COUNTIFS(INP_DATA!$R$5:$R$3027,S$4,INP_DATA!$D$5:$D$3027,$D1653,INP_DATA!$B$5:$B$3027,$B1653)</f>
        <v>0</v>
      </c>
      <c r="T1653" s="235">
        <f>COUNTIFS(INP_DATA!$R$5:$R$3027,T$4,INP_DATA!$D$5:$D$3027,$D1653,INP_DATA!$B$5:$B$3027,$B1653)</f>
        <v>0</v>
      </c>
    </row>
    <row r="1654" spans="1:20" x14ac:dyDescent="0.35">
      <c r="A1654" s="3" t="str">
        <f>IF(D1654="","",(VLOOKUP($D1654,KEY!$B$5:$D$74,3,FALSE)))</f>
        <v>Southern California</v>
      </c>
      <c r="B1654" s="165">
        <f t="shared" ref="B1654:B1717" si="13">B1653</f>
        <v>45778</v>
      </c>
      <c r="C1654" s="57" t="str">
        <f>IF($B1654="","",YEAR($B1654)&amp;"-"&amp;IFERROR(VLOOKUP(MONTH(B1654),KEY!$AE$5:$AF$16,2,FALSE),""))</f>
        <v>2025-Q2</v>
      </c>
      <c r="D1654" s="3" t="s">
        <v>112</v>
      </c>
      <c r="E1654" s="219">
        <v>8</v>
      </c>
      <c r="F1654" s="166">
        <v>48</v>
      </c>
      <c r="G1654" s="166">
        <v>26</v>
      </c>
      <c r="H1654" s="21">
        <v>101</v>
      </c>
      <c r="I1654" s="21">
        <v>16</v>
      </c>
      <c r="J1654" s="21">
        <v>46</v>
      </c>
      <c r="K1654" s="21">
        <v>12</v>
      </c>
      <c r="L1654" s="21">
        <v>85</v>
      </c>
      <c r="M1654" s="21">
        <v>33</v>
      </c>
      <c r="N1654" s="21">
        <v>49</v>
      </c>
      <c r="O1654" s="19">
        <v>88</v>
      </c>
      <c r="P1654" s="22">
        <v>8</v>
      </c>
      <c r="Q1654" s="22">
        <v>7</v>
      </c>
      <c r="R1654" s="20"/>
      <c r="S1654" s="234">
        <f>COUNTIFS(INP_DATA!$R$5:$R$3027,S$4,INP_DATA!$D$5:$D$3027,$D1654,INP_DATA!$B$5:$B$3027,$B1654)</f>
        <v>0</v>
      </c>
      <c r="T1654" s="235">
        <f>COUNTIFS(INP_DATA!$R$5:$R$3027,T$4,INP_DATA!$D$5:$D$3027,$D1654,INP_DATA!$B$5:$B$3027,$B1654)</f>
        <v>0</v>
      </c>
    </row>
    <row r="1655" spans="1:20" x14ac:dyDescent="0.35">
      <c r="A1655" s="3" t="str">
        <f>IF(D1655="","",(VLOOKUP($D1655,KEY!$B$5:$D$74,3,FALSE)))</f>
        <v>Arizona</v>
      </c>
      <c r="B1655" s="165">
        <f t="shared" si="13"/>
        <v>45778</v>
      </c>
      <c r="C1655" s="57" t="str">
        <f>IF($B1655="","",YEAR($B1655)&amp;"-"&amp;IFERROR(VLOOKUP(MONTH(B1655),KEY!$AE$5:$AF$16,2,FALSE),""))</f>
        <v>2025-Q2</v>
      </c>
      <c r="D1655" s="3" t="s">
        <v>113</v>
      </c>
      <c r="E1655" s="219">
        <v>12</v>
      </c>
      <c r="F1655" s="166">
        <v>61</v>
      </c>
      <c r="G1655" s="166">
        <v>82</v>
      </c>
      <c r="H1655" s="21">
        <v>173</v>
      </c>
      <c r="I1655" s="21">
        <v>26</v>
      </c>
      <c r="J1655" s="21">
        <v>55</v>
      </c>
      <c r="K1655" s="21">
        <v>12</v>
      </c>
      <c r="L1655" s="21">
        <v>168</v>
      </c>
      <c r="M1655" s="21">
        <v>50</v>
      </c>
      <c r="N1655" s="21">
        <v>62</v>
      </c>
      <c r="O1655" s="19">
        <v>154</v>
      </c>
      <c r="P1655" s="22">
        <v>4</v>
      </c>
      <c r="Q1655" s="22">
        <v>3</v>
      </c>
      <c r="R1655" s="20"/>
      <c r="S1655" s="234">
        <f>COUNTIFS(INP_DATA!$R$5:$R$3027,S$4,INP_DATA!$D$5:$D$3027,$D1655,INP_DATA!$B$5:$B$3027,$B1655)</f>
        <v>0</v>
      </c>
      <c r="T1655" s="235">
        <f>COUNTIFS(INP_DATA!$R$5:$R$3027,T$4,INP_DATA!$D$5:$D$3027,$D1655,INP_DATA!$B$5:$B$3027,$B1655)</f>
        <v>0</v>
      </c>
    </row>
    <row r="1656" spans="1:20" x14ac:dyDescent="0.35">
      <c r="A1656" s="3" t="str">
        <f>IF(D1656="","",(VLOOKUP($D1656,KEY!$B$5:$D$74,3,FALSE)))</f>
        <v>Southern California</v>
      </c>
      <c r="B1656" s="165">
        <f t="shared" si="13"/>
        <v>45778</v>
      </c>
      <c r="C1656" s="57" t="str">
        <f>IF($B1656="","",YEAR($B1656)&amp;"-"&amp;IFERROR(VLOOKUP(MONTH(B1656),KEY!$AE$5:$AF$16,2,FALSE),""))</f>
        <v>2025-Q2</v>
      </c>
      <c r="D1656" s="3" t="s">
        <v>114</v>
      </c>
      <c r="E1656" s="219">
        <v>18</v>
      </c>
      <c r="F1656" s="166">
        <v>48</v>
      </c>
      <c r="G1656" s="166">
        <v>43</v>
      </c>
      <c r="H1656" s="21">
        <v>73</v>
      </c>
      <c r="I1656" s="21">
        <v>14</v>
      </c>
      <c r="J1656" s="21">
        <v>32</v>
      </c>
      <c r="K1656" s="21">
        <v>7</v>
      </c>
      <c r="L1656" s="21">
        <v>77</v>
      </c>
      <c r="M1656" s="21">
        <v>29</v>
      </c>
      <c r="N1656" s="21">
        <v>50</v>
      </c>
      <c r="O1656" s="19">
        <v>110</v>
      </c>
      <c r="P1656" s="22">
        <v>13</v>
      </c>
      <c r="Q1656" s="22">
        <v>9</v>
      </c>
      <c r="R1656" s="20"/>
      <c r="S1656" s="234">
        <f>COUNTIFS(INP_DATA!$R$5:$R$3027,S$4,INP_DATA!$D$5:$D$3027,$D1656,INP_DATA!$B$5:$B$3027,$B1656)</f>
        <v>0</v>
      </c>
      <c r="T1656" s="235">
        <f>COUNTIFS(INP_DATA!$R$5:$R$3027,T$4,INP_DATA!$D$5:$D$3027,$D1656,INP_DATA!$B$5:$B$3027,$B1656)</f>
        <v>0</v>
      </c>
    </row>
    <row r="1657" spans="1:20" x14ac:dyDescent="0.35">
      <c r="A1657" s="3" t="str">
        <f>IF(D1657="","",(VLOOKUP($D1657,KEY!$B$5:$D$74,3,FALSE)))</f>
        <v>Orange County</v>
      </c>
      <c r="B1657" s="165">
        <f t="shared" si="13"/>
        <v>45778</v>
      </c>
      <c r="C1657" s="57" t="str">
        <f>IF($B1657="","",YEAR($B1657)&amp;"-"&amp;IFERROR(VLOOKUP(MONTH(B1657),KEY!$AE$5:$AF$16,2,FALSE),""))</f>
        <v>2025-Q2</v>
      </c>
      <c r="D1657" s="3" t="s">
        <v>115</v>
      </c>
      <c r="E1657" s="219">
        <v>3</v>
      </c>
      <c r="F1657" s="166">
        <v>37</v>
      </c>
      <c r="G1657" s="166">
        <v>38</v>
      </c>
      <c r="H1657" s="21">
        <v>59</v>
      </c>
      <c r="I1657" s="21">
        <v>12</v>
      </c>
      <c r="J1657" s="21">
        <v>35</v>
      </c>
      <c r="K1657" s="21">
        <v>10</v>
      </c>
      <c r="L1657" s="21">
        <v>76</v>
      </c>
      <c r="M1657" s="21">
        <v>29</v>
      </c>
      <c r="N1657" s="21">
        <v>43</v>
      </c>
      <c r="O1657" s="19">
        <v>88</v>
      </c>
      <c r="P1657" s="22">
        <v>4</v>
      </c>
      <c r="Q1657" s="22">
        <v>1</v>
      </c>
      <c r="R1657" s="20"/>
      <c r="S1657" s="234">
        <f>COUNTIFS(INP_DATA!$R$5:$R$3027,S$4,INP_DATA!$D$5:$D$3027,$D1657,INP_DATA!$B$5:$B$3027,$B1657)</f>
        <v>0</v>
      </c>
      <c r="T1657" s="235">
        <f>COUNTIFS(INP_DATA!$R$5:$R$3027,T$4,INP_DATA!$D$5:$D$3027,$D1657,INP_DATA!$B$5:$B$3027,$B1657)</f>
        <v>0</v>
      </c>
    </row>
    <row r="1658" spans="1:20" x14ac:dyDescent="0.35">
      <c r="A1658" s="3" t="str">
        <f>IF(D1658="","",(VLOOKUP($D1658,KEY!$B$5:$D$74,3,FALSE)))</f>
        <v>Arizona</v>
      </c>
      <c r="B1658" s="165">
        <f t="shared" si="13"/>
        <v>45778</v>
      </c>
      <c r="C1658" s="57" t="str">
        <f>IF($B1658="","",YEAR($B1658)&amp;"-"&amp;IFERROR(VLOOKUP(MONTH(B1658),KEY!$AE$5:$AF$16,2,FALSE),""))</f>
        <v>2025-Q2</v>
      </c>
      <c r="D1658" s="3" t="s">
        <v>116</v>
      </c>
      <c r="E1658" s="219">
        <v>23</v>
      </c>
      <c r="F1658" s="166">
        <v>114</v>
      </c>
      <c r="G1658" s="166">
        <v>124</v>
      </c>
      <c r="H1658" s="21">
        <v>271</v>
      </c>
      <c r="I1658" s="21">
        <v>30</v>
      </c>
      <c r="J1658" s="21">
        <v>102</v>
      </c>
      <c r="K1658" s="21">
        <v>20</v>
      </c>
      <c r="L1658" s="21">
        <v>228</v>
      </c>
      <c r="M1658" s="21">
        <v>71</v>
      </c>
      <c r="N1658" s="21">
        <v>127</v>
      </c>
      <c r="O1658" s="19">
        <v>242</v>
      </c>
      <c r="P1658" s="22">
        <v>16</v>
      </c>
      <c r="Q1658" s="22">
        <v>7</v>
      </c>
      <c r="R1658" s="20"/>
      <c r="S1658" s="234">
        <f>COUNTIFS(INP_DATA!$R$5:$R$3027,S$4,INP_DATA!$D$5:$D$3027,$D1658,INP_DATA!$B$5:$B$3027,$B1658)</f>
        <v>0</v>
      </c>
      <c r="T1658" s="235">
        <f>COUNTIFS(INP_DATA!$R$5:$R$3027,T$4,INP_DATA!$D$5:$D$3027,$D1658,INP_DATA!$B$5:$B$3027,$B1658)</f>
        <v>0</v>
      </c>
    </row>
    <row r="1659" spans="1:20" x14ac:dyDescent="0.35">
      <c r="A1659" s="3" t="str">
        <f>IF(D1659="","",(VLOOKUP($D1659,KEY!$B$5:$D$74,3,FALSE)))</f>
        <v>Northern California</v>
      </c>
      <c r="B1659" s="165">
        <f t="shared" si="13"/>
        <v>45778</v>
      </c>
      <c r="C1659" s="57" t="str">
        <f>IF($B1659="","",YEAR($B1659)&amp;"-"&amp;IFERROR(VLOOKUP(MONTH(B1659),KEY!$AE$5:$AF$16,2,FALSE),""))</f>
        <v>2025-Q2</v>
      </c>
      <c r="D1659" s="3" t="s">
        <v>118</v>
      </c>
      <c r="E1659" s="219">
        <v>30</v>
      </c>
      <c r="F1659" s="166">
        <v>142</v>
      </c>
      <c r="G1659" s="166">
        <v>163</v>
      </c>
      <c r="H1659" s="21">
        <v>379</v>
      </c>
      <c r="I1659" s="21">
        <v>39</v>
      </c>
      <c r="J1659" s="21">
        <v>121</v>
      </c>
      <c r="K1659" s="21">
        <v>29</v>
      </c>
      <c r="L1659" s="21">
        <v>306</v>
      </c>
      <c r="M1659" s="21">
        <v>76</v>
      </c>
      <c r="N1659" s="21">
        <v>145</v>
      </c>
      <c r="O1659" s="19">
        <v>308</v>
      </c>
      <c r="P1659" s="22">
        <v>58</v>
      </c>
      <c r="Q1659" s="22">
        <v>35</v>
      </c>
      <c r="R1659" s="20"/>
      <c r="S1659" s="234">
        <f>COUNTIFS(INP_DATA!$R$5:$R$3027,S$4,INP_DATA!$D$5:$D$3027,$D1659,INP_DATA!$B$5:$B$3027,$B1659)</f>
        <v>0</v>
      </c>
      <c r="T1659" s="235">
        <f>COUNTIFS(INP_DATA!$R$5:$R$3027,T$4,INP_DATA!$D$5:$D$3027,$D1659,INP_DATA!$B$5:$B$3027,$B1659)</f>
        <v>0</v>
      </c>
    </row>
    <row r="1660" spans="1:20" x14ac:dyDescent="0.35">
      <c r="A1660" s="3" t="str">
        <f>IF(D1660="","",(VLOOKUP($D1660,KEY!$B$5:$D$74,3,FALSE)))</f>
        <v>Orange County</v>
      </c>
      <c r="B1660" s="165">
        <f t="shared" si="13"/>
        <v>45778</v>
      </c>
      <c r="C1660" s="57" t="str">
        <f>IF($B1660="","",YEAR($B1660)&amp;"-"&amp;IFERROR(VLOOKUP(MONTH(B1660),KEY!$AE$5:$AF$16,2,FALSE),""))</f>
        <v>2025-Q2</v>
      </c>
      <c r="D1660" s="3" t="s">
        <v>117</v>
      </c>
      <c r="E1660" s="219">
        <v>14</v>
      </c>
      <c r="F1660" s="166">
        <v>59</v>
      </c>
      <c r="G1660" s="166">
        <v>90</v>
      </c>
      <c r="H1660" s="21">
        <v>162</v>
      </c>
      <c r="I1660" s="21">
        <v>13</v>
      </c>
      <c r="J1660" s="21">
        <v>87</v>
      </c>
      <c r="K1660" s="21">
        <v>18</v>
      </c>
      <c r="L1660" s="21">
        <v>101</v>
      </c>
      <c r="M1660" s="21">
        <v>38</v>
      </c>
      <c r="N1660" s="21">
        <v>58</v>
      </c>
      <c r="O1660" s="19">
        <v>88</v>
      </c>
      <c r="P1660" s="22">
        <v>29</v>
      </c>
      <c r="Q1660" s="22">
        <v>10</v>
      </c>
      <c r="R1660" s="20"/>
      <c r="S1660" s="234">
        <f>COUNTIFS(INP_DATA!$R$5:$R$3027,S$4,INP_DATA!$D$5:$D$3027,$D1660,INP_DATA!$B$5:$B$3027,$B1660)</f>
        <v>0</v>
      </c>
      <c r="T1660" s="235">
        <f>COUNTIFS(INP_DATA!$R$5:$R$3027,T$4,INP_DATA!$D$5:$D$3027,$D1660,INP_DATA!$B$5:$B$3027,$B1660)</f>
        <v>0</v>
      </c>
    </row>
    <row r="1661" spans="1:20" x14ac:dyDescent="0.35">
      <c r="A1661" s="3" t="str">
        <f>IF(D1661="","",(VLOOKUP($D1661,KEY!$B$5:$D$74,3,FALSE)))</f>
        <v>Arizona</v>
      </c>
      <c r="B1661" s="165">
        <f t="shared" si="13"/>
        <v>45778</v>
      </c>
      <c r="C1661" s="57" t="str">
        <f>IF($B1661="","",YEAR($B1661)&amp;"-"&amp;IFERROR(VLOOKUP(MONTH(B1661),KEY!$AE$5:$AF$16,2,FALSE),""))</f>
        <v>2025-Q2</v>
      </c>
      <c r="D1661" s="3" t="s">
        <v>119</v>
      </c>
      <c r="E1661" s="219">
        <v>8</v>
      </c>
      <c r="F1661" s="166">
        <v>24</v>
      </c>
      <c r="G1661" s="166">
        <v>25</v>
      </c>
      <c r="H1661" s="21">
        <v>24</v>
      </c>
      <c r="I1661" s="21">
        <v>6</v>
      </c>
      <c r="J1661" s="21">
        <v>18</v>
      </c>
      <c r="K1661" s="21">
        <v>5</v>
      </c>
      <c r="L1661" s="21">
        <v>95</v>
      </c>
      <c r="M1661" s="21">
        <v>14</v>
      </c>
      <c r="N1661" s="21">
        <v>24</v>
      </c>
      <c r="O1661" s="19">
        <v>88</v>
      </c>
      <c r="P1661" s="22">
        <v>2</v>
      </c>
      <c r="Q1661" s="22">
        <v>0</v>
      </c>
      <c r="R1661" s="20"/>
      <c r="S1661" s="234">
        <f>COUNTIFS(INP_DATA!$R$5:$R$3027,S$4,INP_DATA!$D$5:$D$3027,$D1661,INP_DATA!$B$5:$B$3027,$B1661)</f>
        <v>0</v>
      </c>
      <c r="T1661" s="235">
        <f>COUNTIFS(INP_DATA!$R$5:$R$3027,T$4,INP_DATA!$D$5:$D$3027,$D1661,INP_DATA!$B$5:$B$3027,$B1661)</f>
        <v>0</v>
      </c>
    </row>
    <row r="1662" spans="1:20" x14ac:dyDescent="0.35">
      <c r="A1662" s="3" t="str">
        <f>IF(D1662="","",(VLOOKUP($D1662,KEY!$B$5:$D$74,3,FALSE)))</f>
        <v/>
      </c>
      <c r="B1662" s="165">
        <f t="shared" si="13"/>
        <v>45778</v>
      </c>
      <c r="C1662" s="57" t="str">
        <f>IF($B1662="","",YEAR($B1662)&amp;"-"&amp;IFERROR(VLOOKUP(MONTH(B1662),KEY!$AE$5:$AF$16,2,FALSE),""))</f>
        <v>2025-Q2</v>
      </c>
      <c r="D1662" s="3"/>
      <c r="E1662" s="219"/>
      <c r="F1662" s="166"/>
      <c r="G1662" s="166"/>
      <c r="H1662" s="21"/>
      <c r="I1662" s="21"/>
      <c r="J1662" s="21"/>
      <c r="K1662" s="21"/>
      <c r="L1662" s="21"/>
      <c r="M1662" s="21"/>
      <c r="N1662" s="21"/>
      <c r="O1662" s="19"/>
      <c r="P1662" s="22"/>
      <c r="Q1662" s="22"/>
      <c r="R1662" s="20"/>
      <c r="S1662" s="234">
        <f>COUNTIFS(INP_DATA!$R$5:$R$3027,S$4,INP_DATA!$D$5:$D$3027,$D1662,INP_DATA!$B$5:$B$3027,$B1662)</f>
        <v>0</v>
      </c>
      <c r="T1662" s="235">
        <f>COUNTIFS(INP_DATA!$R$5:$R$3027,T$4,INP_DATA!$D$5:$D$3027,$D1662,INP_DATA!$B$5:$B$3027,$B1662)</f>
        <v>0</v>
      </c>
    </row>
    <row r="1663" spans="1:20" x14ac:dyDescent="0.35">
      <c r="A1663" s="3" t="str">
        <f>IF(D1663="","",(VLOOKUP($D1663,KEY!$B$5:$D$74,3,FALSE)))</f>
        <v>Arizona</v>
      </c>
      <c r="B1663" s="165">
        <f t="shared" si="13"/>
        <v>45778</v>
      </c>
      <c r="C1663" s="57" t="str">
        <f>IF($B1663="","",YEAR($B1663)&amp;"-"&amp;IFERROR(VLOOKUP(MONTH(B1663),KEY!$AE$5:$AF$16,2,FALSE),""))</f>
        <v>2025-Q2</v>
      </c>
      <c r="D1663" s="3" t="s">
        <v>120</v>
      </c>
      <c r="E1663" s="219">
        <v>55</v>
      </c>
      <c r="F1663" s="166">
        <v>313</v>
      </c>
      <c r="G1663" s="166">
        <v>364</v>
      </c>
      <c r="H1663" s="21">
        <v>610</v>
      </c>
      <c r="I1663" s="21">
        <v>80</v>
      </c>
      <c r="J1663" s="21">
        <v>265</v>
      </c>
      <c r="K1663" s="21">
        <v>53</v>
      </c>
      <c r="L1663" s="21">
        <v>525</v>
      </c>
      <c r="M1663" s="21">
        <v>182</v>
      </c>
      <c r="N1663" s="21">
        <v>315</v>
      </c>
      <c r="O1663" s="19">
        <v>572</v>
      </c>
      <c r="P1663" s="22">
        <v>60</v>
      </c>
      <c r="Q1663" s="22">
        <v>33</v>
      </c>
      <c r="R1663" s="20"/>
      <c r="S1663" s="234">
        <f>COUNTIFS(INP_DATA!$R$5:$R$3027,S$4,INP_DATA!$D$5:$D$3027,$D1663,INP_DATA!$B$5:$B$3027,$B1663)</f>
        <v>0</v>
      </c>
      <c r="T1663" s="235">
        <f>COUNTIFS(INP_DATA!$R$5:$R$3027,T$4,INP_DATA!$D$5:$D$3027,$D1663,INP_DATA!$B$5:$B$3027,$B1663)</f>
        <v>0</v>
      </c>
    </row>
    <row r="1664" spans="1:20" x14ac:dyDescent="0.35">
      <c r="A1664" s="3" t="str">
        <f>IF(D1664="","",(VLOOKUP($D1664,KEY!$B$5:$D$74,3,FALSE)))</f>
        <v>Texas</v>
      </c>
      <c r="B1664" s="165">
        <f t="shared" si="13"/>
        <v>45778</v>
      </c>
      <c r="C1664" s="57" t="str">
        <f>IF($B1664="","",YEAR($B1664)&amp;"-"&amp;IFERROR(VLOOKUP(MONTH(B1664),KEY!$AE$5:$AF$16,2,FALSE),""))</f>
        <v>2025-Q2</v>
      </c>
      <c r="D1664" s="3" t="s">
        <v>121</v>
      </c>
      <c r="E1664" s="219">
        <v>42</v>
      </c>
      <c r="F1664" s="166">
        <v>248</v>
      </c>
      <c r="G1664" s="166">
        <v>259</v>
      </c>
      <c r="H1664" s="21">
        <v>569</v>
      </c>
      <c r="I1664" s="21">
        <v>86</v>
      </c>
      <c r="J1664" s="21">
        <v>230</v>
      </c>
      <c r="K1664" s="21">
        <v>46</v>
      </c>
      <c r="L1664" s="21">
        <v>451</v>
      </c>
      <c r="M1664" s="21">
        <v>148</v>
      </c>
      <c r="N1664" s="21">
        <v>253</v>
      </c>
      <c r="O1664" s="19">
        <v>506</v>
      </c>
      <c r="P1664" s="22">
        <v>14</v>
      </c>
      <c r="Q1664" s="22">
        <v>8</v>
      </c>
      <c r="R1664" s="20"/>
      <c r="S1664" s="234">
        <f>COUNTIFS(INP_DATA!$R$5:$R$3027,S$4,INP_DATA!$D$5:$D$3027,$D1664,INP_DATA!$B$5:$B$3027,$B1664)</f>
        <v>0</v>
      </c>
      <c r="T1664" s="235">
        <f>COUNTIFS(INP_DATA!$R$5:$R$3027,T$4,INP_DATA!$D$5:$D$3027,$D1664,INP_DATA!$B$5:$B$3027,$B1664)</f>
        <v>0</v>
      </c>
    </row>
    <row r="1665" spans="1:20" x14ac:dyDescent="0.35">
      <c r="A1665" s="3" t="str">
        <f>IF(D1665="","",(VLOOKUP($D1665,KEY!$B$5:$D$74,3,FALSE)))</f>
        <v>Michigan &amp; Minnesota</v>
      </c>
      <c r="B1665" s="165">
        <f t="shared" si="13"/>
        <v>45778</v>
      </c>
      <c r="C1665" s="57" t="str">
        <f>IF($B1665="","",YEAR($B1665)&amp;"-"&amp;IFERROR(VLOOKUP(MONTH(B1665),KEY!$AE$5:$AF$16,2,FALSE),""))</f>
        <v>2025-Q2</v>
      </c>
      <c r="D1665" s="3" t="s">
        <v>200</v>
      </c>
      <c r="E1665" s="219">
        <v>5</v>
      </c>
      <c r="F1665" s="166">
        <v>147</v>
      </c>
      <c r="G1665" s="166">
        <v>146</v>
      </c>
      <c r="H1665" s="21">
        <v>324</v>
      </c>
      <c r="I1665" s="21">
        <v>36</v>
      </c>
      <c r="J1665" s="21">
        <v>188</v>
      </c>
      <c r="K1665" s="21">
        <v>32</v>
      </c>
      <c r="L1665" s="21">
        <v>262</v>
      </c>
      <c r="M1665" s="21">
        <v>74</v>
      </c>
      <c r="N1665" s="21">
        <v>147</v>
      </c>
      <c r="O1665" s="19">
        <v>264</v>
      </c>
      <c r="P1665" s="22">
        <v>26</v>
      </c>
      <c r="Q1665" s="22">
        <v>6</v>
      </c>
      <c r="R1665" s="20"/>
      <c r="S1665" s="234">
        <f>COUNTIFS(INP_DATA!$R$5:$R$3027,S$4,INP_DATA!$D$5:$D$3027,$D1665,INP_DATA!$B$5:$B$3027,$B1665)</f>
        <v>0</v>
      </c>
      <c r="T1665" s="235">
        <f>COUNTIFS(INP_DATA!$R$5:$R$3027,T$4,INP_DATA!$D$5:$D$3027,$D1665,INP_DATA!$B$5:$B$3027,$B1665)</f>
        <v>0</v>
      </c>
    </row>
    <row r="1666" spans="1:20" x14ac:dyDescent="0.35">
      <c r="A1666" s="3" t="str">
        <f>IF(D1666="","",(VLOOKUP($D1666,KEY!$B$5:$D$74,3,FALSE)))</f>
        <v>Southern California</v>
      </c>
      <c r="B1666" s="165">
        <f t="shared" si="13"/>
        <v>45778</v>
      </c>
      <c r="C1666" s="57" t="str">
        <f>IF($B1666="","",YEAR($B1666)&amp;"-"&amp;IFERROR(VLOOKUP(MONTH(B1666),KEY!$AE$5:$AF$16,2,FALSE),""))</f>
        <v>2025-Q2</v>
      </c>
      <c r="D1666" s="3" t="s">
        <v>122</v>
      </c>
      <c r="E1666" s="219">
        <v>7</v>
      </c>
      <c r="F1666" s="166">
        <v>81</v>
      </c>
      <c r="G1666" s="166">
        <v>61</v>
      </c>
      <c r="H1666" s="21">
        <v>285</v>
      </c>
      <c r="I1666" s="21">
        <v>22</v>
      </c>
      <c r="J1666" s="21">
        <v>160</v>
      </c>
      <c r="K1666" s="21">
        <v>15</v>
      </c>
      <c r="L1666" s="21">
        <v>150</v>
      </c>
      <c r="M1666" s="21">
        <v>48</v>
      </c>
      <c r="N1666" s="21">
        <v>83</v>
      </c>
      <c r="O1666" s="19">
        <v>242</v>
      </c>
      <c r="P1666" s="22">
        <v>9</v>
      </c>
      <c r="Q1666" s="22">
        <v>3</v>
      </c>
      <c r="R1666" s="20"/>
      <c r="S1666" s="234">
        <f>COUNTIFS(INP_DATA!$R$5:$R$3027,S$4,INP_DATA!$D$5:$D$3027,$D1666,INP_DATA!$B$5:$B$3027,$B1666)</f>
        <v>0</v>
      </c>
      <c r="T1666" s="235">
        <f>COUNTIFS(INP_DATA!$R$5:$R$3027,T$4,INP_DATA!$D$5:$D$3027,$D1666,INP_DATA!$B$5:$B$3027,$B1666)</f>
        <v>0</v>
      </c>
    </row>
    <row r="1667" spans="1:20" x14ac:dyDescent="0.35">
      <c r="A1667" s="3" t="str">
        <f>IF(D1667="","",(VLOOKUP($D1667,KEY!$B$5:$D$74,3,FALSE)))</f>
        <v>Orange County</v>
      </c>
      <c r="B1667" s="165">
        <f t="shared" si="13"/>
        <v>45778</v>
      </c>
      <c r="C1667" s="57" t="str">
        <f>IF($B1667="","",YEAR($B1667)&amp;"-"&amp;IFERROR(VLOOKUP(MONTH(B1667),KEY!$AE$5:$AF$16,2,FALSE),""))</f>
        <v>2025-Q2</v>
      </c>
      <c r="D1667" s="3" t="s">
        <v>123</v>
      </c>
      <c r="E1667" s="219">
        <v>51</v>
      </c>
      <c r="F1667" s="166">
        <v>251</v>
      </c>
      <c r="G1667" s="166">
        <v>277</v>
      </c>
      <c r="H1667" s="21">
        <v>333</v>
      </c>
      <c r="I1667" s="21">
        <v>53</v>
      </c>
      <c r="J1667" s="21">
        <v>194</v>
      </c>
      <c r="K1667" s="21">
        <v>49</v>
      </c>
      <c r="L1667" s="21">
        <v>402</v>
      </c>
      <c r="M1667" s="21">
        <v>156</v>
      </c>
      <c r="N1667" s="21">
        <v>226</v>
      </c>
      <c r="O1667" s="19">
        <v>440</v>
      </c>
      <c r="P1667" s="22">
        <v>21</v>
      </c>
      <c r="Q1667" s="22">
        <v>15</v>
      </c>
      <c r="R1667" s="20"/>
      <c r="S1667" s="234">
        <f>COUNTIFS(INP_DATA!$R$5:$R$3027,S$4,INP_DATA!$D$5:$D$3027,$D1667,INP_DATA!$B$5:$B$3027,$B1667)</f>
        <v>0</v>
      </c>
      <c r="T1667" s="235">
        <f>COUNTIFS(INP_DATA!$R$5:$R$3027,T$4,INP_DATA!$D$5:$D$3027,$D1667,INP_DATA!$B$5:$B$3027,$B1667)</f>
        <v>0</v>
      </c>
    </row>
    <row r="1668" spans="1:20" x14ac:dyDescent="0.35">
      <c r="A1668" s="3" t="str">
        <f>IF(D1668="","",(VLOOKUP($D1668,KEY!$B$5:$D$74,3,FALSE)))</f>
        <v>Southern California</v>
      </c>
      <c r="B1668" s="165">
        <f t="shared" si="13"/>
        <v>45778</v>
      </c>
      <c r="C1668" s="57" t="str">
        <f>IF($B1668="","",YEAR($B1668)&amp;"-"&amp;IFERROR(VLOOKUP(MONTH(B1668),KEY!$AE$5:$AF$16,2,FALSE),""))</f>
        <v>2025-Q2</v>
      </c>
      <c r="D1668" s="3" t="s">
        <v>124</v>
      </c>
      <c r="E1668" s="219">
        <v>38</v>
      </c>
      <c r="F1668" s="166">
        <v>198</v>
      </c>
      <c r="G1668" s="166">
        <v>242</v>
      </c>
      <c r="H1668" s="21">
        <v>217</v>
      </c>
      <c r="I1668" s="21">
        <v>44</v>
      </c>
      <c r="J1668" s="21">
        <v>235</v>
      </c>
      <c r="K1668" s="21">
        <v>56</v>
      </c>
      <c r="L1668" s="21">
        <v>387</v>
      </c>
      <c r="M1668" s="21">
        <v>128</v>
      </c>
      <c r="N1668" s="21">
        <v>198</v>
      </c>
      <c r="O1668" s="19">
        <v>440</v>
      </c>
      <c r="P1668" s="22">
        <v>38</v>
      </c>
      <c r="Q1668" s="22">
        <v>27</v>
      </c>
      <c r="R1668" s="20"/>
      <c r="S1668" s="234">
        <f>COUNTIFS(INP_DATA!$R$5:$R$3027,S$4,INP_DATA!$D$5:$D$3027,$D1668,INP_DATA!$B$5:$B$3027,$B1668)</f>
        <v>0</v>
      </c>
      <c r="T1668" s="235">
        <f>COUNTIFS(INP_DATA!$R$5:$R$3027,T$4,INP_DATA!$D$5:$D$3027,$D1668,INP_DATA!$B$5:$B$3027,$B1668)</f>
        <v>0</v>
      </c>
    </row>
    <row r="1669" spans="1:20" x14ac:dyDescent="0.35">
      <c r="A1669" s="3" t="str">
        <f>IF(D1669="","",(VLOOKUP($D1669,KEY!$B$5:$D$74,3,FALSE)))</f>
        <v>Northern California</v>
      </c>
      <c r="B1669" s="165">
        <f t="shared" si="13"/>
        <v>45778</v>
      </c>
      <c r="C1669" s="57" t="str">
        <f>IF($B1669="","",YEAR($B1669)&amp;"-"&amp;IFERROR(VLOOKUP(MONTH(B1669),KEY!$AE$5:$AF$16,2,FALSE),""))</f>
        <v>2025-Q2</v>
      </c>
      <c r="D1669" s="3" t="s">
        <v>195</v>
      </c>
      <c r="E1669" s="219">
        <v>10</v>
      </c>
      <c r="F1669" s="166">
        <v>68</v>
      </c>
      <c r="G1669" s="166">
        <v>57</v>
      </c>
      <c r="H1669" s="21">
        <v>147</v>
      </c>
      <c r="I1669" s="21">
        <v>29</v>
      </c>
      <c r="J1669" s="21">
        <v>39</v>
      </c>
      <c r="K1669" s="21">
        <v>13</v>
      </c>
      <c r="L1669" s="21">
        <v>133</v>
      </c>
      <c r="M1669" s="21">
        <v>44</v>
      </c>
      <c r="N1669" s="21">
        <v>69</v>
      </c>
      <c r="O1669" s="19">
        <v>110</v>
      </c>
      <c r="P1669" s="22">
        <v>4</v>
      </c>
      <c r="Q1669" s="22">
        <v>4</v>
      </c>
      <c r="R1669" s="20"/>
      <c r="S1669" s="234">
        <f>COUNTIFS(INP_DATA!$R$5:$R$3027,S$4,INP_DATA!$D$5:$D$3027,$D1669,INP_DATA!$B$5:$B$3027,$B1669)</f>
        <v>0</v>
      </c>
      <c r="T1669" s="235">
        <f>COUNTIFS(INP_DATA!$R$5:$R$3027,T$4,INP_DATA!$D$5:$D$3027,$D1669,INP_DATA!$B$5:$B$3027,$B1669)</f>
        <v>0</v>
      </c>
    </row>
    <row r="1670" spans="1:20" x14ac:dyDescent="0.35">
      <c r="A1670" s="3" t="str">
        <f>IF(D1670="","",(VLOOKUP($D1670,KEY!$B$5:$D$74,3,FALSE)))</f>
        <v>Northern California</v>
      </c>
      <c r="B1670" s="165">
        <f t="shared" si="13"/>
        <v>45778</v>
      </c>
      <c r="C1670" s="57" t="str">
        <f>IF($B1670="","",YEAR($B1670)&amp;"-"&amp;IFERROR(VLOOKUP(MONTH(B1670),KEY!$AE$5:$AF$16,2,FALSE),""))</f>
        <v>2025-Q2</v>
      </c>
      <c r="D1670" s="3" t="s">
        <v>125</v>
      </c>
      <c r="E1670" s="219">
        <v>41</v>
      </c>
      <c r="F1670" s="166">
        <v>254</v>
      </c>
      <c r="G1670" s="166">
        <v>276</v>
      </c>
      <c r="H1670" s="21">
        <v>418</v>
      </c>
      <c r="I1670" s="21">
        <v>42</v>
      </c>
      <c r="J1670" s="21">
        <v>154</v>
      </c>
      <c r="K1670" s="21">
        <v>41</v>
      </c>
      <c r="L1670" s="21">
        <v>333</v>
      </c>
      <c r="M1670" s="21">
        <v>104</v>
      </c>
      <c r="N1670" s="21">
        <v>264</v>
      </c>
      <c r="O1670" s="19">
        <v>462</v>
      </c>
      <c r="P1670" s="22">
        <v>16</v>
      </c>
      <c r="Q1670" s="22">
        <v>12</v>
      </c>
      <c r="R1670" s="20"/>
      <c r="S1670" s="234">
        <f>COUNTIFS(INP_DATA!$R$5:$R$3027,S$4,INP_DATA!$D$5:$D$3027,$D1670,INP_DATA!$B$5:$B$3027,$B1670)</f>
        <v>0</v>
      </c>
      <c r="T1670" s="235">
        <f>COUNTIFS(INP_DATA!$R$5:$R$3027,T$4,INP_DATA!$D$5:$D$3027,$D1670,INP_DATA!$B$5:$B$3027,$B1670)</f>
        <v>0</v>
      </c>
    </row>
    <row r="1671" spans="1:20" x14ac:dyDescent="0.35">
      <c r="A1671" s="3" t="str">
        <f>IF(D1671="","",(VLOOKUP($D1671,KEY!$B$5:$D$74,3,FALSE)))</f>
        <v>Orange County</v>
      </c>
      <c r="B1671" s="165">
        <f t="shared" si="13"/>
        <v>45778</v>
      </c>
      <c r="C1671" s="57" t="str">
        <f>IF($B1671="","",YEAR($B1671)&amp;"-"&amp;IFERROR(VLOOKUP(MONTH(B1671),KEY!$AE$5:$AF$16,2,FALSE),""))</f>
        <v>2025-Q2</v>
      </c>
      <c r="D1671" s="3" t="s">
        <v>126</v>
      </c>
      <c r="E1671" s="219">
        <v>84</v>
      </c>
      <c r="F1671" s="166">
        <v>419</v>
      </c>
      <c r="G1671" s="166">
        <v>491</v>
      </c>
      <c r="H1671" s="21">
        <v>775</v>
      </c>
      <c r="I1671" s="21">
        <v>100</v>
      </c>
      <c r="J1671" s="21">
        <v>451</v>
      </c>
      <c r="K1671" s="21">
        <v>118</v>
      </c>
      <c r="L1671" s="21">
        <v>786</v>
      </c>
      <c r="M1671" s="21">
        <v>270</v>
      </c>
      <c r="N1671" s="21">
        <v>422</v>
      </c>
      <c r="O1671" s="19">
        <v>638</v>
      </c>
      <c r="P1671" s="22">
        <v>95</v>
      </c>
      <c r="Q1671" s="22">
        <v>69</v>
      </c>
      <c r="R1671" s="20"/>
      <c r="S1671" s="234">
        <f>COUNTIFS(INP_DATA!$R$5:$R$3027,S$4,INP_DATA!$D$5:$D$3027,$D1671,INP_DATA!$B$5:$B$3027,$B1671)</f>
        <v>0</v>
      </c>
      <c r="T1671" s="235">
        <f>COUNTIFS(INP_DATA!$R$5:$R$3027,T$4,INP_DATA!$D$5:$D$3027,$D1671,INP_DATA!$B$5:$B$3027,$B1671)</f>
        <v>0</v>
      </c>
    </row>
    <row r="1672" spans="1:20" x14ac:dyDescent="0.35">
      <c r="A1672" s="3" t="str">
        <f>IF(D1672="","",(VLOOKUP($D1672,KEY!$B$5:$D$74,3,FALSE)))</f>
        <v>Orange County</v>
      </c>
      <c r="B1672" s="165">
        <f t="shared" si="13"/>
        <v>45778</v>
      </c>
      <c r="C1672" s="57" t="str">
        <f>IF($B1672="","",YEAR($B1672)&amp;"-"&amp;IFERROR(VLOOKUP(MONTH(B1672),KEY!$AE$5:$AF$16,2,FALSE),""))</f>
        <v>2025-Q2</v>
      </c>
      <c r="D1672" s="3" t="s">
        <v>127</v>
      </c>
      <c r="E1672" s="219">
        <v>8</v>
      </c>
      <c r="F1672" s="166">
        <v>62</v>
      </c>
      <c r="G1672" s="166">
        <v>40</v>
      </c>
      <c r="H1672" s="21">
        <v>63</v>
      </c>
      <c r="I1672" s="21">
        <v>18</v>
      </c>
      <c r="J1672" s="21">
        <v>24</v>
      </c>
      <c r="K1672" s="21">
        <v>9</v>
      </c>
      <c r="L1672" s="21">
        <v>75</v>
      </c>
      <c r="M1672" s="21">
        <v>43</v>
      </c>
      <c r="N1672" s="21">
        <v>66</v>
      </c>
      <c r="O1672" s="19">
        <v>77</v>
      </c>
      <c r="P1672" s="22">
        <v>8</v>
      </c>
      <c r="Q1672" s="22">
        <v>4</v>
      </c>
      <c r="R1672" s="20"/>
      <c r="S1672" s="234">
        <f>COUNTIFS(INP_DATA!$R$5:$R$3027,S$4,INP_DATA!$D$5:$D$3027,$D1672,INP_DATA!$B$5:$B$3027,$B1672)</f>
        <v>0</v>
      </c>
      <c r="T1672" s="235">
        <f>COUNTIFS(INP_DATA!$R$5:$R$3027,T$4,INP_DATA!$D$5:$D$3027,$D1672,INP_DATA!$B$5:$B$3027,$B1672)</f>
        <v>0</v>
      </c>
    </row>
    <row r="1673" spans="1:20" x14ac:dyDescent="0.35">
      <c r="A1673" s="3" t="str">
        <f>IF(D1673="","",(VLOOKUP($D1673,KEY!$B$5:$D$74,3,FALSE)))</f>
        <v>Wisconsin</v>
      </c>
      <c r="B1673" s="165">
        <f t="shared" si="13"/>
        <v>45778</v>
      </c>
      <c r="C1673" s="57" t="str">
        <f>IF($B1673="","",YEAR($B1673)&amp;"-"&amp;IFERROR(VLOOKUP(MONTH(B1673),KEY!$AE$5:$AF$16,2,FALSE),""))</f>
        <v>2025-Q2</v>
      </c>
      <c r="D1673" s="3" t="s">
        <v>201</v>
      </c>
      <c r="E1673" s="219">
        <v>24</v>
      </c>
      <c r="F1673" s="166">
        <v>254</v>
      </c>
      <c r="G1673" s="166">
        <v>231</v>
      </c>
      <c r="H1673" s="21">
        <v>314</v>
      </c>
      <c r="I1673" s="21">
        <v>53</v>
      </c>
      <c r="J1673" s="21">
        <v>165</v>
      </c>
      <c r="K1673" s="21">
        <v>43</v>
      </c>
      <c r="L1673" s="21">
        <v>258</v>
      </c>
      <c r="M1673" s="21">
        <v>107</v>
      </c>
      <c r="N1673" s="21">
        <v>255</v>
      </c>
      <c r="O1673" s="19">
        <v>308</v>
      </c>
      <c r="P1673" s="22">
        <v>16</v>
      </c>
      <c r="Q1673" s="22">
        <v>10</v>
      </c>
      <c r="R1673" s="20"/>
      <c r="S1673" s="234">
        <f>COUNTIFS(INP_DATA!$R$5:$R$3027,S$4,INP_DATA!$D$5:$D$3027,$D1673,INP_DATA!$B$5:$B$3027,$B1673)</f>
        <v>0</v>
      </c>
      <c r="T1673" s="235">
        <f>COUNTIFS(INP_DATA!$R$5:$R$3027,T$4,INP_DATA!$D$5:$D$3027,$D1673,INP_DATA!$B$5:$B$3027,$B1673)</f>
        <v>0</v>
      </c>
    </row>
    <row r="1674" spans="1:20" x14ac:dyDescent="0.35">
      <c r="A1674" s="3" t="e">
        <f>IF(D1674="","",(VLOOKUP($D1674,KEY!$B$5:$D$74,3,FALSE)))</f>
        <v>#N/A</v>
      </c>
      <c r="B1674" s="165">
        <f t="shared" si="13"/>
        <v>45778</v>
      </c>
      <c r="C1674" s="57" t="str">
        <f>IF($B1674="","",YEAR($B1674)&amp;"-"&amp;IFERROR(VLOOKUP(MONTH(B1674),KEY!$AE$5:$AF$16,2,FALSE),""))</f>
        <v>2025-Q2</v>
      </c>
      <c r="D1674" s="3" t="s">
        <v>202</v>
      </c>
      <c r="E1674" s="219">
        <v>2</v>
      </c>
      <c r="F1674" s="166">
        <v>34</v>
      </c>
      <c r="G1674" s="166">
        <v>32</v>
      </c>
      <c r="H1674" s="21">
        <v>73</v>
      </c>
      <c r="I1674" s="21">
        <v>11</v>
      </c>
      <c r="J1674" s="21">
        <v>29</v>
      </c>
      <c r="K1674" s="21">
        <v>5</v>
      </c>
      <c r="L1674" s="21">
        <v>44</v>
      </c>
      <c r="M1674" s="21">
        <v>25</v>
      </c>
      <c r="N1674" s="21">
        <v>34</v>
      </c>
      <c r="O1674" s="19">
        <v>66</v>
      </c>
      <c r="P1674" s="22">
        <v>1</v>
      </c>
      <c r="Q1674" s="22">
        <v>1</v>
      </c>
      <c r="R1674" s="20"/>
      <c r="S1674" s="234">
        <f>COUNTIFS(INP_DATA!$R$5:$R$3027,S$4,INP_DATA!$D$5:$D$3027,$D1674,INP_DATA!$B$5:$B$3027,$B1674)</f>
        <v>0</v>
      </c>
      <c r="T1674" s="235">
        <f>COUNTIFS(INP_DATA!$R$5:$R$3027,T$4,INP_DATA!$D$5:$D$3027,$D1674,INP_DATA!$B$5:$B$3027,$B1674)</f>
        <v>0</v>
      </c>
    </row>
    <row r="1675" spans="1:20" x14ac:dyDescent="0.35">
      <c r="A1675" s="3" t="str">
        <f>IF(D1675="","",(VLOOKUP($D1675,KEY!$B$5:$D$74,3,FALSE)))</f>
        <v>Texas</v>
      </c>
      <c r="B1675" s="165">
        <f t="shared" si="13"/>
        <v>45778</v>
      </c>
      <c r="C1675" s="57" t="str">
        <f>IF($B1675="","",YEAR($B1675)&amp;"-"&amp;IFERROR(VLOOKUP(MONTH(B1675),KEY!$AE$5:$AF$16,2,FALSE),""))</f>
        <v>2025-Q2</v>
      </c>
      <c r="D1675" s="3" t="s">
        <v>198</v>
      </c>
      <c r="E1675" s="219">
        <v>2</v>
      </c>
      <c r="F1675" s="166">
        <v>77</v>
      </c>
      <c r="G1675" s="166">
        <v>55</v>
      </c>
      <c r="H1675" s="21">
        <v>189</v>
      </c>
      <c r="I1675" s="21">
        <v>27</v>
      </c>
      <c r="J1675" s="21">
        <v>61</v>
      </c>
      <c r="K1675" s="21">
        <v>15</v>
      </c>
      <c r="L1675" s="21">
        <v>90</v>
      </c>
      <c r="M1675" s="21">
        <v>42</v>
      </c>
      <c r="N1675" s="21">
        <v>80</v>
      </c>
      <c r="O1675" s="19">
        <v>176</v>
      </c>
      <c r="P1675" s="22">
        <v>1</v>
      </c>
      <c r="Q1675" s="22">
        <v>0</v>
      </c>
      <c r="R1675" s="20"/>
      <c r="S1675" s="234">
        <f>COUNTIFS(INP_DATA!$R$5:$R$3027,S$4,INP_DATA!$D$5:$D$3027,$D1675,INP_DATA!$B$5:$B$3027,$B1675)</f>
        <v>0</v>
      </c>
      <c r="T1675" s="235">
        <f>COUNTIFS(INP_DATA!$R$5:$R$3027,T$4,INP_DATA!$D$5:$D$3027,$D1675,INP_DATA!$B$5:$B$3027,$B1675)</f>
        <v>0</v>
      </c>
    </row>
    <row r="1676" spans="1:20" x14ac:dyDescent="0.35">
      <c r="A1676" s="3" t="str">
        <f>IF(D1676="","",(VLOOKUP($D1676,KEY!$B$5:$D$74,3,FALSE)))</f>
        <v>Texas</v>
      </c>
      <c r="B1676" s="165">
        <f t="shared" si="13"/>
        <v>45778</v>
      </c>
      <c r="C1676" s="57" t="str">
        <f>IF($B1676="","",YEAR($B1676)&amp;"-"&amp;IFERROR(VLOOKUP(MONTH(B1676),KEY!$AE$5:$AF$16,2,FALSE),""))</f>
        <v>2025-Q2</v>
      </c>
      <c r="D1676" s="3" t="s">
        <v>128</v>
      </c>
      <c r="E1676" s="219">
        <v>46</v>
      </c>
      <c r="F1676" s="166">
        <v>304</v>
      </c>
      <c r="G1676" s="166">
        <v>246</v>
      </c>
      <c r="H1676" s="21">
        <v>1011</v>
      </c>
      <c r="I1676" s="21">
        <v>125</v>
      </c>
      <c r="J1676" s="21">
        <v>318</v>
      </c>
      <c r="K1676" s="21">
        <v>56</v>
      </c>
      <c r="L1676" s="21">
        <v>560</v>
      </c>
      <c r="M1676" s="21">
        <v>146</v>
      </c>
      <c r="N1676" s="21">
        <v>312</v>
      </c>
      <c r="O1676" s="19">
        <v>374</v>
      </c>
      <c r="P1676" s="22">
        <v>4</v>
      </c>
      <c r="Q1676" s="22">
        <v>0</v>
      </c>
      <c r="R1676" s="20"/>
      <c r="S1676" s="234">
        <f>COUNTIFS(INP_DATA!$R$5:$R$3027,S$4,INP_DATA!$D$5:$D$3027,$D1676,INP_DATA!$B$5:$B$3027,$B1676)</f>
        <v>0</v>
      </c>
      <c r="T1676" s="235">
        <f>COUNTIFS(INP_DATA!$R$5:$R$3027,T$4,INP_DATA!$D$5:$D$3027,$D1676,INP_DATA!$B$5:$B$3027,$B1676)</f>
        <v>0</v>
      </c>
    </row>
    <row r="1677" spans="1:20" x14ac:dyDescent="0.35">
      <c r="A1677" s="3" t="str">
        <f>IF(D1677="","",(VLOOKUP($D1677,KEY!$B$5:$D$74,3,FALSE)))</f>
        <v>Northern California</v>
      </c>
      <c r="B1677" s="165">
        <f t="shared" si="13"/>
        <v>45778</v>
      </c>
      <c r="C1677" s="57" t="str">
        <f>IF($B1677="","",YEAR($B1677)&amp;"-"&amp;IFERROR(VLOOKUP(MONTH(B1677),KEY!$AE$5:$AF$16,2,FALSE),""))</f>
        <v>2025-Q2</v>
      </c>
      <c r="D1677" s="3" t="s">
        <v>129</v>
      </c>
      <c r="E1677" s="219">
        <v>33</v>
      </c>
      <c r="F1677" s="166">
        <v>236</v>
      </c>
      <c r="G1677" s="166">
        <v>222</v>
      </c>
      <c r="H1677" s="21">
        <v>340</v>
      </c>
      <c r="I1677" s="21">
        <v>54</v>
      </c>
      <c r="J1677" s="21">
        <v>194</v>
      </c>
      <c r="K1677" s="21">
        <v>43</v>
      </c>
      <c r="L1677" s="21">
        <v>295</v>
      </c>
      <c r="M1677" s="21">
        <v>84</v>
      </c>
      <c r="N1677" s="21">
        <v>238</v>
      </c>
      <c r="O1677" s="19">
        <v>330</v>
      </c>
      <c r="P1677" s="22">
        <v>11</v>
      </c>
      <c r="Q1677" s="22">
        <v>8</v>
      </c>
      <c r="R1677" s="20"/>
      <c r="S1677" s="234">
        <f>COUNTIFS(INP_DATA!$R$5:$R$3027,S$4,INP_DATA!$D$5:$D$3027,$D1677,INP_DATA!$B$5:$B$3027,$B1677)</f>
        <v>0</v>
      </c>
      <c r="T1677" s="235">
        <f>COUNTIFS(INP_DATA!$R$5:$R$3027,T$4,INP_DATA!$D$5:$D$3027,$D1677,INP_DATA!$B$5:$B$3027,$B1677)</f>
        <v>0</v>
      </c>
    </row>
    <row r="1678" spans="1:20" x14ac:dyDescent="0.35">
      <c r="A1678" s="3" t="str">
        <f>IF(D1678="","",(VLOOKUP($D1678,KEY!$B$5:$D$74,3,FALSE)))</f>
        <v>Southern California</v>
      </c>
      <c r="B1678" s="165">
        <f t="shared" si="13"/>
        <v>45778</v>
      </c>
      <c r="C1678" s="57" t="str">
        <f>IF($B1678="","",YEAR($B1678)&amp;"-"&amp;IFERROR(VLOOKUP(MONTH(B1678),KEY!$AE$5:$AF$16,2,FALSE),""))</f>
        <v>2025-Q2</v>
      </c>
      <c r="D1678" s="3" t="s">
        <v>130</v>
      </c>
      <c r="E1678" s="219">
        <v>15</v>
      </c>
      <c r="F1678" s="166">
        <v>185</v>
      </c>
      <c r="G1678" s="166">
        <v>133</v>
      </c>
      <c r="H1678" s="21">
        <v>463</v>
      </c>
      <c r="I1678" s="21">
        <v>55</v>
      </c>
      <c r="J1678" s="21">
        <v>277</v>
      </c>
      <c r="K1678" s="21">
        <v>44</v>
      </c>
      <c r="L1678" s="21">
        <v>262</v>
      </c>
      <c r="M1678" s="21">
        <v>107</v>
      </c>
      <c r="N1678" s="21">
        <v>192</v>
      </c>
      <c r="O1678" s="19">
        <v>264</v>
      </c>
      <c r="P1678" s="22">
        <v>8</v>
      </c>
      <c r="Q1678" s="22">
        <v>6</v>
      </c>
      <c r="R1678" s="20"/>
      <c r="S1678" s="234">
        <f>COUNTIFS(INP_DATA!$R$5:$R$3027,S$4,INP_DATA!$D$5:$D$3027,$D1678,INP_DATA!$B$5:$B$3027,$B1678)</f>
        <v>0</v>
      </c>
      <c r="T1678" s="235">
        <f>COUNTIFS(INP_DATA!$R$5:$R$3027,T$4,INP_DATA!$D$5:$D$3027,$D1678,INP_DATA!$B$5:$B$3027,$B1678)</f>
        <v>0</v>
      </c>
    </row>
    <row r="1679" spans="1:20" x14ac:dyDescent="0.35">
      <c r="A1679" s="3" t="str">
        <f>IF(D1679="","",(VLOOKUP($D1679,KEY!$B$5:$D$74,3,FALSE)))</f>
        <v>Texas</v>
      </c>
      <c r="B1679" s="165">
        <f t="shared" si="13"/>
        <v>45778</v>
      </c>
      <c r="C1679" s="57" t="str">
        <f>IF($B1679="","",YEAR($B1679)&amp;"-"&amp;IFERROR(VLOOKUP(MONTH(B1679),KEY!$AE$5:$AF$16,2,FALSE),""))</f>
        <v>2025-Q2</v>
      </c>
      <c r="D1679" s="3" t="s">
        <v>210</v>
      </c>
      <c r="E1679" s="219">
        <v>1</v>
      </c>
      <c r="F1679" s="166">
        <v>0</v>
      </c>
      <c r="G1679" s="166">
        <v>0</v>
      </c>
      <c r="H1679" s="21">
        <v>560</v>
      </c>
      <c r="I1679" s="21">
        <v>45</v>
      </c>
      <c r="J1679" s="21">
        <v>166</v>
      </c>
      <c r="K1679" s="21">
        <v>19</v>
      </c>
      <c r="L1679" s="21">
        <v>244</v>
      </c>
      <c r="M1679" s="21">
        <v>52</v>
      </c>
      <c r="N1679" s="21">
        <v>141</v>
      </c>
      <c r="O1679" s="19">
        <v>132</v>
      </c>
      <c r="P1679" s="22">
        <v>0</v>
      </c>
      <c r="Q1679" s="22">
        <v>0</v>
      </c>
      <c r="R1679" s="20"/>
      <c r="S1679" s="234">
        <f>COUNTIFS(INP_DATA!$R$5:$R$3027,S$4,INP_DATA!$D$5:$D$3027,$D1679,INP_DATA!$B$5:$B$3027,$B1679)</f>
        <v>0</v>
      </c>
      <c r="T1679" s="235">
        <f>COUNTIFS(INP_DATA!$R$5:$R$3027,T$4,INP_DATA!$D$5:$D$3027,$D1679,INP_DATA!$B$5:$B$3027,$B1679)</f>
        <v>0</v>
      </c>
    </row>
    <row r="1680" spans="1:20" x14ac:dyDescent="0.35">
      <c r="A1680" s="3" t="e">
        <f>IF(D1680="","",(VLOOKUP($D1680,KEY!$B$5:$D$74,3,FALSE)))</f>
        <v>#N/A</v>
      </c>
      <c r="B1680" s="165">
        <f t="shared" si="13"/>
        <v>45778</v>
      </c>
      <c r="C1680" s="57" t="str">
        <f>IF($B1680="","",YEAR($B1680)&amp;"-"&amp;IFERROR(VLOOKUP(MONTH(B1680),KEY!$AE$5:$AF$16,2,FALSE),""))</f>
        <v>2025-Q2</v>
      </c>
      <c r="D1680" s="3" t="s">
        <v>203</v>
      </c>
      <c r="E1680" s="219">
        <v>4</v>
      </c>
      <c r="F1680" s="166">
        <v>104</v>
      </c>
      <c r="G1680" s="166">
        <v>125</v>
      </c>
      <c r="H1680" s="21">
        <v>141</v>
      </c>
      <c r="I1680" s="21">
        <v>22</v>
      </c>
      <c r="J1680" s="21">
        <v>70</v>
      </c>
      <c r="K1680" s="21">
        <v>21</v>
      </c>
      <c r="L1680" s="21">
        <v>98</v>
      </c>
      <c r="M1680" s="21">
        <v>61</v>
      </c>
      <c r="N1680" s="21">
        <v>105</v>
      </c>
      <c r="O1680" s="19">
        <v>176</v>
      </c>
      <c r="P1680" s="22">
        <v>12</v>
      </c>
      <c r="Q1680" s="22">
        <v>6</v>
      </c>
      <c r="R1680" s="20"/>
      <c r="S1680" s="234">
        <f>COUNTIFS(INP_DATA!$R$5:$R$3027,S$4,INP_DATA!$D$5:$D$3027,$D1680,INP_DATA!$B$5:$B$3027,$B1680)</f>
        <v>0</v>
      </c>
      <c r="T1680" s="235">
        <f>COUNTIFS(INP_DATA!$R$5:$R$3027,T$4,INP_DATA!$D$5:$D$3027,$D1680,INP_DATA!$B$5:$B$3027,$B1680)</f>
        <v>0</v>
      </c>
    </row>
    <row r="1681" spans="1:20" x14ac:dyDescent="0.35">
      <c r="A1681" s="3">
        <f>IF(D1681="","",(VLOOKUP($D1681,KEY!$B$5:$D$74,3,FALSE)))</f>
        <v>0</v>
      </c>
      <c r="B1681" s="165">
        <f t="shared" si="13"/>
        <v>45778</v>
      </c>
      <c r="C1681" s="57" t="str">
        <f>IF($B1681="","",YEAR($B1681)&amp;"-"&amp;IFERROR(VLOOKUP(MONTH(B1681),KEY!$AE$5:$AF$16,2,FALSE),""))</f>
        <v>2025-Q2</v>
      </c>
      <c r="D1681" s="3" t="s">
        <v>131</v>
      </c>
      <c r="E1681" s="219">
        <v>62</v>
      </c>
      <c r="F1681" s="166">
        <v>152</v>
      </c>
      <c r="G1681" s="166">
        <v>150</v>
      </c>
      <c r="H1681" s="21">
        <v>189</v>
      </c>
      <c r="I1681" s="21">
        <v>42</v>
      </c>
      <c r="J1681" s="21">
        <v>74</v>
      </c>
      <c r="K1681" s="21">
        <v>18</v>
      </c>
      <c r="L1681" s="21">
        <v>328</v>
      </c>
      <c r="M1681" s="21">
        <v>87</v>
      </c>
      <c r="N1681" s="21">
        <v>156</v>
      </c>
      <c r="O1681" s="19">
        <v>286</v>
      </c>
      <c r="P1681" s="22">
        <v>5</v>
      </c>
      <c r="Q1681" s="22">
        <v>3</v>
      </c>
      <c r="R1681" s="20"/>
      <c r="S1681" s="234">
        <f>COUNTIFS(INP_DATA!$R$5:$R$3027,S$4,INP_DATA!$D$5:$D$3027,$D1681,INP_DATA!$B$5:$B$3027,$B1681)</f>
        <v>0</v>
      </c>
      <c r="T1681" s="235">
        <f>COUNTIFS(INP_DATA!$R$5:$R$3027,T$4,INP_DATA!$D$5:$D$3027,$D1681,INP_DATA!$B$5:$B$3027,$B1681)</f>
        <v>0</v>
      </c>
    </row>
    <row r="1682" spans="1:20" x14ac:dyDescent="0.35">
      <c r="A1682" s="3" t="e">
        <f>IF(D1682="","",(VLOOKUP($D1682,KEY!$B$5:$D$74,3,FALSE)))</f>
        <v>#N/A</v>
      </c>
      <c r="B1682" s="165">
        <f t="shared" si="13"/>
        <v>45778</v>
      </c>
      <c r="C1682" s="57" t="str">
        <f>IF($B1682="","",YEAR($B1682)&amp;"-"&amp;IFERROR(VLOOKUP(MONTH(B1682),KEY!$AE$5:$AF$16,2,FALSE),""))</f>
        <v>2025-Q2</v>
      </c>
      <c r="D1682" s="3" t="s">
        <v>134</v>
      </c>
      <c r="E1682" s="219">
        <v>11</v>
      </c>
      <c r="F1682" s="166">
        <v>47</v>
      </c>
      <c r="G1682" s="166">
        <v>23</v>
      </c>
      <c r="H1682" s="21">
        <v>77</v>
      </c>
      <c r="I1682" s="21">
        <v>13</v>
      </c>
      <c r="J1682" s="21">
        <v>43</v>
      </c>
      <c r="K1682" s="21">
        <v>12</v>
      </c>
      <c r="L1682" s="21">
        <v>65</v>
      </c>
      <c r="M1682" s="21">
        <v>26</v>
      </c>
      <c r="N1682" s="21">
        <v>47</v>
      </c>
      <c r="O1682" s="19">
        <v>110</v>
      </c>
      <c r="P1682" s="22">
        <v>5</v>
      </c>
      <c r="Q1682" s="22">
        <v>4</v>
      </c>
      <c r="R1682" s="20"/>
      <c r="S1682" s="234">
        <f>COUNTIFS(INP_DATA!$R$5:$R$3027,S$4,INP_DATA!$D$5:$D$3027,$D1682,INP_DATA!$B$5:$B$3027,$B1682)</f>
        <v>0</v>
      </c>
      <c r="T1682" s="235">
        <f>COUNTIFS(INP_DATA!$R$5:$R$3027,T$4,INP_DATA!$D$5:$D$3027,$D1682,INP_DATA!$B$5:$B$3027,$B1682)</f>
        <v>0</v>
      </c>
    </row>
    <row r="1683" spans="1:20" x14ac:dyDescent="0.35">
      <c r="A1683" s="3" t="str">
        <f>IF(D1683="","",(VLOOKUP($D1683,KEY!$B$5:$D$74,3,FALSE)))</f>
        <v>Southern California</v>
      </c>
      <c r="B1683" s="165">
        <f t="shared" si="13"/>
        <v>45778</v>
      </c>
      <c r="C1683" s="57" t="str">
        <f>IF($B1683="","",YEAR($B1683)&amp;"-"&amp;IFERROR(VLOOKUP(MONTH(B1683),KEY!$AE$5:$AF$16,2,FALSE),""))</f>
        <v>2025-Q2</v>
      </c>
      <c r="D1683" s="3" t="s">
        <v>135</v>
      </c>
      <c r="E1683" s="219">
        <v>31</v>
      </c>
      <c r="F1683" s="166">
        <v>252</v>
      </c>
      <c r="G1683" s="166">
        <v>261</v>
      </c>
      <c r="H1683" s="21">
        <v>481</v>
      </c>
      <c r="I1683" s="21">
        <v>87</v>
      </c>
      <c r="J1683" s="21">
        <v>334</v>
      </c>
      <c r="K1683" s="21">
        <v>83</v>
      </c>
      <c r="L1683" s="21">
        <v>472</v>
      </c>
      <c r="M1683" s="21">
        <v>110</v>
      </c>
      <c r="N1683" s="21">
        <v>255</v>
      </c>
      <c r="O1683" s="19">
        <v>264</v>
      </c>
      <c r="P1683" s="22">
        <v>17</v>
      </c>
      <c r="Q1683" s="22">
        <v>11</v>
      </c>
      <c r="R1683" s="20"/>
      <c r="S1683" s="234">
        <f>COUNTIFS(INP_DATA!$R$5:$R$3027,S$4,INP_DATA!$D$5:$D$3027,$D1683,INP_DATA!$B$5:$B$3027,$B1683)</f>
        <v>0</v>
      </c>
      <c r="T1683" s="235">
        <f>COUNTIFS(INP_DATA!$R$5:$R$3027,T$4,INP_DATA!$D$5:$D$3027,$D1683,INP_DATA!$B$5:$B$3027,$B1683)</f>
        <v>0</v>
      </c>
    </row>
    <row r="1684" spans="1:20" x14ac:dyDescent="0.35">
      <c r="A1684" s="3" t="str">
        <f>IF(D1684="","",(VLOOKUP($D1684,KEY!$B$5:$D$74,3,FALSE)))</f>
        <v>Arizona</v>
      </c>
      <c r="B1684" s="165">
        <f t="shared" si="13"/>
        <v>45778</v>
      </c>
      <c r="C1684" s="57" t="str">
        <f>IF($B1684="","",YEAR($B1684)&amp;"-"&amp;IFERROR(VLOOKUP(MONTH(B1684),KEY!$AE$5:$AF$16,2,FALSE),""))</f>
        <v>2025-Q2</v>
      </c>
      <c r="D1684" s="3" t="s">
        <v>204</v>
      </c>
      <c r="E1684" s="219">
        <v>3</v>
      </c>
      <c r="F1684" s="166">
        <v>13</v>
      </c>
      <c r="G1684" s="166">
        <v>0</v>
      </c>
      <c r="H1684" s="21">
        <v>15</v>
      </c>
      <c r="I1684" s="21">
        <v>2</v>
      </c>
      <c r="J1684" s="21">
        <v>20</v>
      </c>
      <c r="K1684" s="21">
        <v>5</v>
      </c>
      <c r="L1684" s="21">
        <v>16</v>
      </c>
      <c r="M1684" s="21">
        <v>3</v>
      </c>
      <c r="N1684" s="21">
        <v>15</v>
      </c>
      <c r="O1684" s="19">
        <v>22</v>
      </c>
      <c r="P1684" s="22">
        <v>0</v>
      </c>
      <c r="Q1684" s="22">
        <v>0</v>
      </c>
      <c r="R1684" s="20"/>
      <c r="S1684" s="234">
        <f>COUNTIFS(INP_DATA!$R$5:$R$3027,S$4,INP_DATA!$D$5:$D$3027,$D1684,INP_DATA!$B$5:$B$3027,$B1684)</f>
        <v>0</v>
      </c>
      <c r="T1684" s="235">
        <f>COUNTIFS(INP_DATA!$R$5:$R$3027,T$4,INP_DATA!$D$5:$D$3027,$D1684,INP_DATA!$B$5:$B$3027,$B1684)</f>
        <v>0</v>
      </c>
    </row>
    <row r="1685" spans="1:20" x14ac:dyDescent="0.35">
      <c r="A1685" s="3" t="str">
        <f>IF(D1685="","",(VLOOKUP($D1685,KEY!$B$5:$D$74,3,FALSE)))</f>
        <v>Arizona</v>
      </c>
      <c r="B1685" s="165">
        <f t="shared" si="13"/>
        <v>45778</v>
      </c>
      <c r="C1685" s="57" t="str">
        <f>IF($B1685="","",YEAR($B1685)&amp;"-"&amp;IFERROR(VLOOKUP(MONTH(B1685),KEY!$AE$5:$AF$16,2,FALSE),""))</f>
        <v>2025-Q2</v>
      </c>
      <c r="D1685" s="3" t="s">
        <v>196</v>
      </c>
      <c r="E1685" s="219">
        <v>10</v>
      </c>
      <c r="F1685" s="166">
        <v>43</v>
      </c>
      <c r="G1685" s="166">
        <v>47</v>
      </c>
      <c r="H1685" s="21">
        <v>66</v>
      </c>
      <c r="I1685" s="21">
        <v>15</v>
      </c>
      <c r="J1685" s="21">
        <v>27</v>
      </c>
      <c r="K1685" s="21">
        <v>7</v>
      </c>
      <c r="L1685" s="21">
        <v>113</v>
      </c>
      <c r="M1685" s="21">
        <v>43</v>
      </c>
      <c r="N1685" s="21">
        <v>43</v>
      </c>
      <c r="O1685" s="19">
        <v>132</v>
      </c>
      <c r="P1685" s="22">
        <v>2</v>
      </c>
      <c r="Q1685" s="22">
        <v>2</v>
      </c>
      <c r="R1685" s="20"/>
      <c r="S1685" s="234">
        <f>COUNTIFS(INP_DATA!$R$5:$R$3027,S$4,INP_DATA!$D$5:$D$3027,$D1685,INP_DATA!$B$5:$B$3027,$B1685)</f>
        <v>0</v>
      </c>
      <c r="T1685" s="235">
        <f>COUNTIFS(INP_DATA!$R$5:$R$3027,T$4,INP_DATA!$D$5:$D$3027,$D1685,INP_DATA!$B$5:$B$3027,$B1685)</f>
        <v>0</v>
      </c>
    </row>
    <row r="1686" spans="1:20" x14ac:dyDescent="0.35">
      <c r="A1686" s="3" t="str">
        <f>IF(D1686="","",(VLOOKUP($D1686,KEY!$B$5:$D$74,3,FALSE)))</f>
        <v>Arizona</v>
      </c>
      <c r="B1686" s="165">
        <f t="shared" si="13"/>
        <v>45778</v>
      </c>
      <c r="C1686" s="57" t="str">
        <f>IF($B1686="","",YEAR($B1686)&amp;"-"&amp;IFERROR(VLOOKUP(MONTH(B1686),KEY!$AE$5:$AF$16,2,FALSE),""))</f>
        <v>2025-Q2</v>
      </c>
      <c r="D1686" s="3" t="s">
        <v>197</v>
      </c>
      <c r="E1686" s="219">
        <v>17</v>
      </c>
      <c r="F1686" s="166">
        <v>122</v>
      </c>
      <c r="G1686" s="166">
        <v>115</v>
      </c>
      <c r="H1686" s="21">
        <v>136</v>
      </c>
      <c r="I1686" s="21">
        <v>25</v>
      </c>
      <c r="J1686" s="21">
        <v>99</v>
      </c>
      <c r="K1686" s="21">
        <v>26</v>
      </c>
      <c r="L1686" s="21">
        <v>230</v>
      </c>
      <c r="M1686" s="21">
        <v>98</v>
      </c>
      <c r="N1686" s="21">
        <v>128</v>
      </c>
      <c r="O1686" s="19">
        <v>242</v>
      </c>
      <c r="P1686" s="22">
        <v>2</v>
      </c>
      <c r="Q1686" s="22">
        <v>2</v>
      </c>
      <c r="R1686" s="20"/>
      <c r="S1686" s="234">
        <f>COUNTIFS(INP_DATA!$R$5:$R$3027,S$4,INP_DATA!$D$5:$D$3027,$D1686,INP_DATA!$B$5:$B$3027,$B1686)</f>
        <v>0</v>
      </c>
      <c r="T1686" s="235">
        <f>COUNTIFS(INP_DATA!$R$5:$R$3027,T$4,INP_DATA!$D$5:$D$3027,$D1686,INP_DATA!$B$5:$B$3027,$B1686)</f>
        <v>0</v>
      </c>
    </row>
    <row r="1687" spans="1:20" x14ac:dyDescent="0.35">
      <c r="A1687" s="3" t="str">
        <f>IF(D1687="","",(VLOOKUP($D1687,KEY!$B$5:$D$74,3,FALSE)))</f>
        <v>Texas</v>
      </c>
      <c r="B1687" s="165">
        <f t="shared" si="13"/>
        <v>45778</v>
      </c>
      <c r="C1687" s="57" t="str">
        <f>IF($B1687="","",YEAR($B1687)&amp;"-"&amp;IFERROR(VLOOKUP(MONTH(B1687),KEY!$AE$5:$AF$16,2,FALSE),""))</f>
        <v>2025-Q2</v>
      </c>
      <c r="D1687" s="3" t="s">
        <v>136</v>
      </c>
      <c r="E1687" s="219">
        <v>27</v>
      </c>
      <c r="F1687" s="166">
        <v>245</v>
      </c>
      <c r="G1687" s="166">
        <v>285</v>
      </c>
      <c r="H1687" s="21">
        <v>366</v>
      </c>
      <c r="I1687" s="21">
        <v>53</v>
      </c>
      <c r="J1687" s="21">
        <v>365</v>
      </c>
      <c r="K1687" s="21">
        <v>47</v>
      </c>
      <c r="L1687" s="21">
        <v>291</v>
      </c>
      <c r="M1687" s="21">
        <v>137</v>
      </c>
      <c r="N1687" s="21">
        <v>246</v>
      </c>
      <c r="O1687" s="19">
        <v>330</v>
      </c>
      <c r="P1687" s="22">
        <v>19</v>
      </c>
      <c r="Q1687" s="22">
        <v>14</v>
      </c>
      <c r="R1687" s="20"/>
      <c r="S1687" s="234">
        <f>COUNTIFS(INP_DATA!$R$5:$R$3027,S$4,INP_DATA!$D$5:$D$3027,$D1687,INP_DATA!$B$5:$B$3027,$B1687)</f>
        <v>0</v>
      </c>
      <c r="T1687" s="235">
        <f>COUNTIFS(INP_DATA!$R$5:$R$3027,T$4,INP_DATA!$D$5:$D$3027,$D1687,INP_DATA!$B$5:$B$3027,$B1687)</f>
        <v>0</v>
      </c>
    </row>
    <row r="1688" spans="1:20" x14ac:dyDescent="0.35">
      <c r="A1688" s="3" t="str">
        <f>IF(D1688="","",(VLOOKUP($D1688,KEY!$B$5:$D$74,3,FALSE)))</f>
        <v>Arizona</v>
      </c>
      <c r="B1688" s="165">
        <f t="shared" si="13"/>
        <v>45778</v>
      </c>
      <c r="C1688" s="57" t="str">
        <f>IF($B1688="","",YEAR($B1688)&amp;"-"&amp;IFERROR(VLOOKUP(MONTH(B1688),KEY!$AE$5:$AF$16,2,FALSE),""))</f>
        <v>2025-Q2</v>
      </c>
      <c r="D1688" s="3" t="s">
        <v>137</v>
      </c>
      <c r="E1688" s="219">
        <v>18</v>
      </c>
      <c r="F1688" s="166">
        <v>103</v>
      </c>
      <c r="G1688" s="166">
        <v>104</v>
      </c>
      <c r="H1688" s="21">
        <v>221</v>
      </c>
      <c r="I1688" s="21">
        <v>32</v>
      </c>
      <c r="J1688" s="21">
        <v>148</v>
      </c>
      <c r="K1688" s="21">
        <v>20</v>
      </c>
      <c r="L1688" s="21">
        <v>170</v>
      </c>
      <c r="M1688" s="21">
        <v>68</v>
      </c>
      <c r="N1688" s="21">
        <v>103</v>
      </c>
      <c r="O1688" s="19">
        <v>176</v>
      </c>
      <c r="P1688" s="22">
        <v>6</v>
      </c>
      <c r="Q1688" s="22">
        <v>4</v>
      </c>
      <c r="R1688" s="20"/>
      <c r="S1688" s="234">
        <f>COUNTIFS(INP_DATA!$R$5:$R$3027,S$4,INP_DATA!$D$5:$D$3027,$D1688,INP_DATA!$B$5:$B$3027,$B1688)</f>
        <v>0</v>
      </c>
      <c r="T1688" s="235">
        <f>COUNTIFS(INP_DATA!$R$5:$R$3027,T$4,INP_DATA!$D$5:$D$3027,$D1688,INP_DATA!$B$5:$B$3027,$B1688)</f>
        <v>0</v>
      </c>
    </row>
    <row r="1689" spans="1:20" x14ac:dyDescent="0.35">
      <c r="A1689" s="3" t="str">
        <f>IF(D1689="","",(VLOOKUP($D1689,KEY!$B$5:$D$74,3,FALSE)))</f>
        <v>Texas</v>
      </c>
      <c r="B1689" s="165">
        <f t="shared" si="13"/>
        <v>45778</v>
      </c>
      <c r="C1689" s="57" t="str">
        <f>IF($B1689="","",YEAR($B1689)&amp;"-"&amp;IFERROR(VLOOKUP(MONTH(B1689),KEY!$AE$5:$AF$16,2,FALSE),""))</f>
        <v>2025-Q2</v>
      </c>
      <c r="D1689" s="3" t="s">
        <v>138</v>
      </c>
      <c r="E1689" s="219">
        <v>31</v>
      </c>
      <c r="F1689" s="166">
        <v>151</v>
      </c>
      <c r="G1689" s="166">
        <v>142</v>
      </c>
      <c r="H1689" s="21">
        <v>201</v>
      </c>
      <c r="I1689" s="21">
        <v>40</v>
      </c>
      <c r="J1689" s="21">
        <v>173</v>
      </c>
      <c r="K1689" s="21">
        <v>46</v>
      </c>
      <c r="L1689" s="21">
        <v>283</v>
      </c>
      <c r="M1689" s="21">
        <v>113</v>
      </c>
      <c r="N1689" s="21">
        <v>150</v>
      </c>
      <c r="O1689" s="19">
        <v>220</v>
      </c>
      <c r="P1689" s="22">
        <v>18</v>
      </c>
      <c r="Q1689" s="22">
        <v>13</v>
      </c>
      <c r="R1689" s="20"/>
      <c r="S1689" s="234">
        <f>COUNTIFS(INP_DATA!$R$5:$R$3027,S$4,INP_DATA!$D$5:$D$3027,$D1689,INP_DATA!$B$5:$B$3027,$B1689)</f>
        <v>0</v>
      </c>
      <c r="T1689" s="235">
        <f>COUNTIFS(INP_DATA!$R$5:$R$3027,T$4,INP_DATA!$D$5:$D$3027,$D1689,INP_DATA!$B$5:$B$3027,$B1689)</f>
        <v>0</v>
      </c>
    </row>
    <row r="1690" spans="1:20" x14ac:dyDescent="0.35">
      <c r="A1690" s="3" t="str">
        <f>IF(D1690="","",(VLOOKUP($D1690,KEY!$B$5:$D$74,3,FALSE)))</f>
        <v>Southern California</v>
      </c>
      <c r="B1690" s="165">
        <f t="shared" si="13"/>
        <v>45778</v>
      </c>
      <c r="C1690" s="57" t="str">
        <f>IF($B1690="","",YEAR($B1690)&amp;"-"&amp;IFERROR(VLOOKUP(MONTH(B1690),KEY!$AE$5:$AF$16,2,FALSE),""))</f>
        <v>2025-Q2</v>
      </c>
      <c r="D1690" s="3" t="s">
        <v>139</v>
      </c>
      <c r="E1690" s="219">
        <v>42</v>
      </c>
      <c r="F1690" s="166">
        <v>210</v>
      </c>
      <c r="G1690" s="166">
        <v>221</v>
      </c>
      <c r="H1690" s="21">
        <v>261</v>
      </c>
      <c r="I1690" s="21">
        <v>47</v>
      </c>
      <c r="J1690" s="21">
        <v>138</v>
      </c>
      <c r="K1690" s="21">
        <v>37</v>
      </c>
      <c r="L1690" s="21">
        <v>532</v>
      </c>
      <c r="M1690" s="21">
        <v>139</v>
      </c>
      <c r="N1690" s="21">
        <v>216</v>
      </c>
      <c r="O1690" s="19">
        <v>264</v>
      </c>
      <c r="P1690" s="22">
        <v>17</v>
      </c>
      <c r="Q1690" s="22">
        <v>12</v>
      </c>
      <c r="R1690" s="20"/>
      <c r="S1690" s="234">
        <f>COUNTIFS(INP_DATA!$R$5:$R$3027,S$4,INP_DATA!$D$5:$D$3027,$D1690,INP_DATA!$B$5:$B$3027,$B1690)</f>
        <v>0</v>
      </c>
      <c r="T1690" s="235">
        <f>COUNTIFS(INP_DATA!$R$5:$R$3027,T$4,INP_DATA!$D$5:$D$3027,$D1690,INP_DATA!$B$5:$B$3027,$B1690)</f>
        <v>0</v>
      </c>
    </row>
    <row r="1691" spans="1:20" x14ac:dyDescent="0.35">
      <c r="A1691" s="3" t="str">
        <f>IF(D1691="","",(VLOOKUP($D1691,KEY!$B$5:$D$74,3,FALSE)))</f>
        <v>Orange County</v>
      </c>
      <c r="B1691" s="165">
        <f t="shared" si="13"/>
        <v>45778</v>
      </c>
      <c r="C1691" s="57" t="str">
        <f>IF($B1691="","",YEAR($B1691)&amp;"-"&amp;IFERROR(VLOOKUP(MONTH(B1691),KEY!$AE$5:$AF$16,2,FALSE),""))</f>
        <v>2025-Q2</v>
      </c>
      <c r="D1691" s="3" t="s">
        <v>140</v>
      </c>
      <c r="E1691" s="219">
        <v>6</v>
      </c>
      <c r="F1691" s="166">
        <v>48</v>
      </c>
      <c r="G1691" s="166">
        <v>26</v>
      </c>
      <c r="H1691" s="21">
        <v>84</v>
      </c>
      <c r="I1691" s="21">
        <v>14</v>
      </c>
      <c r="J1691" s="21">
        <v>58</v>
      </c>
      <c r="K1691" s="21">
        <v>13</v>
      </c>
      <c r="L1691" s="21">
        <v>105</v>
      </c>
      <c r="M1691" s="21">
        <v>43</v>
      </c>
      <c r="N1691" s="21">
        <v>48</v>
      </c>
      <c r="O1691" s="19">
        <v>88</v>
      </c>
      <c r="P1691" s="22">
        <v>1</v>
      </c>
      <c r="Q1691" s="22">
        <v>1</v>
      </c>
      <c r="R1691" s="20"/>
      <c r="S1691" s="234">
        <f>COUNTIFS(INP_DATA!$R$5:$R$3027,S$4,INP_DATA!$D$5:$D$3027,$D1691,INP_DATA!$B$5:$B$3027,$B1691)</f>
        <v>0</v>
      </c>
      <c r="T1691" s="235">
        <f>COUNTIFS(INP_DATA!$R$5:$R$3027,T$4,INP_DATA!$D$5:$D$3027,$D1691,INP_DATA!$B$5:$B$3027,$B1691)</f>
        <v>0</v>
      </c>
    </row>
    <row r="1692" spans="1:20" x14ac:dyDescent="0.35">
      <c r="A1692" s="3" t="str">
        <f>IF(D1692="","",(VLOOKUP($D1692,KEY!$B$5:$D$74,3,FALSE)))</f>
        <v>Southern California</v>
      </c>
      <c r="B1692" s="165">
        <f t="shared" si="13"/>
        <v>45778</v>
      </c>
      <c r="C1692" s="57" t="str">
        <f>IF($B1692="","",YEAR($B1692)&amp;"-"&amp;IFERROR(VLOOKUP(MONTH(B1692),KEY!$AE$5:$AF$16,2,FALSE),""))</f>
        <v>2025-Q2</v>
      </c>
      <c r="D1692" s="3" t="s">
        <v>142</v>
      </c>
      <c r="E1692" s="219">
        <v>10</v>
      </c>
      <c r="F1692" s="166">
        <v>77</v>
      </c>
      <c r="G1692" s="166">
        <v>128</v>
      </c>
      <c r="H1692" s="21">
        <v>172</v>
      </c>
      <c r="I1692" s="21">
        <v>28</v>
      </c>
      <c r="J1692" s="21">
        <v>43</v>
      </c>
      <c r="K1692" s="21">
        <v>14</v>
      </c>
      <c r="L1692" s="21">
        <v>116</v>
      </c>
      <c r="M1692" s="21">
        <v>48</v>
      </c>
      <c r="N1692" s="21">
        <v>80</v>
      </c>
      <c r="O1692" s="19">
        <v>110</v>
      </c>
      <c r="P1692" s="22">
        <v>8</v>
      </c>
      <c r="Q1692" s="22">
        <v>4</v>
      </c>
      <c r="R1692" s="20"/>
      <c r="S1692" s="234">
        <f>COUNTIFS(INP_DATA!$R$5:$R$3027,S$4,INP_DATA!$D$5:$D$3027,$D1692,INP_DATA!$B$5:$B$3027,$B1692)</f>
        <v>0</v>
      </c>
      <c r="T1692" s="235">
        <f>COUNTIFS(INP_DATA!$R$5:$R$3027,T$4,INP_DATA!$D$5:$D$3027,$D1692,INP_DATA!$B$5:$B$3027,$B1692)</f>
        <v>0</v>
      </c>
    </row>
    <row r="1693" spans="1:20" x14ac:dyDescent="0.35">
      <c r="A1693" s="3" t="str">
        <f>IF(D1693="","",(VLOOKUP($D1693,KEY!$B$5:$D$74,3,FALSE)))</f>
        <v>Arizona</v>
      </c>
      <c r="B1693" s="165">
        <f t="shared" si="13"/>
        <v>45778</v>
      </c>
      <c r="C1693" s="57" t="str">
        <f>IF($B1693="","",YEAR($B1693)&amp;"-"&amp;IFERROR(VLOOKUP(MONTH(B1693),KEY!$AE$5:$AF$16,2,FALSE),""))</f>
        <v>2025-Q2</v>
      </c>
      <c r="D1693" s="3" t="s">
        <v>143</v>
      </c>
      <c r="E1693" s="219">
        <v>16</v>
      </c>
      <c r="F1693" s="166">
        <v>93</v>
      </c>
      <c r="G1693" s="166">
        <v>66</v>
      </c>
      <c r="H1693" s="21">
        <v>145</v>
      </c>
      <c r="I1693" s="21">
        <v>26</v>
      </c>
      <c r="J1693" s="21">
        <v>95</v>
      </c>
      <c r="K1693" s="21">
        <v>22</v>
      </c>
      <c r="L1693" s="21">
        <v>135</v>
      </c>
      <c r="M1693" s="21">
        <v>52</v>
      </c>
      <c r="N1693" s="21">
        <v>93</v>
      </c>
      <c r="O1693" s="19">
        <v>176</v>
      </c>
      <c r="P1693" s="22">
        <v>7</v>
      </c>
      <c r="Q1693" s="22">
        <v>4</v>
      </c>
      <c r="R1693" s="20"/>
      <c r="S1693" s="234">
        <f>COUNTIFS(INP_DATA!$R$5:$R$3027,S$4,INP_DATA!$D$5:$D$3027,$D1693,INP_DATA!$B$5:$B$3027,$B1693)</f>
        <v>0</v>
      </c>
      <c r="T1693" s="235">
        <f>COUNTIFS(INP_DATA!$R$5:$R$3027,T$4,INP_DATA!$D$5:$D$3027,$D1693,INP_DATA!$B$5:$B$3027,$B1693)</f>
        <v>0</v>
      </c>
    </row>
    <row r="1694" spans="1:20" x14ac:dyDescent="0.35">
      <c r="A1694" s="3" t="str">
        <f>IF(D1694="","",(VLOOKUP($D1694,KEY!$B$5:$D$74,3,FALSE)))</f>
        <v>Arizona</v>
      </c>
      <c r="B1694" s="165">
        <f t="shared" si="13"/>
        <v>45778</v>
      </c>
      <c r="C1694" s="57" t="str">
        <f>IF($B1694="","",YEAR($B1694)&amp;"-"&amp;IFERROR(VLOOKUP(MONTH(B1694),KEY!$AE$5:$AF$16,2,FALSE),""))</f>
        <v>2025-Q2</v>
      </c>
      <c r="D1694" s="3" t="s">
        <v>144</v>
      </c>
      <c r="E1694" s="219">
        <v>40</v>
      </c>
      <c r="F1694" s="166">
        <v>224</v>
      </c>
      <c r="G1694" s="166">
        <v>256</v>
      </c>
      <c r="H1694" s="21">
        <v>244</v>
      </c>
      <c r="I1694" s="21">
        <v>45</v>
      </c>
      <c r="J1694" s="21">
        <v>191</v>
      </c>
      <c r="K1694" s="21">
        <v>41</v>
      </c>
      <c r="L1694" s="21">
        <v>398</v>
      </c>
      <c r="M1694" s="21">
        <v>118</v>
      </c>
      <c r="N1694" s="21">
        <v>228</v>
      </c>
      <c r="O1694" s="19">
        <v>506</v>
      </c>
      <c r="P1694" s="22">
        <v>13</v>
      </c>
      <c r="Q1694" s="22">
        <v>8</v>
      </c>
      <c r="R1694" s="20"/>
      <c r="S1694" s="234">
        <f>COUNTIFS(INP_DATA!$R$5:$R$3027,S$4,INP_DATA!$D$5:$D$3027,$D1694,INP_DATA!$B$5:$B$3027,$B1694)</f>
        <v>0</v>
      </c>
      <c r="T1694" s="235">
        <f>COUNTIFS(INP_DATA!$R$5:$R$3027,T$4,INP_DATA!$D$5:$D$3027,$D1694,INP_DATA!$B$5:$B$3027,$B1694)</f>
        <v>0</v>
      </c>
    </row>
    <row r="1695" spans="1:20" x14ac:dyDescent="0.35">
      <c r="A1695" s="3" t="str">
        <f>IF(D1695="","",(VLOOKUP($D1695,KEY!$B$5:$D$74,3,FALSE)))</f>
        <v>Southern California</v>
      </c>
      <c r="B1695" s="165">
        <f t="shared" si="13"/>
        <v>45778</v>
      </c>
      <c r="C1695" s="57" t="str">
        <f>IF($B1695="","",YEAR($B1695)&amp;"-"&amp;IFERROR(VLOOKUP(MONTH(B1695),KEY!$AE$5:$AF$16,2,FALSE),""))</f>
        <v>2025-Q2</v>
      </c>
      <c r="D1695" s="3" t="s">
        <v>145</v>
      </c>
      <c r="E1695" s="219">
        <v>45</v>
      </c>
      <c r="F1695" s="166">
        <v>175</v>
      </c>
      <c r="G1695" s="166">
        <v>163</v>
      </c>
      <c r="H1695" s="21">
        <v>202</v>
      </c>
      <c r="I1695" s="21">
        <v>29</v>
      </c>
      <c r="J1695" s="21">
        <v>172</v>
      </c>
      <c r="K1695" s="21">
        <v>27</v>
      </c>
      <c r="L1695" s="21">
        <v>407</v>
      </c>
      <c r="M1695" s="21">
        <v>104</v>
      </c>
      <c r="N1695" s="21">
        <v>176</v>
      </c>
      <c r="O1695" s="19">
        <v>374</v>
      </c>
      <c r="P1695" s="22">
        <v>47</v>
      </c>
      <c r="Q1695" s="22">
        <v>33</v>
      </c>
      <c r="R1695" s="20"/>
      <c r="S1695" s="234">
        <f>COUNTIFS(INP_DATA!$R$5:$R$3027,S$4,INP_DATA!$D$5:$D$3027,$D1695,INP_DATA!$B$5:$B$3027,$B1695)</f>
        <v>0</v>
      </c>
      <c r="T1695" s="235">
        <f>COUNTIFS(INP_DATA!$R$5:$R$3027,T$4,INP_DATA!$D$5:$D$3027,$D1695,INP_DATA!$B$5:$B$3027,$B1695)</f>
        <v>0</v>
      </c>
    </row>
    <row r="1696" spans="1:20" x14ac:dyDescent="0.35">
      <c r="A1696" s="3" t="str">
        <f>IF(D1696="","",(VLOOKUP($D1696,KEY!$B$5:$D$74,3,FALSE)))</f>
        <v>Arizona</v>
      </c>
      <c r="B1696" s="165">
        <f t="shared" si="13"/>
        <v>45778</v>
      </c>
      <c r="C1696" s="57" t="str">
        <f>IF($B1696="","",YEAR($B1696)&amp;"-"&amp;IFERROR(VLOOKUP(MONTH(B1696),KEY!$AE$5:$AF$16,2,FALSE),""))</f>
        <v>2025-Q2</v>
      </c>
      <c r="D1696" s="3" t="s">
        <v>146</v>
      </c>
      <c r="E1696" s="219">
        <v>7</v>
      </c>
      <c r="F1696" s="166">
        <v>49</v>
      </c>
      <c r="G1696" s="166">
        <v>29</v>
      </c>
      <c r="H1696" s="21">
        <v>68</v>
      </c>
      <c r="I1696" s="21">
        <v>17</v>
      </c>
      <c r="J1696" s="21">
        <v>29</v>
      </c>
      <c r="K1696" s="21">
        <v>9</v>
      </c>
      <c r="L1696" s="21">
        <v>68</v>
      </c>
      <c r="M1696" s="21">
        <v>38</v>
      </c>
      <c r="N1696" s="21">
        <v>49</v>
      </c>
      <c r="O1696" s="19">
        <v>88</v>
      </c>
      <c r="P1696" s="22">
        <v>0</v>
      </c>
      <c r="Q1696" s="22">
        <v>0</v>
      </c>
      <c r="R1696" s="20"/>
      <c r="S1696" s="234">
        <f>COUNTIFS(INP_DATA!$R$5:$R$3027,S$4,INP_DATA!$D$5:$D$3027,$D1696,INP_DATA!$B$5:$B$3027,$B1696)</f>
        <v>0</v>
      </c>
      <c r="T1696" s="235">
        <f>COUNTIFS(INP_DATA!$R$5:$R$3027,T$4,INP_DATA!$D$5:$D$3027,$D1696,INP_DATA!$B$5:$B$3027,$B1696)</f>
        <v>0</v>
      </c>
    </row>
    <row r="1697" spans="1:20" x14ac:dyDescent="0.35">
      <c r="A1697" s="3" t="str">
        <f>IF(D1697="","",(VLOOKUP($D1697,KEY!$B$5:$D$74,3,FALSE)))</f>
        <v>Texas</v>
      </c>
      <c r="B1697" s="165">
        <f t="shared" si="13"/>
        <v>45778</v>
      </c>
      <c r="C1697" s="57" t="str">
        <f>IF($B1697="","",YEAR($B1697)&amp;"-"&amp;IFERROR(VLOOKUP(MONTH(B1697),KEY!$AE$5:$AF$16,2,FALSE),""))</f>
        <v>2025-Q2</v>
      </c>
      <c r="D1697" s="3" t="s">
        <v>147</v>
      </c>
      <c r="E1697" s="219">
        <v>7</v>
      </c>
      <c r="F1697" s="166">
        <v>46</v>
      </c>
      <c r="G1697" s="166">
        <v>40</v>
      </c>
      <c r="H1697" s="21">
        <v>112</v>
      </c>
      <c r="I1697" s="21">
        <v>18</v>
      </c>
      <c r="J1697" s="21">
        <v>45</v>
      </c>
      <c r="K1697" s="21">
        <v>8</v>
      </c>
      <c r="L1697" s="21">
        <v>83</v>
      </c>
      <c r="M1697" s="21">
        <v>41</v>
      </c>
      <c r="N1697" s="21">
        <v>47</v>
      </c>
      <c r="O1697" s="19">
        <v>88</v>
      </c>
      <c r="P1697" s="22">
        <v>1</v>
      </c>
      <c r="Q1697" s="22">
        <v>1</v>
      </c>
      <c r="R1697" s="20"/>
      <c r="S1697" s="234">
        <f>COUNTIFS(INP_DATA!$R$5:$R$3027,S$4,INP_DATA!$D$5:$D$3027,$D1697,INP_DATA!$B$5:$B$3027,$B1697)</f>
        <v>0</v>
      </c>
      <c r="T1697" s="235">
        <f>COUNTIFS(INP_DATA!$R$5:$R$3027,T$4,INP_DATA!$D$5:$D$3027,$D1697,INP_DATA!$B$5:$B$3027,$B1697)</f>
        <v>0</v>
      </c>
    </row>
    <row r="1698" spans="1:20" x14ac:dyDescent="0.35">
      <c r="A1698" s="3" t="str">
        <f>IF(D1698="","",(VLOOKUP($D1698,KEY!$B$5:$D$74,3,FALSE)))</f>
        <v>Northern California</v>
      </c>
      <c r="B1698" s="165">
        <f t="shared" si="13"/>
        <v>45778</v>
      </c>
      <c r="C1698" s="57" t="str">
        <f>IF($B1698="","",YEAR($B1698)&amp;"-"&amp;IFERROR(VLOOKUP(MONTH(B1698),KEY!$AE$5:$AF$16,2,FALSE),""))</f>
        <v>2025-Q2</v>
      </c>
      <c r="D1698" s="3" t="s">
        <v>148</v>
      </c>
      <c r="E1698" s="219">
        <v>10</v>
      </c>
      <c r="F1698" s="166">
        <v>36</v>
      </c>
      <c r="G1698" s="166">
        <v>21</v>
      </c>
      <c r="H1698" s="21">
        <v>86</v>
      </c>
      <c r="I1698" s="21">
        <v>11</v>
      </c>
      <c r="J1698" s="21">
        <v>81</v>
      </c>
      <c r="K1698" s="21">
        <v>5</v>
      </c>
      <c r="L1698" s="21">
        <v>79</v>
      </c>
      <c r="M1698" s="21">
        <v>20</v>
      </c>
      <c r="N1698" s="21">
        <v>36</v>
      </c>
      <c r="O1698" s="19">
        <v>88</v>
      </c>
      <c r="P1698" s="22">
        <v>8</v>
      </c>
      <c r="Q1698" s="22">
        <v>2</v>
      </c>
      <c r="R1698" s="20"/>
      <c r="S1698" s="234">
        <f>COUNTIFS(INP_DATA!$R$5:$R$3027,S$4,INP_DATA!$D$5:$D$3027,$D1698,INP_DATA!$B$5:$B$3027,$B1698)</f>
        <v>0</v>
      </c>
      <c r="T1698" s="235">
        <f>COUNTIFS(INP_DATA!$R$5:$R$3027,T$4,INP_DATA!$D$5:$D$3027,$D1698,INP_DATA!$B$5:$B$3027,$B1698)</f>
        <v>0</v>
      </c>
    </row>
    <row r="1699" spans="1:20" x14ac:dyDescent="0.35">
      <c r="A1699" s="3" t="str">
        <f>IF(D1699="","",(VLOOKUP($D1699,KEY!$B$5:$D$74,3,FALSE)))</f>
        <v>Orange County</v>
      </c>
      <c r="B1699" s="165">
        <f t="shared" si="13"/>
        <v>45778</v>
      </c>
      <c r="C1699" s="57" t="str">
        <f>IF($B1699="","",YEAR($B1699)&amp;"-"&amp;IFERROR(VLOOKUP(MONTH(B1699),KEY!$AE$5:$AF$16,2,FALSE),""))</f>
        <v>2025-Q2</v>
      </c>
      <c r="D1699" s="3" t="s">
        <v>149</v>
      </c>
      <c r="E1699" s="219">
        <v>3</v>
      </c>
      <c r="F1699" s="166">
        <v>0</v>
      </c>
      <c r="G1699" s="166">
        <v>0</v>
      </c>
      <c r="H1699" s="21">
        <v>39</v>
      </c>
      <c r="I1699" s="21">
        <v>9</v>
      </c>
      <c r="J1699" s="21">
        <v>19</v>
      </c>
      <c r="K1699" s="21">
        <v>4</v>
      </c>
      <c r="L1699" s="21">
        <v>46</v>
      </c>
      <c r="M1699" s="21">
        <v>16</v>
      </c>
      <c r="N1699" s="21">
        <v>26</v>
      </c>
      <c r="O1699" s="19">
        <v>66</v>
      </c>
      <c r="P1699" s="22">
        <v>0</v>
      </c>
      <c r="Q1699" s="22">
        <v>0</v>
      </c>
      <c r="R1699" s="20"/>
      <c r="S1699" s="234">
        <f>COUNTIFS(INP_DATA!$R$5:$R$3027,S$4,INP_DATA!$D$5:$D$3027,$D1699,INP_DATA!$B$5:$B$3027,$B1699)</f>
        <v>0</v>
      </c>
      <c r="T1699" s="235">
        <f>COUNTIFS(INP_DATA!$R$5:$R$3027,T$4,INP_DATA!$D$5:$D$3027,$D1699,INP_DATA!$B$5:$B$3027,$B1699)</f>
        <v>0</v>
      </c>
    </row>
    <row r="1700" spans="1:20" x14ac:dyDescent="0.35">
      <c r="A1700" s="3" t="str">
        <f>IF(D1700="","",(VLOOKUP($D1700,KEY!$B$5:$D$74,3,FALSE)))</f>
        <v>Southern California</v>
      </c>
      <c r="B1700" s="165">
        <f t="shared" si="13"/>
        <v>45778</v>
      </c>
      <c r="C1700" s="57" t="str">
        <f>IF($B1700="","",YEAR($B1700)&amp;"-"&amp;IFERROR(VLOOKUP(MONTH(B1700),KEY!$AE$5:$AF$16,2,FALSE),""))</f>
        <v>2025-Q2</v>
      </c>
      <c r="D1700" s="3" t="s">
        <v>150</v>
      </c>
      <c r="E1700" s="219">
        <v>9</v>
      </c>
      <c r="F1700" s="166">
        <v>50</v>
      </c>
      <c r="G1700" s="166">
        <v>36</v>
      </c>
      <c r="H1700" s="21">
        <v>66</v>
      </c>
      <c r="I1700" s="21">
        <v>15</v>
      </c>
      <c r="J1700" s="21">
        <v>25</v>
      </c>
      <c r="K1700" s="21">
        <v>4</v>
      </c>
      <c r="L1700" s="21">
        <v>54</v>
      </c>
      <c r="M1700" s="21">
        <v>26</v>
      </c>
      <c r="N1700" s="21">
        <v>51</v>
      </c>
      <c r="O1700" s="19">
        <v>66</v>
      </c>
      <c r="P1700" s="22">
        <v>3</v>
      </c>
      <c r="Q1700" s="22">
        <v>3</v>
      </c>
      <c r="R1700" s="20"/>
      <c r="S1700" s="234">
        <f>COUNTIFS(INP_DATA!$R$5:$R$3027,S$4,INP_DATA!$D$5:$D$3027,$D1700,INP_DATA!$B$5:$B$3027,$B1700)</f>
        <v>0</v>
      </c>
      <c r="T1700" s="235">
        <f>COUNTIFS(INP_DATA!$R$5:$R$3027,T$4,INP_DATA!$D$5:$D$3027,$D1700,INP_DATA!$B$5:$B$3027,$B1700)</f>
        <v>0</v>
      </c>
    </row>
    <row r="1701" spans="1:20" x14ac:dyDescent="0.35">
      <c r="A1701" s="3" t="str">
        <f>IF(D1701="","",(VLOOKUP($D1701,KEY!$B$5:$D$74,3,FALSE)))</f>
        <v>Arizona</v>
      </c>
      <c r="B1701" s="165">
        <f t="shared" si="13"/>
        <v>45778</v>
      </c>
      <c r="C1701" s="57" t="str">
        <f>IF($B1701="","",YEAR($B1701)&amp;"-"&amp;IFERROR(VLOOKUP(MONTH(B1701),KEY!$AE$5:$AF$16,2,FALSE),""))</f>
        <v>2025-Q2</v>
      </c>
      <c r="D1701" s="3" t="s">
        <v>151</v>
      </c>
      <c r="E1701" s="219">
        <v>3</v>
      </c>
      <c r="F1701" s="166">
        <v>30</v>
      </c>
      <c r="G1701" s="166">
        <v>32</v>
      </c>
      <c r="H1701" s="21">
        <v>65</v>
      </c>
      <c r="I1701" s="21">
        <v>10</v>
      </c>
      <c r="J1701" s="21">
        <v>21</v>
      </c>
      <c r="K1701" s="21">
        <v>5</v>
      </c>
      <c r="L1701" s="21">
        <v>53</v>
      </c>
      <c r="M1701" s="21">
        <v>23</v>
      </c>
      <c r="N1701" s="21">
        <v>29</v>
      </c>
      <c r="O1701" s="19">
        <v>66</v>
      </c>
      <c r="P1701" s="22">
        <v>0</v>
      </c>
      <c r="Q1701" s="22">
        <v>0</v>
      </c>
      <c r="R1701" s="20"/>
      <c r="S1701" s="234">
        <f>COUNTIFS(INP_DATA!$R$5:$R$3027,S$4,INP_DATA!$D$5:$D$3027,$D1701,INP_DATA!$B$5:$B$3027,$B1701)</f>
        <v>0</v>
      </c>
      <c r="T1701" s="235">
        <f>COUNTIFS(INP_DATA!$R$5:$R$3027,T$4,INP_DATA!$D$5:$D$3027,$D1701,INP_DATA!$B$5:$B$3027,$B1701)</f>
        <v>0</v>
      </c>
    </row>
    <row r="1702" spans="1:20" x14ac:dyDescent="0.35">
      <c r="A1702" s="3" t="str">
        <f>IF(D1702="","",(VLOOKUP($D1702,KEY!$B$5:$D$74,3,FALSE)))</f>
        <v>Michigan &amp; Minnesota</v>
      </c>
      <c r="B1702" s="165">
        <f t="shared" si="13"/>
        <v>45778</v>
      </c>
      <c r="C1702" s="57" t="str">
        <f>IF($B1702="","",YEAR($B1702)&amp;"-"&amp;IFERROR(VLOOKUP(MONTH(B1702),KEY!$AE$5:$AF$16,2,FALSE),""))</f>
        <v>2025-Q2</v>
      </c>
      <c r="D1702" s="3" t="s">
        <v>206</v>
      </c>
      <c r="E1702" s="219">
        <v>27</v>
      </c>
      <c r="F1702" s="166">
        <v>238</v>
      </c>
      <c r="G1702" s="166">
        <v>245</v>
      </c>
      <c r="H1702" s="21">
        <v>403</v>
      </c>
      <c r="I1702" s="21">
        <v>71</v>
      </c>
      <c r="J1702" s="21">
        <v>168</v>
      </c>
      <c r="K1702" s="21">
        <v>39</v>
      </c>
      <c r="L1702" s="21">
        <v>491</v>
      </c>
      <c r="M1702" s="21">
        <v>160</v>
      </c>
      <c r="N1702" s="21">
        <v>238</v>
      </c>
      <c r="O1702" s="19">
        <v>396</v>
      </c>
      <c r="P1702" s="22">
        <v>28</v>
      </c>
      <c r="Q1702" s="22">
        <v>22</v>
      </c>
      <c r="R1702" s="20"/>
      <c r="S1702" s="234">
        <f>COUNTIFS(INP_DATA!$R$5:$R$3027,S$4,INP_DATA!$D$5:$D$3027,$D1702,INP_DATA!$B$5:$B$3027,$B1702)</f>
        <v>0</v>
      </c>
      <c r="T1702" s="235">
        <f>COUNTIFS(INP_DATA!$R$5:$R$3027,T$4,INP_DATA!$D$5:$D$3027,$D1702,INP_DATA!$B$5:$B$3027,$B1702)</f>
        <v>0</v>
      </c>
    </row>
    <row r="1703" spans="1:20" x14ac:dyDescent="0.35">
      <c r="A1703" s="3" t="str">
        <f>IF(D1703="","",(VLOOKUP($D1703,KEY!$B$5:$D$74,3,FALSE)))</f>
        <v>Michigan &amp; Minnesota</v>
      </c>
      <c r="B1703" s="165">
        <f t="shared" si="13"/>
        <v>45778</v>
      </c>
      <c r="C1703" s="57" t="str">
        <f>IF($B1703="","",YEAR($B1703)&amp;"-"&amp;IFERROR(VLOOKUP(MONTH(B1703),KEY!$AE$5:$AF$16,2,FALSE),""))</f>
        <v>2025-Q2</v>
      </c>
      <c r="D1703" s="3" t="s">
        <v>207</v>
      </c>
      <c r="E1703" s="219">
        <v>3</v>
      </c>
      <c r="F1703" s="166">
        <v>94</v>
      </c>
      <c r="G1703" s="166">
        <v>44</v>
      </c>
      <c r="H1703" s="21">
        <v>137</v>
      </c>
      <c r="I1703" s="21">
        <v>27</v>
      </c>
      <c r="J1703" s="21">
        <v>42</v>
      </c>
      <c r="K1703" s="21">
        <v>12</v>
      </c>
      <c r="L1703" s="21">
        <v>107</v>
      </c>
      <c r="M1703" s="21">
        <v>31</v>
      </c>
      <c r="N1703" s="21">
        <v>94</v>
      </c>
      <c r="O1703" s="19">
        <v>110</v>
      </c>
      <c r="P1703" s="22">
        <v>4</v>
      </c>
      <c r="Q1703" s="22">
        <v>1</v>
      </c>
      <c r="R1703" s="20"/>
      <c r="S1703" s="234">
        <f>COUNTIFS(INP_DATA!$R$5:$R$3027,S$4,INP_DATA!$D$5:$D$3027,$D1703,INP_DATA!$B$5:$B$3027,$B1703)</f>
        <v>0</v>
      </c>
      <c r="T1703" s="235">
        <f>COUNTIFS(INP_DATA!$R$5:$R$3027,T$4,INP_DATA!$D$5:$D$3027,$D1703,INP_DATA!$B$5:$B$3027,$B1703)</f>
        <v>0</v>
      </c>
    </row>
    <row r="1704" spans="1:20" x14ac:dyDescent="0.35">
      <c r="A1704" s="3" t="str">
        <f>IF(D1704="","",(VLOOKUP($D1704,KEY!$B$5:$D$74,3,FALSE)))</f>
        <v>Indiana</v>
      </c>
      <c r="B1704" s="165">
        <f t="shared" si="13"/>
        <v>45778</v>
      </c>
      <c r="C1704" s="57" t="str">
        <f>IF($B1704="","",YEAR($B1704)&amp;"-"&amp;IFERROR(VLOOKUP(MONTH(B1704),KEY!$AE$5:$AF$16,2,FALSE),""))</f>
        <v>2025-Q2</v>
      </c>
      <c r="D1704" s="3" t="s">
        <v>208</v>
      </c>
      <c r="E1704" s="219">
        <v>4</v>
      </c>
      <c r="F1704" s="166">
        <v>147</v>
      </c>
      <c r="G1704" s="166">
        <v>108</v>
      </c>
      <c r="H1704" s="21">
        <v>308</v>
      </c>
      <c r="I1704" s="21">
        <v>40</v>
      </c>
      <c r="J1704" s="21">
        <v>121</v>
      </c>
      <c r="K1704" s="21">
        <v>23</v>
      </c>
      <c r="L1704" s="21">
        <v>172</v>
      </c>
      <c r="M1704" s="21">
        <v>62</v>
      </c>
      <c r="N1704" s="21">
        <v>150</v>
      </c>
      <c r="O1704" s="19">
        <v>242</v>
      </c>
      <c r="P1704" s="22">
        <v>12</v>
      </c>
      <c r="Q1704" s="22">
        <v>7</v>
      </c>
      <c r="R1704" s="20"/>
      <c r="S1704" s="234">
        <f>COUNTIFS(INP_DATA!$R$5:$R$3027,S$4,INP_DATA!$D$5:$D$3027,$D1704,INP_DATA!$B$5:$B$3027,$B1704)</f>
        <v>0</v>
      </c>
      <c r="T1704" s="235">
        <f>COUNTIFS(INP_DATA!$R$5:$R$3027,T$4,INP_DATA!$D$5:$D$3027,$D1704,INP_DATA!$B$5:$B$3027,$B1704)</f>
        <v>0</v>
      </c>
    </row>
    <row r="1705" spans="1:20" x14ac:dyDescent="0.35">
      <c r="A1705" s="3" t="str">
        <f>IF(D1705="","",(VLOOKUP($D1705,KEY!$B$5:$D$74,3,FALSE)))</f>
        <v>Indiana</v>
      </c>
      <c r="B1705" s="165">
        <f t="shared" si="13"/>
        <v>45778</v>
      </c>
      <c r="C1705" s="57" t="str">
        <f>IF($B1705="","",YEAR($B1705)&amp;"-"&amp;IFERROR(VLOOKUP(MONTH(B1705),KEY!$AE$5:$AF$16,2,FALSE),""))</f>
        <v>2025-Q2</v>
      </c>
      <c r="D1705" s="3" t="s">
        <v>209</v>
      </c>
      <c r="E1705" s="219">
        <v>31</v>
      </c>
      <c r="F1705" s="166">
        <v>492</v>
      </c>
      <c r="G1705" s="166">
        <v>539</v>
      </c>
      <c r="H1705" s="21">
        <v>719</v>
      </c>
      <c r="I1705" s="21">
        <v>115</v>
      </c>
      <c r="J1705" s="21">
        <v>234</v>
      </c>
      <c r="K1705" s="21">
        <v>83</v>
      </c>
      <c r="L1705" s="21">
        <v>489</v>
      </c>
      <c r="M1705" s="21">
        <v>223</v>
      </c>
      <c r="N1705" s="21">
        <v>498</v>
      </c>
      <c r="O1705" s="19">
        <v>528</v>
      </c>
      <c r="P1705" s="22">
        <v>59</v>
      </c>
      <c r="Q1705" s="22">
        <v>37</v>
      </c>
      <c r="R1705" s="20"/>
      <c r="S1705" s="234">
        <f>COUNTIFS(INP_DATA!$R$5:$R$3027,S$4,INP_DATA!$D$5:$D$3027,$D1705,INP_DATA!$B$5:$B$3027,$B1705)</f>
        <v>0</v>
      </c>
      <c r="T1705" s="235">
        <f>COUNTIFS(INP_DATA!$R$5:$R$3027,T$4,INP_DATA!$D$5:$D$3027,$D1705,INP_DATA!$B$5:$B$3027,$B1705)</f>
        <v>0</v>
      </c>
    </row>
    <row r="1706" spans="1:20" x14ac:dyDescent="0.35">
      <c r="A1706" s="3" t="str">
        <f>IF(D1706="","",(VLOOKUP($D1706,KEY!$B$5:$D$74,3,FALSE)))</f>
        <v>Northern California</v>
      </c>
      <c r="B1706" s="165">
        <f t="shared" si="13"/>
        <v>45778</v>
      </c>
      <c r="C1706" s="57" t="str">
        <f>IF($B1706="","",YEAR($B1706)&amp;"-"&amp;IFERROR(VLOOKUP(MONTH(B1706),KEY!$AE$5:$AF$16,2,FALSE),""))</f>
        <v>2025-Q2</v>
      </c>
      <c r="D1706" s="3" t="s">
        <v>152</v>
      </c>
      <c r="E1706" s="219">
        <v>53</v>
      </c>
      <c r="F1706" s="166">
        <v>154</v>
      </c>
      <c r="G1706" s="166">
        <v>207</v>
      </c>
      <c r="H1706" s="21">
        <v>366</v>
      </c>
      <c r="I1706" s="21">
        <v>56</v>
      </c>
      <c r="J1706" s="21">
        <v>141</v>
      </c>
      <c r="K1706" s="21">
        <v>35</v>
      </c>
      <c r="L1706" s="21">
        <v>315</v>
      </c>
      <c r="M1706" s="21">
        <v>128</v>
      </c>
      <c r="N1706" s="21">
        <v>154</v>
      </c>
      <c r="O1706" s="19">
        <v>286</v>
      </c>
      <c r="P1706" s="22">
        <v>56</v>
      </c>
      <c r="Q1706" s="22">
        <v>36</v>
      </c>
      <c r="R1706" s="20"/>
      <c r="S1706" s="234">
        <f>COUNTIFS(INP_DATA!$R$5:$R$3027,S$4,INP_DATA!$D$5:$D$3027,$D1706,INP_DATA!$B$5:$B$3027,$B1706)</f>
        <v>0</v>
      </c>
      <c r="T1706" s="235">
        <f>COUNTIFS(INP_DATA!$R$5:$R$3027,T$4,INP_DATA!$D$5:$D$3027,$D1706,INP_DATA!$B$5:$B$3027,$B1706)</f>
        <v>0</v>
      </c>
    </row>
    <row r="1707" spans="1:20" x14ac:dyDescent="0.35">
      <c r="A1707" s="3" t="str">
        <f>IF(D1707="","",(VLOOKUP($D1707,KEY!$B$5:$D$74,3,FALSE)))</f>
        <v>Arizona</v>
      </c>
      <c r="B1707" s="165">
        <f t="shared" si="13"/>
        <v>45778</v>
      </c>
      <c r="C1707" s="57" t="str">
        <f>IF($B1707="","",YEAR($B1707)&amp;"-"&amp;IFERROR(VLOOKUP(MONTH(B1707),KEY!$AE$5:$AF$16,2,FALSE),""))</f>
        <v>2025-Q2</v>
      </c>
      <c r="D1707" s="3" t="s">
        <v>153</v>
      </c>
      <c r="E1707" s="219">
        <v>29</v>
      </c>
      <c r="F1707" s="166">
        <v>92</v>
      </c>
      <c r="G1707" s="166">
        <v>101</v>
      </c>
      <c r="H1707" s="21">
        <v>189</v>
      </c>
      <c r="I1707" s="21">
        <v>14</v>
      </c>
      <c r="J1707" s="21">
        <v>77</v>
      </c>
      <c r="K1707" s="21">
        <v>8</v>
      </c>
      <c r="L1707" s="21">
        <v>325</v>
      </c>
      <c r="M1707" s="21">
        <v>48</v>
      </c>
      <c r="N1707" s="21">
        <v>93</v>
      </c>
      <c r="O1707" s="19">
        <v>308</v>
      </c>
      <c r="P1707" s="22">
        <v>4</v>
      </c>
      <c r="Q1707" s="22">
        <v>0</v>
      </c>
      <c r="R1707" s="20"/>
      <c r="S1707" s="234">
        <f>COUNTIFS(INP_DATA!$R$5:$R$3027,S$4,INP_DATA!$D$5:$D$3027,$D1707,INP_DATA!$B$5:$B$3027,$B1707)</f>
        <v>0</v>
      </c>
      <c r="T1707" s="235">
        <f>COUNTIFS(INP_DATA!$R$5:$R$3027,T$4,INP_DATA!$D$5:$D$3027,$D1707,INP_DATA!$B$5:$B$3027,$B1707)</f>
        <v>0</v>
      </c>
    </row>
    <row r="1708" spans="1:20" x14ac:dyDescent="0.35">
      <c r="A1708" s="3" t="str">
        <f>IF(D1708="","",(VLOOKUP($D1708,KEY!$B$5:$D$74,3,FALSE)))</f>
        <v>Northern California</v>
      </c>
      <c r="B1708" s="165">
        <f t="shared" si="13"/>
        <v>45778</v>
      </c>
      <c r="C1708" s="57" t="str">
        <f>IF($B1708="","",YEAR($B1708)&amp;"-"&amp;IFERROR(VLOOKUP(MONTH(B1708),KEY!$AE$5:$AF$16,2,FALSE),""))</f>
        <v>2025-Q2</v>
      </c>
      <c r="D1708" s="3" t="s">
        <v>154</v>
      </c>
      <c r="E1708" s="219">
        <v>23</v>
      </c>
      <c r="F1708" s="166">
        <v>92</v>
      </c>
      <c r="G1708" s="166">
        <v>77</v>
      </c>
      <c r="H1708" s="21">
        <v>249</v>
      </c>
      <c r="I1708" s="21">
        <v>33</v>
      </c>
      <c r="J1708" s="21">
        <v>147</v>
      </c>
      <c r="K1708" s="21">
        <v>17</v>
      </c>
      <c r="L1708" s="21">
        <v>212</v>
      </c>
      <c r="M1708" s="21">
        <v>53</v>
      </c>
      <c r="N1708" s="21">
        <v>93</v>
      </c>
      <c r="O1708" s="19">
        <v>198</v>
      </c>
      <c r="P1708" s="22">
        <v>9</v>
      </c>
      <c r="Q1708" s="22">
        <v>8</v>
      </c>
      <c r="R1708" s="20"/>
      <c r="S1708" s="234">
        <f>COUNTIFS(INP_DATA!$R$5:$R$3027,S$4,INP_DATA!$D$5:$D$3027,$D1708,INP_DATA!$B$5:$B$3027,$B1708)</f>
        <v>0</v>
      </c>
      <c r="T1708" s="235">
        <f>COUNTIFS(INP_DATA!$R$5:$R$3027,T$4,INP_DATA!$D$5:$D$3027,$D1708,INP_DATA!$B$5:$B$3027,$B1708)</f>
        <v>0</v>
      </c>
    </row>
    <row r="1709" spans="1:20" x14ac:dyDescent="0.35">
      <c r="A1709" s="3" t="str">
        <f>IF(D1709="","",(VLOOKUP($D1709,KEY!$B$5:$D$74,3,FALSE)))</f>
        <v>Texas</v>
      </c>
      <c r="B1709" s="165">
        <f t="shared" si="13"/>
        <v>45778</v>
      </c>
      <c r="C1709" s="57" t="str">
        <f>IF($B1709="","",YEAR($B1709)&amp;"-"&amp;IFERROR(VLOOKUP(MONTH(B1709),KEY!$AE$5:$AF$16,2,FALSE),""))</f>
        <v>2025-Q2</v>
      </c>
      <c r="D1709" s="3" t="s">
        <v>155</v>
      </c>
      <c r="E1709" s="219">
        <v>47</v>
      </c>
      <c r="F1709" s="166">
        <v>330</v>
      </c>
      <c r="G1709" s="166">
        <v>386</v>
      </c>
      <c r="H1709" s="21">
        <v>961</v>
      </c>
      <c r="I1709" s="21">
        <v>104</v>
      </c>
      <c r="J1709" s="21">
        <v>317</v>
      </c>
      <c r="K1709" s="21">
        <v>53</v>
      </c>
      <c r="L1709" s="21">
        <v>492</v>
      </c>
      <c r="M1709" s="21">
        <v>151</v>
      </c>
      <c r="N1709" s="21">
        <v>333</v>
      </c>
      <c r="O1709" s="19">
        <v>616</v>
      </c>
      <c r="P1709" s="22">
        <v>17</v>
      </c>
      <c r="Q1709" s="22">
        <v>9</v>
      </c>
      <c r="R1709" s="20"/>
      <c r="S1709" s="234">
        <f>COUNTIFS(INP_DATA!$R$5:$R$3027,S$4,INP_DATA!$D$5:$D$3027,$D1709,INP_DATA!$B$5:$B$3027,$B1709)</f>
        <v>0</v>
      </c>
      <c r="T1709" s="235">
        <f>COUNTIFS(INP_DATA!$R$5:$R$3027,T$4,INP_DATA!$D$5:$D$3027,$D1709,INP_DATA!$B$5:$B$3027,$B1709)</f>
        <v>0</v>
      </c>
    </row>
    <row r="1710" spans="1:20" x14ac:dyDescent="0.35">
      <c r="A1710" s="3" t="str">
        <f>IF(D1710="","",(VLOOKUP($D1710,KEY!$B$5:$D$74,3,FALSE)))</f>
        <v>Texas</v>
      </c>
      <c r="B1710" s="165">
        <f t="shared" si="13"/>
        <v>45778</v>
      </c>
      <c r="C1710" s="57" t="str">
        <f>IF($B1710="","",YEAR($B1710)&amp;"-"&amp;IFERROR(VLOOKUP(MONTH(B1710),KEY!$AE$5:$AF$16,2,FALSE),""))</f>
        <v>2025-Q2</v>
      </c>
      <c r="D1710" s="3" t="s">
        <v>156</v>
      </c>
      <c r="E1710" s="219">
        <v>34</v>
      </c>
      <c r="F1710" s="166">
        <v>246</v>
      </c>
      <c r="G1710" s="166">
        <v>267</v>
      </c>
      <c r="H1710" s="21">
        <v>466</v>
      </c>
      <c r="I1710" s="21">
        <v>70</v>
      </c>
      <c r="J1710" s="21">
        <v>212</v>
      </c>
      <c r="K1710" s="21">
        <v>57</v>
      </c>
      <c r="L1710" s="21">
        <v>320</v>
      </c>
      <c r="M1710" s="21">
        <v>99</v>
      </c>
      <c r="N1710" s="21">
        <v>248</v>
      </c>
      <c r="O1710" s="19">
        <v>396</v>
      </c>
      <c r="P1710" s="22">
        <v>6</v>
      </c>
      <c r="Q1710" s="22">
        <v>2</v>
      </c>
      <c r="R1710" s="20"/>
      <c r="S1710" s="234">
        <f>COUNTIFS(INP_DATA!$R$5:$R$3027,S$4,INP_DATA!$D$5:$D$3027,$D1710,INP_DATA!$B$5:$B$3027,$B1710)</f>
        <v>0</v>
      </c>
      <c r="T1710" s="235">
        <f>COUNTIFS(INP_DATA!$R$5:$R$3027,T$4,INP_DATA!$D$5:$D$3027,$D1710,INP_DATA!$B$5:$B$3027,$B1710)</f>
        <v>0</v>
      </c>
    </row>
    <row r="1711" spans="1:20" x14ac:dyDescent="0.35">
      <c r="A1711" s="3" t="str">
        <f>IF(D1711="","",(VLOOKUP($D1711,KEY!$B$5:$D$74,3,FALSE)))</f>
        <v>Texas</v>
      </c>
      <c r="B1711" s="165">
        <f t="shared" si="13"/>
        <v>45778</v>
      </c>
      <c r="C1711" s="57" t="str">
        <f>IF($B1711="","",YEAR($B1711)&amp;"-"&amp;IFERROR(VLOOKUP(MONTH(B1711),KEY!$AE$5:$AF$16,2,FALSE),""))</f>
        <v>2025-Q2</v>
      </c>
      <c r="D1711" s="3" t="s">
        <v>157</v>
      </c>
      <c r="E1711" s="219">
        <v>34</v>
      </c>
      <c r="F1711" s="166">
        <v>531</v>
      </c>
      <c r="G1711" s="166">
        <v>512</v>
      </c>
      <c r="H1711" s="21">
        <v>610</v>
      </c>
      <c r="I1711" s="21">
        <v>80</v>
      </c>
      <c r="J1711" s="21">
        <v>462</v>
      </c>
      <c r="K1711" s="21">
        <v>79</v>
      </c>
      <c r="L1711" s="21">
        <v>940</v>
      </c>
      <c r="M1711" s="21">
        <v>256</v>
      </c>
      <c r="N1711" s="21">
        <v>550</v>
      </c>
      <c r="O1711" s="19">
        <v>748</v>
      </c>
      <c r="P1711" s="22">
        <v>8</v>
      </c>
      <c r="Q1711" s="22">
        <v>5</v>
      </c>
      <c r="R1711" s="20"/>
      <c r="S1711" s="234">
        <f>COUNTIFS(INP_DATA!$R$5:$R$3027,S$4,INP_DATA!$D$5:$D$3027,$D1711,INP_DATA!$B$5:$B$3027,$B1711)</f>
        <v>0</v>
      </c>
      <c r="T1711" s="235">
        <f>COUNTIFS(INP_DATA!$R$5:$R$3027,T$4,INP_DATA!$D$5:$D$3027,$D1711,INP_DATA!$B$5:$B$3027,$B1711)</f>
        <v>0</v>
      </c>
    </row>
    <row r="1712" spans="1:20" x14ac:dyDescent="0.35">
      <c r="A1712" s="3" t="str">
        <f>IF(D1712="","",(VLOOKUP($D1712,KEY!$B$5:$D$74,3,FALSE)))</f>
        <v>Arizona</v>
      </c>
      <c r="B1712" s="165">
        <f t="shared" si="13"/>
        <v>45778</v>
      </c>
      <c r="C1712" s="57" t="str">
        <f>IF($B1712="","",YEAR($B1712)&amp;"-"&amp;IFERROR(VLOOKUP(MONTH(B1712),KEY!$AE$5:$AF$16,2,FALSE),""))</f>
        <v>2025-Q2</v>
      </c>
      <c r="D1712" s="3" t="s">
        <v>158</v>
      </c>
      <c r="E1712" s="219">
        <v>4</v>
      </c>
      <c r="F1712" s="166">
        <v>29</v>
      </c>
      <c r="G1712" s="166">
        <v>35</v>
      </c>
      <c r="H1712" s="21">
        <v>77</v>
      </c>
      <c r="I1712" s="21">
        <v>6</v>
      </c>
      <c r="J1712" s="21">
        <v>71</v>
      </c>
      <c r="K1712" s="21">
        <v>4</v>
      </c>
      <c r="L1712" s="21">
        <v>74</v>
      </c>
      <c r="M1712" s="21">
        <v>11</v>
      </c>
      <c r="N1712" s="21">
        <v>29</v>
      </c>
      <c r="O1712" s="19">
        <v>132</v>
      </c>
      <c r="P1712" s="22">
        <v>3</v>
      </c>
      <c r="Q1712" s="22">
        <v>0</v>
      </c>
      <c r="R1712" s="20"/>
      <c r="S1712" s="234">
        <f>COUNTIFS(INP_DATA!$R$5:$R$3027,S$4,INP_DATA!$D$5:$D$3027,$D1712,INP_DATA!$B$5:$B$3027,$B1712)</f>
        <v>0</v>
      </c>
      <c r="T1712" s="235">
        <f>COUNTIFS(INP_DATA!$R$5:$R$3027,T$4,INP_DATA!$D$5:$D$3027,$D1712,INP_DATA!$B$5:$B$3027,$B1712)</f>
        <v>0</v>
      </c>
    </row>
    <row r="1713" spans="1:20" x14ac:dyDescent="0.35">
      <c r="A1713" s="3" t="str">
        <f>IF(D1713="","",(VLOOKUP($D1713,KEY!$B$5:$D$74,3,FALSE)))</f>
        <v>Orange County</v>
      </c>
      <c r="B1713" s="165">
        <f t="shared" si="13"/>
        <v>45778</v>
      </c>
      <c r="C1713" s="57" t="str">
        <f>IF($B1713="","",YEAR($B1713)&amp;"-"&amp;IFERROR(VLOOKUP(MONTH(B1713),KEY!$AE$5:$AF$16,2,FALSE),""))</f>
        <v>2025-Q2</v>
      </c>
      <c r="D1713" s="3" t="s">
        <v>159</v>
      </c>
      <c r="E1713" s="219">
        <v>19</v>
      </c>
      <c r="F1713" s="166">
        <v>91</v>
      </c>
      <c r="G1713" s="166">
        <v>124</v>
      </c>
      <c r="H1713" s="21">
        <v>208</v>
      </c>
      <c r="I1713" s="21">
        <v>38</v>
      </c>
      <c r="J1713" s="21">
        <v>82</v>
      </c>
      <c r="K1713" s="21">
        <v>22</v>
      </c>
      <c r="L1713" s="21">
        <v>183</v>
      </c>
      <c r="M1713" s="21">
        <v>78</v>
      </c>
      <c r="N1713" s="21">
        <v>91</v>
      </c>
      <c r="O1713" s="19">
        <v>198</v>
      </c>
      <c r="P1713" s="22">
        <v>10</v>
      </c>
      <c r="Q1713" s="22">
        <v>10</v>
      </c>
      <c r="R1713" s="20"/>
      <c r="S1713" s="234">
        <f>COUNTIFS(INP_DATA!$R$5:$R$3027,S$4,INP_DATA!$D$5:$D$3027,$D1713,INP_DATA!$B$5:$B$3027,$B1713)</f>
        <v>0</v>
      </c>
      <c r="T1713" s="235">
        <f>COUNTIFS(INP_DATA!$R$5:$R$3027,T$4,INP_DATA!$D$5:$D$3027,$D1713,INP_DATA!$B$5:$B$3027,$B1713)</f>
        <v>0</v>
      </c>
    </row>
    <row r="1714" spans="1:20" x14ac:dyDescent="0.35">
      <c r="A1714" s="3" t="str">
        <f>IF(D1714="","",(VLOOKUP($D1714,KEY!$B$5:$D$74,3,FALSE)))</f>
        <v>Arizona</v>
      </c>
      <c r="B1714" s="165">
        <f t="shared" si="13"/>
        <v>45778</v>
      </c>
      <c r="C1714" s="57" t="str">
        <f>IF($B1714="","",YEAR($B1714)&amp;"-"&amp;IFERROR(VLOOKUP(MONTH(B1714),KEY!$AE$5:$AF$16,2,FALSE),""))</f>
        <v>2025-Q2</v>
      </c>
      <c r="D1714" s="3" t="s">
        <v>160</v>
      </c>
      <c r="E1714" s="219">
        <v>42</v>
      </c>
      <c r="F1714" s="166">
        <v>354</v>
      </c>
      <c r="G1714" s="166">
        <v>407</v>
      </c>
      <c r="H1714" s="21">
        <v>579</v>
      </c>
      <c r="I1714" s="21">
        <v>107</v>
      </c>
      <c r="J1714" s="21">
        <v>157</v>
      </c>
      <c r="K1714" s="21">
        <v>42</v>
      </c>
      <c r="L1714" s="21">
        <v>490</v>
      </c>
      <c r="M1714" s="21">
        <v>216</v>
      </c>
      <c r="N1714" s="21">
        <v>355</v>
      </c>
      <c r="O1714" s="19">
        <v>506</v>
      </c>
      <c r="P1714" s="22">
        <v>26</v>
      </c>
      <c r="Q1714" s="22">
        <v>17</v>
      </c>
      <c r="R1714" s="20"/>
      <c r="S1714" s="234">
        <f>COUNTIFS(INP_DATA!$R$5:$R$3027,S$4,INP_DATA!$D$5:$D$3027,$D1714,INP_DATA!$B$5:$B$3027,$B1714)</f>
        <v>0</v>
      </c>
      <c r="T1714" s="235">
        <f>COUNTIFS(INP_DATA!$R$5:$R$3027,T$4,INP_DATA!$D$5:$D$3027,$D1714,INP_DATA!$B$5:$B$3027,$B1714)</f>
        <v>0</v>
      </c>
    </row>
    <row r="1715" spans="1:20" x14ac:dyDescent="0.35">
      <c r="A1715" s="3" t="str">
        <f>IF(D1715="","",(VLOOKUP($D1715,KEY!$B$5:$D$74,3,FALSE)))</f>
        <v>Northern California</v>
      </c>
      <c r="B1715" s="165">
        <f t="shared" si="13"/>
        <v>45778</v>
      </c>
      <c r="C1715" s="57" t="str">
        <f>IF($B1715="","",YEAR($B1715)&amp;"-"&amp;IFERROR(VLOOKUP(MONTH(B1715),KEY!$AE$5:$AF$16,2,FALSE),""))</f>
        <v>2025-Q2</v>
      </c>
      <c r="D1715" s="3" t="s">
        <v>161</v>
      </c>
      <c r="E1715" s="219">
        <v>40</v>
      </c>
      <c r="F1715" s="166">
        <v>287</v>
      </c>
      <c r="G1715" s="166">
        <v>285</v>
      </c>
      <c r="H1715" s="21">
        <v>425</v>
      </c>
      <c r="I1715" s="21">
        <v>74</v>
      </c>
      <c r="J1715" s="21">
        <v>204</v>
      </c>
      <c r="K1715" s="21">
        <v>59</v>
      </c>
      <c r="L1715" s="21">
        <v>354</v>
      </c>
      <c r="M1715" s="21">
        <v>110</v>
      </c>
      <c r="N1715" s="21">
        <v>293</v>
      </c>
      <c r="O1715" s="19">
        <v>462</v>
      </c>
      <c r="P1715" s="22">
        <v>8</v>
      </c>
      <c r="Q1715" s="22">
        <v>7</v>
      </c>
      <c r="R1715" s="20"/>
      <c r="S1715" s="234">
        <f>COUNTIFS(INP_DATA!$R$5:$R$3027,S$4,INP_DATA!$D$5:$D$3027,$D1715,INP_DATA!$B$5:$B$3027,$B1715)</f>
        <v>0</v>
      </c>
      <c r="T1715" s="235">
        <f>COUNTIFS(INP_DATA!$R$5:$R$3027,T$4,INP_DATA!$D$5:$D$3027,$D1715,INP_DATA!$B$5:$B$3027,$B1715)</f>
        <v>0</v>
      </c>
    </row>
    <row r="1716" spans="1:20" x14ac:dyDescent="0.35">
      <c r="A1716" s="3" t="str">
        <f>IF(D1716="","",(VLOOKUP($D1716,KEY!$B$5:$D$74,3,FALSE)))</f>
        <v>Arizona</v>
      </c>
      <c r="B1716" s="165">
        <f t="shared" si="13"/>
        <v>45778</v>
      </c>
      <c r="C1716" s="57" t="str">
        <f>IF($B1716="","",YEAR($B1716)&amp;"-"&amp;IFERROR(VLOOKUP(MONTH(B1716),KEY!$AE$5:$AF$16,2,FALSE),""))</f>
        <v>2025-Q2</v>
      </c>
      <c r="D1716" s="3" t="s">
        <v>163</v>
      </c>
      <c r="E1716" s="219">
        <v>54</v>
      </c>
      <c r="F1716" s="166">
        <v>285</v>
      </c>
      <c r="G1716" s="166">
        <v>305</v>
      </c>
      <c r="H1716" s="21">
        <v>365</v>
      </c>
      <c r="I1716" s="21">
        <v>64</v>
      </c>
      <c r="J1716" s="21">
        <v>158</v>
      </c>
      <c r="K1716" s="21">
        <v>50</v>
      </c>
      <c r="L1716" s="21">
        <v>351</v>
      </c>
      <c r="M1716" s="21">
        <v>151</v>
      </c>
      <c r="N1716" s="21">
        <v>289</v>
      </c>
      <c r="O1716" s="19">
        <v>418</v>
      </c>
      <c r="P1716" s="22">
        <v>8</v>
      </c>
      <c r="Q1716" s="22">
        <v>2</v>
      </c>
      <c r="R1716" s="20"/>
      <c r="S1716" s="234">
        <f>COUNTIFS(INP_DATA!$R$5:$R$3027,S$4,INP_DATA!$D$5:$D$3027,$D1716,INP_DATA!$B$5:$B$3027,$B1716)</f>
        <v>0</v>
      </c>
      <c r="T1716" s="235">
        <f>COUNTIFS(INP_DATA!$R$5:$R$3027,T$4,INP_DATA!$D$5:$D$3027,$D1716,INP_DATA!$B$5:$B$3027,$B1716)</f>
        <v>0</v>
      </c>
    </row>
    <row r="1717" spans="1:20" x14ac:dyDescent="0.35">
      <c r="A1717" s="3" t="str">
        <f>IF(D1717="","",(VLOOKUP($D1717,KEY!$B$5:$D$74,3,FALSE)))</f>
        <v>Arizona</v>
      </c>
      <c r="B1717" s="165">
        <f t="shared" si="13"/>
        <v>45778</v>
      </c>
      <c r="C1717" s="57" t="str">
        <f>IF($B1717="","",YEAR($B1717)&amp;"-"&amp;IFERROR(VLOOKUP(MONTH(B1717),KEY!$AE$5:$AF$16,2,FALSE),""))</f>
        <v>2025-Q2</v>
      </c>
      <c r="D1717" s="3" t="s">
        <v>164</v>
      </c>
      <c r="E1717" s="219">
        <v>6</v>
      </c>
      <c r="F1717" s="166">
        <v>46</v>
      </c>
      <c r="G1717" s="166">
        <v>87</v>
      </c>
      <c r="H1717" s="21">
        <v>102</v>
      </c>
      <c r="I1717" s="21">
        <v>19</v>
      </c>
      <c r="J1717" s="21">
        <v>25</v>
      </c>
      <c r="K1717" s="21">
        <v>7</v>
      </c>
      <c r="L1717" s="21">
        <v>85</v>
      </c>
      <c r="M1717" s="21">
        <v>25</v>
      </c>
      <c r="N1717" s="21">
        <v>46</v>
      </c>
      <c r="O1717" s="19">
        <v>132</v>
      </c>
      <c r="P1717" s="22">
        <v>9</v>
      </c>
      <c r="Q1717" s="22">
        <v>8</v>
      </c>
      <c r="R1717" s="20"/>
      <c r="S1717" s="234">
        <f>COUNTIFS(INP_DATA!$R$5:$R$3027,S$4,INP_DATA!$D$5:$D$3027,$D1717,INP_DATA!$B$5:$B$3027,$B1717)</f>
        <v>0</v>
      </c>
      <c r="T1717" s="235">
        <f>COUNTIFS(INP_DATA!$R$5:$R$3027,T$4,INP_DATA!$D$5:$D$3027,$D1717,INP_DATA!$B$5:$B$3027,$B1717)</f>
        <v>0</v>
      </c>
    </row>
    <row r="1718" spans="1:20" x14ac:dyDescent="0.35">
      <c r="A1718" s="3" t="str">
        <f>IF(D1718="","",(VLOOKUP($D1718,KEY!$B$5:$D$74,3,FALSE)))</f>
        <v>Orange County</v>
      </c>
      <c r="B1718" s="165">
        <f t="shared" ref="B1718:B1722" si="14">B1717</f>
        <v>45778</v>
      </c>
      <c r="C1718" s="57" t="str">
        <f>IF($B1718="","",YEAR($B1718)&amp;"-"&amp;IFERROR(VLOOKUP(MONTH(B1718),KEY!$AE$5:$AF$16,2,FALSE),""))</f>
        <v>2025-Q2</v>
      </c>
      <c r="D1718" s="3" t="s">
        <v>165</v>
      </c>
      <c r="E1718" s="219">
        <v>8</v>
      </c>
      <c r="F1718" s="166">
        <v>41</v>
      </c>
      <c r="G1718" s="166">
        <v>73</v>
      </c>
      <c r="H1718" s="21">
        <v>97</v>
      </c>
      <c r="I1718" s="21">
        <v>13</v>
      </c>
      <c r="J1718" s="21">
        <v>31</v>
      </c>
      <c r="K1718" s="21">
        <v>11</v>
      </c>
      <c r="L1718" s="21">
        <v>57</v>
      </c>
      <c r="M1718" s="21">
        <v>24</v>
      </c>
      <c r="N1718" s="21">
        <v>42</v>
      </c>
      <c r="O1718" s="19">
        <v>110</v>
      </c>
      <c r="P1718" s="22">
        <v>20</v>
      </c>
      <c r="Q1718" s="22">
        <v>13</v>
      </c>
      <c r="R1718" s="20"/>
      <c r="S1718" s="234">
        <f>COUNTIFS(INP_DATA!$R$5:$R$3027,S$4,INP_DATA!$D$5:$D$3027,$D1718,INP_DATA!$B$5:$B$3027,$B1718)</f>
        <v>0</v>
      </c>
      <c r="T1718" s="235">
        <f>COUNTIFS(INP_DATA!$R$5:$R$3027,T$4,INP_DATA!$D$5:$D$3027,$D1718,INP_DATA!$B$5:$B$3027,$B1718)</f>
        <v>0</v>
      </c>
    </row>
    <row r="1719" spans="1:20" x14ac:dyDescent="0.35">
      <c r="A1719" s="3" t="str">
        <f>IF(D1719="","",(VLOOKUP($D1719,KEY!$B$5:$D$74,3,FALSE)))</f>
        <v/>
      </c>
      <c r="B1719" s="165">
        <f t="shared" si="14"/>
        <v>45778</v>
      </c>
      <c r="C1719" s="57" t="str">
        <f>IF($B1719="","",YEAR($B1719)&amp;"-"&amp;IFERROR(VLOOKUP(MONTH(B1719),KEY!$AE$5:$AF$16,2,FALSE),""))</f>
        <v>2025-Q2</v>
      </c>
      <c r="D1719" s="3"/>
      <c r="E1719" s="219"/>
      <c r="F1719" s="166"/>
      <c r="G1719" s="166"/>
      <c r="H1719" s="21"/>
      <c r="I1719" s="21"/>
      <c r="J1719" s="21"/>
      <c r="K1719" s="21"/>
      <c r="L1719" s="21"/>
      <c r="M1719" s="21"/>
      <c r="N1719" s="21"/>
      <c r="O1719" s="19"/>
      <c r="P1719" s="22"/>
      <c r="Q1719" s="22"/>
      <c r="R1719" s="20"/>
      <c r="S1719" s="234">
        <f>COUNTIFS(INP_DATA!$R$5:$R$3027,S$4,INP_DATA!$D$5:$D$3027,$D1719,INP_DATA!$B$5:$B$3027,$B1719)</f>
        <v>0</v>
      </c>
      <c r="T1719" s="235">
        <f>COUNTIFS(INP_DATA!$R$5:$R$3027,T$4,INP_DATA!$D$5:$D$3027,$D1719,INP_DATA!$B$5:$B$3027,$B1719)</f>
        <v>0</v>
      </c>
    </row>
    <row r="1720" spans="1:20" x14ac:dyDescent="0.35">
      <c r="A1720" s="3" t="str">
        <f>IF(D1720="","",(VLOOKUP($D1720,KEY!$B$5:$D$74,3,FALSE)))</f>
        <v/>
      </c>
      <c r="B1720" s="165">
        <f t="shared" si="14"/>
        <v>45778</v>
      </c>
      <c r="C1720" s="57" t="str">
        <f>IF($B1720="","",YEAR($B1720)&amp;"-"&amp;IFERROR(VLOOKUP(MONTH(B1720),KEY!$AE$5:$AF$16,2,FALSE),""))</f>
        <v>2025-Q2</v>
      </c>
      <c r="D1720" s="3"/>
      <c r="E1720" s="219"/>
      <c r="F1720" s="166"/>
      <c r="G1720" s="166"/>
      <c r="H1720" s="21"/>
      <c r="I1720" s="21"/>
      <c r="J1720" s="21"/>
      <c r="K1720" s="21"/>
      <c r="L1720" s="21"/>
      <c r="M1720" s="21"/>
      <c r="N1720" s="21"/>
      <c r="O1720" s="19"/>
      <c r="P1720" s="22"/>
      <c r="Q1720" s="22"/>
      <c r="R1720" s="20"/>
      <c r="S1720" s="234">
        <f>COUNTIFS(INP_DATA!$R$5:$R$3027,S$4,INP_DATA!$D$5:$D$3027,$D1720,INP_DATA!$B$5:$B$3027,$B1720)</f>
        <v>0</v>
      </c>
      <c r="T1720" s="235">
        <f>COUNTIFS(INP_DATA!$R$5:$R$3027,T$4,INP_DATA!$D$5:$D$3027,$D1720,INP_DATA!$B$5:$B$3027,$B1720)</f>
        <v>0</v>
      </c>
    </row>
    <row r="1721" spans="1:20" x14ac:dyDescent="0.35">
      <c r="A1721" s="3" t="str">
        <f>IF(D1721="","",(VLOOKUP($D1721,KEY!$B$5:$D$74,3,FALSE)))</f>
        <v/>
      </c>
      <c r="B1721" s="165">
        <f t="shared" si="14"/>
        <v>45778</v>
      </c>
      <c r="C1721" s="57" t="str">
        <f>IF($B1721="","",YEAR($B1721)&amp;"-"&amp;IFERROR(VLOOKUP(MONTH(B1721),KEY!$AE$5:$AF$16,2,FALSE),""))</f>
        <v>2025-Q2</v>
      </c>
      <c r="D1721" s="3"/>
      <c r="E1721" s="219"/>
      <c r="F1721" s="166"/>
      <c r="G1721" s="166"/>
      <c r="H1721" s="21"/>
      <c r="I1721" s="21"/>
      <c r="J1721" s="21"/>
      <c r="K1721" s="21"/>
      <c r="L1721" s="21"/>
      <c r="M1721" s="21"/>
      <c r="N1721" s="21"/>
      <c r="O1721" s="19"/>
      <c r="P1721" s="22"/>
      <c r="Q1721" s="22"/>
      <c r="R1721" s="20"/>
      <c r="S1721" s="234">
        <f>COUNTIFS(INP_DATA!$R$5:$R$3027,S$4,INP_DATA!$D$5:$D$3027,$D1721,INP_DATA!$B$5:$B$3027,$B1721)</f>
        <v>0</v>
      </c>
      <c r="T1721" s="235">
        <f>COUNTIFS(INP_DATA!$R$5:$R$3027,T$4,INP_DATA!$D$5:$D$3027,$D1721,INP_DATA!$B$5:$B$3027,$B1721)</f>
        <v>0</v>
      </c>
    </row>
    <row r="1722" spans="1:20" x14ac:dyDescent="0.35">
      <c r="A1722" s="3" t="str">
        <f>IF(D1722="","",(VLOOKUP($D1722,KEY!$B$5:$D$74,3,FALSE)))</f>
        <v/>
      </c>
      <c r="B1722" s="426">
        <f t="shared" si="14"/>
        <v>45778</v>
      </c>
      <c r="C1722" s="427" t="str">
        <f>IF($B1722="","",YEAR($B1722)&amp;"-"&amp;IFERROR(VLOOKUP(MONTH(B1722),KEY!$AE$5:$AF$16,2,FALSE),""))</f>
        <v>2025-Q2</v>
      </c>
      <c r="D1722" s="428"/>
      <c r="E1722" s="429"/>
      <c r="F1722" s="430"/>
      <c r="G1722" s="430"/>
      <c r="H1722" s="431"/>
      <c r="I1722" s="431"/>
      <c r="J1722" s="431"/>
      <c r="K1722" s="431"/>
      <c r="L1722" s="431"/>
      <c r="M1722" s="431"/>
      <c r="N1722" s="431"/>
      <c r="O1722" s="432"/>
      <c r="P1722" s="433"/>
      <c r="Q1722" s="433"/>
      <c r="R1722" s="20"/>
      <c r="S1722" s="234">
        <f>COUNTIFS(INP_DATA!$R$5:$R$3027,S$4,INP_DATA!$D$5:$D$3027,$D1722,INP_DATA!$B$5:$B$3027,$B1722)</f>
        <v>0</v>
      </c>
      <c r="T1722" s="235">
        <f>COUNTIFS(INP_DATA!$R$5:$R$3027,T$4,INP_DATA!$D$5:$D$3027,$D1722,INP_DATA!$B$5:$B$3027,$B1722)</f>
        <v>0</v>
      </c>
    </row>
    <row r="1723" spans="1:20" x14ac:dyDescent="0.35">
      <c r="A1723" s="3" t="str">
        <f>IF(D1723="","",(VLOOKUP($D1723,KEY!$B$5:$D$74,3,FALSE)))</f>
        <v>Arizona</v>
      </c>
      <c r="B1723" s="165">
        <f>DATE(YEAR(B1722+31),MONTH(B1722+31),1)</f>
        <v>45809</v>
      </c>
      <c r="C1723" s="57" t="str">
        <f>IF($B1723="","",YEAR($B1723)&amp;"-"&amp;IFERROR(VLOOKUP(MONTH(B1723),KEY!$AE$5:$AF$16,2,FALSE),""))</f>
        <v>2025-Q2</v>
      </c>
      <c r="D1723" s="3" t="s">
        <v>111</v>
      </c>
      <c r="E1723" s="219">
        <v>13</v>
      </c>
      <c r="F1723" s="166">
        <v>53</v>
      </c>
      <c r="G1723" s="166">
        <v>67</v>
      </c>
      <c r="H1723" s="21">
        <v>104</v>
      </c>
      <c r="I1723" s="21">
        <v>13</v>
      </c>
      <c r="J1723" s="21">
        <v>50</v>
      </c>
      <c r="K1723" s="21">
        <v>11</v>
      </c>
      <c r="L1723" s="21">
        <v>72</v>
      </c>
      <c r="M1723" s="21">
        <v>31</v>
      </c>
      <c r="N1723" s="21">
        <v>52</v>
      </c>
      <c r="O1723" s="19">
        <v>176</v>
      </c>
      <c r="P1723" s="22">
        <v>5</v>
      </c>
      <c r="Q1723" s="22">
        <v>4</v>
      </c>
      <c r="R1723" s="20"/>
      <c r="S1723" s="234">
        <f>COUNTIFS(INP_DATA!$R$5:$R$3027,S$4,INP_DATA!$D$5:$D$3027,$D1723,INP_DATA!$B$5:$B$3027,$B1723)</f>
        <v>0</v>
      </c>
      <c r="T1723" s="235">
        <f>COUNTIFS(INP_DATA!$R$5:$R$3027,T$4,INP_DATA!$D$5:$D$3027,$D1723,INP_DATA!$B$5:$B$3027,$B1723)</f>
        <v>0</v>
      </c>
    </row>
    <row r="1724" spans="1:20" x14ac:dyDescent="0.35">
      <c r="A1724" s="3" t="str">
        <f>IF(D1724="","",(VLOOKUP($D1724,KEY!$B$5:$D$74,3,FALSE)))</f>
        <v>Southern California</v>
      </c>
      <c r="B1724" s="165">
        <f t="shared" ref="B1724:B1787" si="15">B1723</f>
        <v>45809</v>
      </c>
      <c r="C1724" s="57" t="str">
        <f>IF($B1724="","",YEAR($B1724)&amp;"-"&amp;IFERROR(VLOOKUP(MONTH(B1724),KEY!$AE$5:$AF$16,2,FALSE),""))</f>
        <v>2025-Q2</v>
      </c>
      <c r="D1724" s="3" t="s">
        <v>112</v>
      </c>
      <c r="E1724" s="219">
        <v>4</v>
      </c>
      <c r="F1724" s="166">
        <v>47</v>
      </c>
      <c r="G1724" s="166">
        <v>28</v>
      </c>
      <c r="H1724" s="21">
        <v>81</v>
      </c>
      <c r="I1724" s="21">
        <v>12</v>
      </c>
      <c r="J1724" s="21">
        <v>40</v>
      </c>
      <c r="K1724" s="21">
        <v>10</v>
      </c>
      <c r="L1724" s="21">
        <v>96</v>
      </c>
      <c r="M1724" s="21">
        <v>36</v>
      </c>
      <c r="N1724" s="21">
        <v>47</v>
      </c>
      <c r="O1724" s="19">
        <v>88</v>
      </c>
      <c r="P1724" s="22">
        <v>2</v>
      </c>
      <c r="Q1724" s="22">
        <v>2</v>
      </c>
      <c r="R1724" s="20"/>
      <c r="S1724" s="234">
        <f>COUNTIFS(INP_DATA!$R$5:$R$3027,S$4,INP_DATA!$D$5:$D$3027,$D1724,INP_DATA!$B$5:$B$3027,$B1724)</f>
        <v>0</v>
      </c>
      <c r="T1724" s="235">
        <f>COUNTIFS(INP_DATA!$R$5:$R$3027,T$4,INP_DATA!$D$5:$D$3027,$D1724,INP_DATA!$B$5:$B$3027,$B1724)</f>
        <v>0</v>
      </c>
    </row>
    <row r="1725" spans="1:20" x14ac:dyDescent="0.35">
      <c r="A1725" s="3" t="str">
        <f>IF(D1725="","",(VLOOKUP($D1725,KEY!$B$5:$D$74,3,FALSE)))</f>
        <v>Arizona</v>
      </c>
      <c r="B1725" s="165">
        <f t="shared" si="15"/>
        <v>45809</v>
      </c>
      <c r="C1725" s="57" t="str">
        <f>IF($B1725="","",YEAR($B1725)&amp;"-"&amp;IFERROR(VLOOKUP(MONTH(B1725),KEY!$AE$5:$AF$16,2,FALSE),""))</f>
        <v>2025-Q2</v>
      </c>
      <c r="D1725" s="3" t="s">
        <v>113</v>
      </c>
      <c r="E1725" s="219">
        <v>7</v>
      </c>
      <c r="F1725" s="166">
        <v>51</v>
      </c>
      <c r="G1725" s="166">
        <v>77</v>
      </c>
      <c r="H1725" s="21">
        <v>111</v>
      </c>
      <c r="I1725" s="21">
        <v>16</v>
      </c>
      <c r="J1725" s="21">
        <v>43</v>
      </c>
      <c r="K1725" s="21">
        <v>13</v>
      </c>
      <c r="L1725" s="21">
        <v>131</v>
      </c>
      <c r="M1725" s="21">
        <v>46</v>
      </c>
      <c r="N1725" s="21">
        <v>55</v>
      </c>
      <c r="O1725" s="19">
        <v>132</v>
      </c>
      <c r="P1725" s="22">
        <v>3</v>
      </c>
      <c r="Q1725" s="22">
        <v>2</v>
      </c>
      <c r="R1725" s="20"/>
      <c r="S1725" s="234">
        <f>COUNTIFS(INP_DATA!$R$5:$R$3027,S$4,INP_DATA!$D$5:$D$3027,$D1725,INP_DATA!$B$5:$B$3027,$B1725)</f>
        <v>0</v>
      </c>
      <c r="T1725" s="235">
        <f>COUNTIFS(INP_DATA!$R$5:$R$3027,T$4,INP_DATA!$D$5:$D$3027,$D1725,INP_DATA!$B$5:$B$3027,$B1725)</f>
        <v>0</v>
      </c>
    </row>
    <row r="1726" spans="1:20" x14ac:dyDescent="0.35">
      <c r="A1726" s="3" t="str">
        <f>IF(D1726="","",(VLOOKUP($D1726,KEY!$B$5:$D$74,3,FALSE)))</f>
        <v>Southern California</v>
      </c>
      <c r="B1726" s="165">
        <f t="shared" si="15"/>
        <v>45809</v>
      </c>
      <c r="C1726" s="57" t="str">
        <f>IF($B1726="","",YEAR($B1726)&amp;"-"&amp;IFERROR(VLOOKUP(MONTH(B1726),KEY!$AE$5:$AF$16,2,FALSE),""))</f>
        <v>2025-Q2</v>
      </c>
      <c r="D1726" s="3" t="s">
        <v>114</v>
      </c>
      <c r="E1726" s="219">
        <v>20</v>
      </c>
      <c r="F1726" s="166">
        <v>50</v>
      </c>
      <c r="G1726" s="166">
        <v>38</v>
      </c>
      <c r="H1726" s="21">
        <v>74</v>
      </c>
      <c r="I1726" s="21">
        <v>13</v>
      </c>
      <c r="J1726" s="21">
        <v>47</v>
      </c>
      <c r="K1726" s="21">
        <v>10</v>
      </c>
      <c r="L1726" s="21">
        <v>78</v>
      </c>
      <c r="M1726" s="21">
        <v>28</v>
      </c>
      <c r="N1726" s="21">
        <v>54</v>
      </c>
      <c r="O1726" s="19">
        <v>88</v>
      </c>
      <c r="P1726" s="22">
        <v>14</v>
      </c>
      <c r="Q1726" s="22">
        <v>10</v>
      </c>
      <c r="R1726" s="20"/>
      <c r="S1726" s="234">
        <f>COUNTIFS(INP_DATA!$R$5:$R$3027,S$4,INP_DATA!$D$5:$D$3027,$D1726,INP_DATA!$B$5:$B$3027,$B1726)</f>
        <v>0</v>
      </c>
      <c r="T1726" s="235">
        <f>COUNTIFS(INP_DATA!$R$5:$R$3027,T$4,INP_DATA!$D$5:$D$3027,$D1726,INP_DATA!$B$5:$B$3027,$B1726)</f>
        <v>0</v>
      </c>
    </row>
    <row r="1727" spans="1:20" x14ac:dyDescent="0.35">
      <c r="A1727" s="3" t="str">
        <f>IF(D1727="","",(VLOOKUP($D1727,KEY!$B$5:$D$74,3,FALSE)))</f>
        <v>Orange County</v>
      </c>
      <c r="B1727" s="165">
        <f t="shared" si="15"/>
        <v>45809</v>
      </c>
      <c r="C1727" s="57" t="str">
        <f>IF($B1727="","",YEAR($B1727)&amp;"-"&amp;IFERROR(VLOOKUP(MONTH(B1727),KEY!$AE$5:$AF$16,2,FALSE),""))</f>
        <v>2025-Q2</v>
      </c>
      <c r="D1727" s="3" t="s">
        <v>115</v>
      </c>
      <c r="E1727" s="219">
        <v>6</v>
      </c>
      <c r="F1727" s="166">
        <v>36</v>
      </c>
      <c r="G1727" s="166">
        <v>39</v>
      </c>
      <c r="H1727" s="21">
        <v>59</v>
      </c>
      <c r="I1727" s="21">
        <v>12</v>
      </c>
      <c r="J1727" s="21">
        <v>21</v>
      </c>
      <c r="K1727" s="21">
        <v>7</v>
      </c>
      <c r="L1727" s="21">
        <v>75</v>
      </c>
      <c r="M1727" s="21">
        <v>30</v>
      </c>
      <c r="N1727" s="21">
        <v>36</v>
      </c>
      <c r="O1727" s="19">
        <v>88</v>
      </c>
      <c r="P1727" s="22">
        <v>15</v>
      </c>
      <c r="Q1727" s="22">
        <v>5</v>
      </c>
      <c r="R1727" s="20"/>
      <c r="S1727" s="234">
        <f>COUNTIFS(INP_DATA!$R$5:$R$3027,S$4,INP_DATA!$D$5:$D$3027,$D1727,INP_DATA!$B$5:$B$3027,$B1727)</f>
        <v>0</v>
      </c>
      <c r="T1727" s="235">
        <f>COUNTIFS(INP_DATA!$R$5:$R$3027,T$4,INP_DATA!$D$5:$D$3027,$D1727,INP_DATA!$B$5:$B$3027,$B1727)</f>
        <v>0</v>
      </c>
    </row>
    <row r="1728" spans="1:20" x14ac:dyDescent="0.35">
      <c r="A1728" s="3" t="str">
        <f>IF(D1728="","",(VLOOKUP($D1728,KEY!$B$5:$D$74,3,FALSE)))</f>
        <v>Arizona</v>
      </c>
      <c r="B1728" s="165">
        <f t="shared" si="15"/>
        <v>45809</v>
      </c>
      <c r="C1728" s="57" t="str">
        <f>IF($B1728="","",YEAR($B1728)&amp;"-"&amp;IFERROR(VLOOKUP(MONTH(B1728),KEY!$AE$5:$AF$16,2,FALSE),""))</f>
        <v>2025-Q2</v>
      </c>
      <c r="D1728" s="3" t="s">
        <v>116</v>
      </c>
      <c r="E1728" s="219">
        <v>23</v>
      </c>
      <c r="F1728" s="166">
        <v>106</v>
      </c>
      <c r="G1728" s="166">
        <v>121</v>
      </c>
      <c r="H1728" s="21">
        <v>227</v>
      </c>
      <c r="I1728" s="21">
        <v>41</v>
      </c>
      <c r="J1728" s="21">
        <v>76</v>
      </c>
      <c r="K1728" s="21">
        <v>15</v>
      </c>
      <c r="L1728" s="21">
        <v>195</v>
      </c>
      <c r="M1728" s="21">
        <v>73</v>
      </c>
      <c r="N1728" s="21">
        <v>114</v>
      </c>
      <c r="O1728" s="19">
        <v>242</v>
      </c>
      <c r="P1728" s="22">
        <v>14</v>
      </c>
      <c r="Q1728" s="22">
        <v>3</v>
      </c>
      <c r="R1728" s="20"/>
      <c r="S1728" s="234">
        <f>COUNTIFS(INP_DATA!$R$5:$R$3027,S$4,INP_DATA!$D$5:$D$3027,$D1728,INP_DATA!$B$5:$B$3027,$B1728)</f>
        <v>0</v>
      </c>
      <c r="T1728" s="235">
        <f>COUNTIFS(INP_DATA!$R$5:$R$3027,T$4,INP_DATA!$D$5:$D$3027,$D1728,INP_DATA!$B$5:$B$3027,$B1728)</f>
        <v>0</v>
      </c>
    </row>
    <row r="1729" spans="1:20" x14ac:dyDescent="0.35">
      <c r="A1729" s="3" t="str">
        <f>IF(D1729="","",(VLOOKUP($D1729,KEY!$B$5:$D$74,3,FALSE)))</f>
        <v>Northern California</v>
      </c>
      <c r="B1729" s="165">
        <f t="shared" si="15"/>
        <v>45809</v>
      </c>
      <c r="C1729" s="57" t="str">
        <f>IF($B1729="","",YEAR($B1729)&amp;"-"&amp;IFERROR(VLOOKUP(MONTH(B1729),KEY!$AE$5:$AF$16,2,FALSE),""))</f>
        <v>2025-Q2</v>
      </c>
      <c r="D1729" s="3" t="s">
        <v>118</v>
      </c>
      <c r="E1729" s="219">
        <v>29</v>
      </c>
      <c r="F1729" s="166">
        <v>142</v>
      </c>
      <c r="G1729" s="166">
        <v>167</v>
      </c>
      <c r="H1729" s="21">
        <v>350</v>
      </c>
      <c r="I1729" s="21">
        <v>41</v>
      </c>
      <c r="J1729" s="21">
        <v>158</v>
      </c>
      <c r="K1729" s="21">
        <v>34</v>
      </c>
      <c r="L1729" s="21">
        <v>300</v>
      </c>
      <c r="M1729" s="21">
        <v>83</v>
      </c>
      <c r="N1729" s="21">
        <v>149</v>
      </c>
      <c r="O1729" s="19">
        <v>308</v>
      </c>
      <c r="P1729" s="22">
        <v>48</v>
      </c>
      <c r="Q1729" s="22">
        <v>28</v>
      </c>
      <c r="R1729" s="20"/>
      <c r="S1729" s="234">
        <f>COUNTIFS(INP_DATA!$R$5:$R$3027,S$4,INP_DATA!$D$5:$D$3027,$D1729,INP_DATA!$B$5:$B$3027,$B1729)</f>
        <v>0</v>
      </c>
      <c r="T1729" s="235">
        <f>COUNTIFS(INP_DATA!$R$5:$R$3027,T$4,INP_DATA!$D$5:$D$3027,$D1729,INP_DATA!$B$5:$B$3027,$B1729)</f>
        <v>0</v>
      </c>
    </row>
    <row r="1730" spans="1:20" x14ac:dyDescent="0.35">
      <c r="A1730" s="3" t="str">
        <f>IF(D1730="","",(VLOOKUP($D1730,KEY!$B$5:$D$74,3,FALSE)))</f>
        <v>Orange County</v>
      </c>
      <c r="B1730" s="165">
        <f t="shared" si="15"/>
        <v>45809</v>
      </c>
      <c r="C1730" s="57" t="str">
        <f>IF($B1730="","",YEAR($B1730)&amp;"-"&amp;IFERROR(VLOOKUP(MONTH(B1730),KEY!$AE$5:$AF$16,2,FALSE),""))</f>
        <v>2025-Q2</v>
      </c>
      <c r="D1730" s="3" t="s">
        <v>117</v>
      </c>
      <c r="E1730" s="219">
        <v>17</v>
      </c>
      <c r="F1730" s="166">
        <v>65</v>
      </c>
      <c r="G1730" s="166">
        <v>74</v>
      </c>
      <c r="H1730" s="21">
        <v>135</v>
      </c>
      <c r="I1730" s="21">
        <v>17</v>
      </c>
      <c r="J1730" s="21">
        <v>65</v>
      </c>
      <c r="K1730" s="21">
        <v>15</v>
      </c>
      <c r="L1730" s="21">
        <v>135</v>
      </c>
      <c r="M1730" s="21">
        <v>60</v>
      </c>
      <c r="N1730" s="21">
        <v>67</v>
      </c>
      <c r="O1730" s="19">
        <v>88</v>
      </c>
      <c r="P1730" s="22">
        <v>21</v>
      </c>
      <c r="Q1730" s="22">
        <v>9</v>
      </c>
      <c r="R1730" s="20"/>
      <c r="S1730" s="234">
        <f>COUNTIFS(INP_DATA!$R$5:$R$3027,S$4,INP_DATA!$D$5:$D$3027,$D1730,INP_DATA!$B$5:$B$3027,$B1730)</f>
        <v>0</v>
      </c>
      <c r="T1730" s="235">
        <f>COUNTIFS(INP_DATA!$R$5:$R$3027,T$4,INP_DATA!$D$5:$D$3027,$D1730,INP_DATA!$B$5:$B$3027,$B1730)</f>
        <v>0</v>
      </c>
    </row>
    <row r="1731" spans="1:20" x14ac:dyDescent="0.35">
      <c r="A1731" s="3" t="str">
        <f>IF(D1731="","",(VLOOKUP($D1731,KEY!$B$5:$D$74,3,FALSE)))</f>
        <v>Arizona</v>
      </c>
      <c r="B1731" s="165">
        <f t="shared" si="15"/>
        <v>45809</v>
      </c>
      <c r="C1731" s="57" t="str">
        <f>IF($B1731="","",YEAR($B1731)&amp;"-"&amp;IFERROR(VLOOKUP(MONTH(B1731),KEY!$AE$5:$AF$16,2,FALSE),""))</f>
        <v>2025-Q2</v>
      </c>
      <c r="D1731" s="3" t="s">
        <v>119</v>
      </c>
      <c r="E1731" s="219">
        <v>9</v>
      </c>
      <c r="F1731" s="166">
        <v>24</v>
      </c>
      <c r="G1731" s="166">
        <v>27</v>
      </c>
      <c r="H1731" s="21">
        <v>22</v>
      </c>
      <c r="I1731" s="21">
        <v>5</v>
      </c>
      <c r="J1731" s="21">
        <v>20</v>
      </c>
      <c r="K1731" s="21">
        <v>6</v>
      </c>
      <c r="L1731" s="21">
        <v>111</v>
      </c>
      <c r="M1731" s="21">
        <v>14</v>
      </c>
      <c r="N1731" s="21">
        <v>23</v>
      </c>
      <c r="O1731" s="19">
        <v>88</v>
      </c>
      <c r="P1731" s="22">
        <v>0</v>
      </c>
      <c r="Q1731" s="22">
        <v>0</v>
      </c>
      <c r="R1731" s="20"/>
      <c r="S1731" s="234">
        <f>COUNTIFS(INP_DATA!$R$5:$R$3027,S$4,INP_DATA!$D$5:$D$3027,$D1731,INP_DATA!$B$5:$B$3027,$B1731)</f>
        <v>0</v>
      </c>
      <c r="T1731" s="235">
        <f>COUNTIFS(INP_DATA!$R$5:$R$3027,T$4,INP_DATA!$D$5:$D$3027,$D1731,INP_DATA!$B$5:$B$3027,$B1731)</f>
        <v>0</v>
      </c>
    </row>
    <row r="1732" spans="1:20" x14ac:dyDescent="0.35">
      <c r="A1732" s="3" t="str">
        <f>IF(D1732="","",(VLOOKUP($D1732,KEY!$B$5:$D$74,3,FALSE)))</f>
        <v/>
      </c>
      <c r="B1732" s="165">
        <f t="shared" si="15"/>
        <v>45809</v>
      </c>
      <c r="C1732" s="57" t="str">
        <f>IF($B1732="","",YEAR($B1732)&amp;"-"&amp;IFERROR(VLOOKUP(MONTH(B1732),KEY!$AE$5:$AF$16,2,FALSE),""))</f>
        <v>2025-Q2</v>
      </c>
      <c r="D1732" s="3"/>
      <c r="E1732" s="219"/>
      <c r="F1732" s="166"/>
      <c r="G1732" s="166"/>
      <c r="H1732" s="21"/>
      <c r="I1732" s="21"/>
      <c r="J1732" s="21"/>
      <c r="K1732" s="21"/>
      <c r="L1732" s="21"/>
      <c r="M1732" s="21"/>
      <c r="N1732" s="21"/>
      <c r="O1732" s="19"/>
      <c r="P1732" s="22"/>
      <c r="Q1732" s="22"/>
      <c r="R1732" s="20"/>
      <c r="S1732" s="234">
        <f>COUNTIFS(INP_DATA!$R$5:$R$3027,S$4,INP_DATA!$D$5:$D$3027,$D1732,INP_DATA!$B$5:$B$3027,$B1732)</f>
        <v>0</v>
      </c>
      <c r="T1732" s="235">
        <f>COUNTIFS(INP_DATA!$R$5:$R$3027,T$4,INP_DATA!$D$5:$D$3027,$D1732,INP_DATA!$B$5:$B$3027,$B1732)</f>
        <v>0</v>
      </c>
    </row>
    <row r="1733" spans="1:20" x14ac:dyDescent="0.35">
      <c r="A1733" s="3" t="str">
        <f>IF(D1733="","",(VLOOKUP($D1733,KEY!$B$5:$D$74,3,FALSE)))</f>
        <v>Arizona</v>
      </c>
      <c r="B1733" s="165">
        <f t="shared" si="15"/>
        <v>45809</v>
      </c>
      <c r="C1733" s="57" t="str">
        <f>IF($B1733="","",YEAR($B1733)&amp;"-"&amp;IFERROR(VLOOKUP(MONTH(B1733),KEY!$AE$5:$AF$16,2,FALSE),""))</f>
        <v>2025-Q2</v>
      </c>
      <c r="D1733" s="3" t="s">
        <v>120</v>
      </c>
      <c r="E1733" s="219">
        <v>57</v>
      </c>
      <c r="F1733" s="166">
        <v>285</v>
      </c>
      <c r="G1733" s="166">
        <v>336</v>
      </c>
      <c r="H1733" s="21">
        <v>576</v>
      </c>
      <c r="I1733" s="21">
        <v>69</v>
      </c>
      <c r="J1733" s="21">
        <v>222</v>
      </c>
      <c r="K1733" s="21">
        <v>45</v>
      </c>
      <c r="L1733" s="21">
        <v>512</v>
      </c>
      <c r="M1733" s="21">
        <v>172</v>
      </c>
      <c r="N1733" s="21">
        <v>288</v>
      </c>
      <c r="O1733" s="19">
        <v>572</v>
      </c>
      <c r="P1733" s="22">
        <v>37</v>
      </c>
      <c r="Q1733" s="22">
        <v>20</v>
      </c>
      <c r="R1733" s="20"/>
      <c r="S1733" s="234">
        <f>COUNTIFS(INP_DATA!$R$5:$R$3027,S$4,INP_DATA!$D$5:$D$3027,$D1733,INP_DATA!$B$5:$B$3027,$B1733)</f>
        <v>0</v>
      </c>
      <c r="T1733" s="235">
        <f>COUNTIFS(INP_DATA!$R$5:$R$3027,T$4,INP_DATA!$D$5:$D$3027,$D1733,INP_DATA!$B$5:$B$3027,$B1733)</f>
        <v>0</v>
      </c>
    </row>
    <row r="1734" spans="1:20" x14ac:dyDescent="0.35">
      <c r="A1734" s="3" t="str">
        <f>IF(D1734="","",(VLOOKUP($D1734,KEY!$B$5:$D$74,3,FALSE)))</f>
        <v>Texas</v>
      </c>
      <c r="B1734" s="165">
        <f t="shared" si="15"/>
        <v>45809</v>
      </c>
      <c r="C1734" s="57" t="str">
        <f>IF($B1734="","",YEAR($B1734)&amp;"-"&amp;IFERROR(VLOOKUP(MONTH(B1734),KEY!$AE$5:$AF$16,2,FALSE),""))</f>
        <v>2025-Q2</v>
      </c>
      <c r="D1734" s="3" t="s">
        <v>121</v>
      </c>
      <c r="E1734" s="219">
        <v>56</v>
      </c>
      <c r="F1734" s="166">
        <v>237</v>
      </c>
      <c r="G1734" s="166">
        <v>263</v>
      </c>
      <c r="H1734" s="21">
        <v>548</v>
      </c>
      <c r="I1734" s="21">
        <v>67</v>
      </c>
      <c r="J1734" s="21">
        <v>213</v>
      </c>
      <c r="K1734" s="21">
        <v>44</v>
      </c>
      <c r="L1734" s="21">
        <v>440</v>
      </c>
      <c r="M1734" s="21">
        <v>146</v>
      </c>
      <c r="N1734" s="21">
        <v>243</v>
      </c>
      <c r="O1734" s="19">
        <v>506</v>
      </c>
      <c r="P1734" s="22">
        <v>27</v>
      </c>
      <c r="Q1734" s="22">
        <v>20</v>
      </c>
      <c r="R1734" s="20"/>
      <c r="S1734" s="234">
        <f>COUNTIFS(INP_DATA!$R$5:$R$3027,S$4,INP_DATA!$D$5:$D$3027,$D1734,INP_DATA!$B$5:$B$3027,$B1734)</f>
        <v>0</v>
      </c>
      <c r="T1734" s="235">
        <f>COUNTIFS(INP_DATA!$R$5:$R$3027,T$4,INP_DATA!$D$5:$D$3027,$D1734,INP_DATA!$B$5:$B$3027,$B1734)</f>
        <v>0</v>
      </c>
    </row>
    <row r="1735" spans="1:20" x14ac:dyDescent="0.35">
      <c r="A1735" s="3" t="str">
        <f>IF(D1735="","",(VLOOKUP($D1735,KEY!$B$5:$D$74,3,FALSE)))</f>
        <v>Michigan &amp; Minnesota</v>
      </c>
      <c r="B1735" s="165">
        <f t="shared" si="15"/>
        <v>45809</v>
      </c>
      <c r="C1735" s="57" t="str">
        <f>IF($B1735="","",YEAR($B1735)&amp;"-"&amp;IFERROR(VLOOKUP(MONTH(B1735),KEY!$AE$5:$AF$16,2,FALSE),""))</f>
        <v>2025-Q2</v>
      </c>
      <c r="D1735" s="3" t="s">
        <v>200</v>
      </c>
      <c r="E1735" s="219">
        <v>5</v>
      </c>
      <c r="F1735" s="166">
        <v>118</v>
      </c>
      <c r="G1735" s="166">
        <v>144</v>
      </c>
      <c r="H1735" s="21">
        <v>309</v>
      </c>
      <c r="I1735" s="21">
        <v>28</v>
      </c>
      <c r="J1735" s="21">
        <v>263</v>
      </c>
      <c r="K1735" s="21">
        <v>23</v>
      </c>
      <c r="L1735" s="21">
        <v>235</v>
      </c>
      <c r="M1735" s="21">
        <v>44</v>
      </c>
      <c r="N1735" s="21">
        <v>118</v>
      </c>
      <c r="O1735" s="19">
        <v>264</v>
      </c>
      <c r="P1735" s="22">
        <v>20</v>
      </c>
      <c r="Q1735" s="22">
        <v>9</v>
      </c>
      <c r="R1735" s="20"/>
      <c r="S1735" s="234">
        <f>COUNTIFS(INP_DATA!$R$5:$R$3027,S$4,INP_DATA!$D$5:$D$3027,$D1735,INP_DATA!$B$5:$B$3027,$B1735)</f>
        <v>0</v>
      </c>
      <c r="T1735" s="235">
        <f>COUNTIFS(INP_DATA!$R$5:$R$3027,T$4,INP_DATA!$D$5:$D$3027,$D1735,INP_DATA!$B$5:$B$3027,$B1735)</f>
        <v>0</v>
      </c>
    </row>
    <row r="1736" spans="1:20" x14ac:dyDescent="0.35">
      <c r="A1736" s="3" t="str">
        <f>IF(D1736="","",(VLOOKUP($D1736,KEY!$B$5:$D$74,3,FALSE)))</f>
        <v>Southern California</v>
      </c>
      <c r="B1736" s="165">
        <f t="shared" si="15"/>
        <v>45809</v>
      </c>
      <c r="C1736" s="57" t="str">
        <f>IF($B1736="","",YEAR($B1736)&amp;"-"&amp;IFERROR(VLOOKUP(MONTH(B1736),KEY!$AE$5:$AF$16,2,FALSE),""))</f>
        <v>2025-Q2</v>
      </c>
      <c r="D1736" s="3" t="s">
        <v>122</v>
      </c>
      <c r="E1736" s="219">
        <v>7</v>
      </c>
      <c r="F1736" s="166">
        <v>60</v>
      </c>
      <c r="G1736" s="166">
        <v>68</v>
      </c>
      <c r="H1736" s="21">
        <v>230</v>
      </c>
      <c r="I1736" s="21">
        <v>29</v>
      </c>
      <c r="J1736" s="21">
        <v>110</v>
      </c>
      <c r="K1736" s="21">
        <v>9</v>
      </c>
      <c r="L1736" s="21">
        <v>105</v>
      </c>
      <c r="M1736" s="21">
        <v>41</v>
      </c>
      <c r="N1736" s="21">
        <v>60</v>
      </c>
      <c r="O1736" s="19">
        <v>220</v>
      </c>
      <c r="P1736" s="22">
        <v>7</v>
      </c>
      <c r="Q1736" s="22">
        <v>2</v>
      </c>
      <c r="R1736" s="20"/>
      <c r="S1736" s="234">
        <f>COUNTIFS(INP_DATA!$R$5:$R$3027,S$4,INP_DATA!$D$5:$D$3027,$D1736,INP_DATA!$B$5:$B$3027,$B1736)</f>
        <v>0</v>
      </c>
      <c r="T1736" s="235">
        <f>COUNTIFS(INP_DATA!$R$5:$R$3027,T$4,INP_DATA!$D$5:$D$3027,$D1736,INP_DATA!$B$5:$B$3027,$B1736)</f>
        <v>0</v>
      </c>
    </row>
    <row r="1737" spans="1:20" x14ac:dyDescent="0.35">
      <c r="A1737" s="3" t="str">
        <f>IF(D1737="","",(VLOOKUP($D1737,KEY!$B$5:$D$74,3,FALSE)))</f>
        <v>Orange County</v>
      </c>
      <c r="B1737" s="165">
        <f t="shared" si="15"/>
        <v>45809</v>
      </c>
      <c r="C1737" s="57" t="str">
        <f>IF($B1737="","",YEAR($B1737)&amp;"-"&amp;IFERROR(VLOOKUP(MONTH(B1737),KEY!$AE$5:$AF$16,2,FALSE),""))</f>
        <v>2025-Q2</v>
      </c>
      <c r="D1737" s="3" t="s">
        <v>123</v>
      </c>
      <c r="E1737" s="219">
        <v>50</v>
      </c>
      <c r="F1737" s="166">
        <v>228</v>
      </c>
      <c r="G1737" s="166">
        <v>261</v>
      </c>
      <c r="H1737" s="21">
        <v>334</v>
      </c>
      <c r="I1737" s="21">
        <v>47</v>
      </c>
      <c r="J1737" s="21">
        <v>250</v>
      </c>
      <c r="K1737" s="21">
        <v>38</v>
      </c>
      <c r="L1737" s="21">
        <v>371</v>
      </c>
      <c r="M1737" s="21">
        <v>144</v>
      </c>
      <c r="N1737" s="21">
        <v>206</v>
      </c>
      <c r="O1737" s="19">
        <v>418</v>
      </c>
      <c r="P1737" s="22">
        <v>14</v>
      </c>
      <c r="Q1737" s="22">
        <v>9</v>
      </c>
      <c r="R1737" s="20"/>
      <c r="S1737" s="234">
        <f>COUNTIFS(INP_DATA!$R$5:$R$3027,S$4,INP_DATA!$D$5:$D$3027,$D1737,INP_DATA!$B$5:$B$3027,$B1737)</f>
        <v>0</v>
      </c>
      <c r="T1737" s="235">
        <f>COUNTIFS(INP_DATA!$R$5:$R$3027,T$4,INP_DATA!$D$5:$D$3027,$D1737,INP_DATA!$B$5:$B$3027,$B1737)</f>
        <v>0</v>
      </c>
    </row>
    <row r="1738" spans="1:20" x14ac:dyDescent="0.35">
      <c r="A1738" s="3" t="str">
        <f>IF(D1738="","",(VLOOKUP($D1738,KEY!$B$5:$D$74,3,FALSE)))</f>
        <v>Southern California</v>
      </c>
      <c r="B1738" s="165">
        <f t="shared" si="15"/>
        <v>45809</v>
      </c>
      <c r="C1738" s="57" t="str">
        <f>IF($B1738="","",YEAR($B1738)&amp;"-"&amp;IFERROR(VLOOKUP(MONTH(B1738),KEY!$AE$5:$AF$16,2,FALSE),""))</f>
        <v>2025-Q2</v>
      </c>
      <c r="D1738" s="3" t="s">
        <v>124</v>
      </c>
      <c r="E1738" s="219">
        <v>45</v>
      </c>
      <c r="F1738" s="166">
        <v>209</v>
      </c>
      <c r="G1738" s="166">
        <v>231</v>
      </c>
      <c r="H1738" s="21">
        <v>208</v>
      </c>
      <c r="I1738" s="21">
        <v>44</v>
      </c>
      <c r="J1738" s="21">
        <v>192</v>
      </c>
      <c r="K1738" s="21">
        <v>44</v>
      </c>
      <c r="L1738" s="21">
        <v>372</v>
      </c>
      <c r="M1738" s="21">
        <v>141</v>
      </c>
      <c r="N1738" s="21">
        <v>209</v>
      </c>
      <c r="O1738" s="19">
        <v>484</v>
      </c>
      <c r="P1738" s="22">
        <v>36</v>
      </c>
      <c r="Q1738" s="22">
        <v>30</v>
      </c>
      <c r="R1738" s="20"/>
      <c r="S1738" s="234">
        <f>COUNTIFS(INP_DATA!$R$5:$R$3027,S$4,INP_DATA!$D$5:$D$3027,$D1738,INP_DATA!$B$5:$B$3027,$B1738)</f>
        <v>0</v>
      </c>
      <c r="T1738" s="235">
        <f>COUNTIFS(INP_DATA!$R$5:$R$3027,T$4,INP_DATA!$D$5:$D$3027,$D1738,INP_DATA!$B$5:$B$3027,$B1738)</f>
        <v>0</v>
      </c>
    </row>
    <row r="1739" spans="1:20" x14ac:dyDescent="0.35">
      <c r="A1739" s="3" t="str">
        <f>IF(D1739="","",(VLOOKUP($D1739,KEY!$B$5:$D$74,3,FALSE)))</f>
        <v>Northern California</v>
      </c>
      <c r="B1739" s="165">
        <f t="shared" si="15"/>
        <v>45809</v>
      </c>
      <c r="C1739" s="57" t="str">
        <f>IF($B1739="","",YEAR($B1739)&amp;"-"&amp;IFERROR(VLOOKUP(MONTH(B1739),KEY!$AE$5:$AF$16,2,FALSE),""))</f>
        <v>2025-Q2</v>
      </c>
      <c r="D1739" s="3" t="s">
        <v>195</v>
      </c>
      <c r="E1739" s="219">
        <v>6</v>
      </c>
      <c r="F1739" s="166">
        <v>46</v>
      </c>
      <c r="G1739" s="166">
        <v>46</v>
      </c>
      <c r="H1739" s="21">
        <v>110</v>
      </c>
      <c r="I1739" s="21">
        <v>13</v>
      </c>
      <c r="J1739" s="21">
        <v>49</v>
      </c>
      <c r="K1739" s="21">
        <v>15</v>
      </c>
      <c r="L1739" s="21">
        <v>109</v>
      </c>
      <c r="M1739" s="21">
        <v>26</v>
      </c>
      <c r="N1739" s="21">
        <v>48</v>
      </c>
      <c r="O1739" s="19">
        <v>132</v>
      </c>
      <c r="P1739" s="22">
        <v>2</v>
      </c>
      <c r="Q1739" s="22">
        <v>2</v>
      </c>
      <c r="R1739" s="20"/>
      <c r="S1739" s="234">
        <f>COUNTIFS(INP_DATA!$R$5:$R$3027,S$4,INP_DATA!$D$5:$D$3027,$D1739,INP_DATA!$B$5:$B$3027,$B1739)</f>
        <v>0</v>
      </c>
      <c r="T1739" s="235">
        <f>COUNTIFS(INP_DATA!$R$5:$R$3027,T$4,INP_DATA!$D$5:$D$3027,$D1739,INP_DATA!$B$5:$B$3027,$B1739)</f>
        <v>0</v>
      </c>
    </row>
    <row r="1740" spans="1:20" x14ac:dyDescent="0.35">
      <c r="A1740" s="3" t="str">
        <f>IF(D1740="","",(VLOOKUP($D1740,KEY!$B$5:$D$74,3,FALSE)))</f>
        <v>Northern California</v>
      </c>
      <c r="B1740" s="165">
        <f t="shared" si="15"/>
        <v>45809</v>
      </c>
      <c r="C1740" s="57" t="str">
        <f>IF($B1740="","",YEAR($B1740)&amp;"-"&amp;IFERROR(VLOOKUP(MONTH(B1740),KEY!$AE$5:$AF$16,2,FALSE),""))</f>
        <v>2025-Q2</v>
      </c>
      <c r="D1740" s="3" t="s">
        <v>125</v>
      </c>
      <c r="E1740" s="219">
        <v>28</v>
      </c>
      <c r="F1740" s="166">
        <v>202</v>
      </c>
      <c r="G1740" s="166">
        <v>249</v>
      </c>
      <c r="H1740" s="21">
        <v>376</v>
      </c>
      <c r="I1740" s="21">
        <v>46</v>
      </c>
      <c r="J1740" s="21">
        <v>101</v>
      </c>
      <c r="K1740" s="21">
        <v>22</v>
      </c>
      <c r="L1740" s="21">
        <v>286</v>
      </c>
      <c r="M1740" s="21">
        <v>80</v>
      </c>
      <c r="N1740" s="21">
        <v>213</v>
      </c>
      <c r="O1740" s="19">
        <v>506</v>
      </c>
      <c r="P1740" s="22">
        <v>10</v>
      </c>
      <c r="Q1740" s="22">
        <v>7</v>
      </c>
      <c r="R1740" s="20"/>
      <c r="S1740" s="234">
        <f>COUNTIFS(INP_DATA!$R$5:$R$3027,S$4,INP_DATA!$D$5:$D$3027,$D1740,INP_DATA!$B$5:$B$3027,$B1740)</f>
        <v>0</v>
      </c>
      <c r="T1740" s="235">
        <f>COUNTIFS(INP_DATA!$R$5:$R$3027,T$4,INP_DATA!$D$5:$D$3027,$D1740,INP_DATA!$B$5:$B$3027,$B1740)</f>
        <v>0</v>
      </c>
    </row>
    <row r="1741" spans="1:20" x14ac:dyDescent="0.35">
      <c r="A1741" s="3" t="str">
        <f>IF(D1741="","",(VLOOKUP($D1741,KEY!$B$5:$D$74,3,FALSE)))</f>
        <v>Orange County</v>
      </c>
      <c r="B1741" s="165">
        <f t="shared" si="15"/>
        <v>45809</v>
      </c>
      <c r="C1741" s="57" t="str">
        <f>IF($B1741="","",YEAR($B1741)&amp;"-"&amp;IFERROR(VLOOKUP(MONTH(B1741),KEY!$AE$5:$AF$16,2,FALSE),""))</f>
        <v>2025-Q2</v>
      </c>
      <c r="D1741" s="3" t="s">
        <v>126</v>
      </c>
      <c r="E1741" s="219">
        <v>81</v>
      </c>
      <c r="F1741" s="166">
        <v>385</v>
      </c>
      <c r="G1741" s="166">
        <v>428</v>
      </c>
      <c r="H1741" s="21">
        <v>645</v>
      </c>
      <c r="I1741" s="21">
        <v>74</v>
      </c>
      <c r="J1741" s="21">
        <v>382</v>
      </c>
      <c r="K1741" s="21">
        <v>90</v>
      </c>
      <c r="L1741" s="21">
        <v>599</v>
      </c>
      <c r="M1741" s="21">
        <v>227</v>
      </c>
      <c r="N1741" s="21">
        <v>388</v>
      </c>
      <c r="O1741" s="19">
        <v>594</v>
      </c>
      <c r="P1741" s="22">
        <v>97</v>
      </c>
      <c r="Q1741" s="22">
        <v>60</v>
      </c>
      <c r="R1741" s="20"/>
      <c r="S1741" s="234">
        <f>COUNTIFS(INP_DATA!$R$5:$R$3027,S$4,INP_DATA!$D$5:$D$3027,$D1741,INP_DATA!$B$5:$B$3027,$B1741)</f>
        <v>0</v>
      </c>
      <c r="T1741" s="235">
        <f>COUNTIFS(INP_DATA!$R$5:$R$3027,T$4,INP_DATA!$D$5:$D$3027,$D1741,INP_DATA!$B$5:$B$3027,$B1741)</f>
        <v>0</v>
      </c>
    </row>
    <row r="1742" spans="1:20" x14ac:dyDescent="0.35">
      <c r="A1742" s="3" t="str">
        <f>IF(D1742="","",(VLOOKUP($D1742,KEY!$B$5:$D$74,3,FALSE)))</f>
        <v>Orange County</v>
      </c>
      <c r="B1742" s="165">
        <f t="shared" si="15"/>
        <v>45809</v>
      </c>
      <c r="C1742" s="57" t="str">
        <f>IF($B1742="","",YEAR($B1742)&amp;"-"&amp;IFERROR(VLOOKUP(MONTH(B1742),KEY!$AE$5:$AF$16,2,FALSE),""))</f>
        <v>2025-Q2</v>
      </c>
      <c r="D1742" s="3" t="s">
        <v>127</v>
      </c>
      <c r="E1742" s="219">
        <v>6</v>
      </c>
      <c r="F1742" s="166">
        <v>34</v>
      </c>
      <c r="G1742" s="166">
        <v>36</v>
      </c>
      <c r="H1742" s="21">
        <v>65</v>
      </c>
      <c r="I1742" s="21">
        <v>7</v>
      </c>
      <c r="J1742" s="21">
        <v>34</v>
      </c>
      <c r="K1742" s="21">
        <v>6</v>
      </c>
      <c r="L1742" s="21">
        <v>48</v>
      </c>
      <c r="M1742" s="21">
        <v>23</v>
      </c>
      <c r="N1742" s="21">
        <v>34</v>
      </c>
      <c r="O1742" s="19">
        <v>77</v>
      </c>
      <c r="P1742" s="22">
        <v>10</v>
      </c>
      <c r="Q1742" s="22">
        <v>6</v>
      </c>
      <c r="R1742" s="20"/>
      <c r="S1742" s="234">
        <f>COUNTIFS(INP_DATA!$R$5:$R$3027,S$4,INP_DATA!$D$5:$D$3027,$D1742,INP_DATA!$B$5:$B$3027,$B1742)</f>
        <v>0</v>
      </c>
      <c r="T1742" s="235">
        <f>COUNTIFS(INP_DATA!$R$5:$R$3027,T$4,INP_DATA!$D$5:$D$3027,$D1742,INP_DATA!$B$5:$B$3027,$B1742)</f>
        <v>0</v>
      </c>
    </row>
    <row r="1743" spans="1:20" x14ac:dyDescent="0.35">
      <c r="A1743" s="3" t="str">
        <f>IF(D1743="","",(VLOOKUP($D1743,KEY!$B$5:$D$74,3,FALSE)))</f>
        <v>Wisconsin</v>
      </c>
      <c r="B1743" s="165">
        <f t="shared" si="15"/>
        <v>45809</v>
      </c>
      <c r="C1743" s="57" t="str">
        <f>IF($B1743="","",YEAR($B1743)&amp;"-"&amp;IFERROR(VLOOKUP(MONTH(B1743),KEY!$AE$5:$AF$16,2,FALSE),""))</f>
        <v>2025-Q2</v>
      </c>
      <c r="D1743" s="3" t="s">
        <v>201</v>
      </c>
      <c r="E1743" s="219">
        <v>17</v>
      </c>
      <c r="F1743" s="166">
        <v>222</v>
      </c>
      <c r="G1743" s="166">
        <v>217</v>
      </c>
      <c r="H1743" s="21">
        <v>303</v>
      </c>
      <c r="I1743" s="21">
        <v>63</v>
      </c>
      <c r="J1743" s="21">
        <v>147</v>
      </c>
      <c r="K1743" s="21">
        <v>27</v>
      </c>
      <c r="L1743" s="21">
        <v>239</v>
      </c>
      <c r="M1743" s="21">
        <v>111</v>
      </c>
      <c r="N1743" s="21">
        <v>224</v>
      </c>
      <c r="O1743" s="19">
        <v>308</v>
      </c>
      <c r="P1743" s="22">
        <v>9</v>
      </c>
      <c r="Q1743" s="22">
        <v>6</v>
      </c>
      <c r="R1743" s="20"/>
      <c r="S1743" s="234">
        <f>COUNTIFS(INP_DATA!$R$5:$R$3027,S$4,INP_DATA!$D$5:$D$3027,$D1743,INP_DATA!$B$5:$B$3027,$B1743)</f>
        <v>0</v>
      </c>
      <c r="T1743" s="235">
        <f>COUNTIFS(INP_DATA!$R$5:$R$3027,T$4,INP_DATA!$D$5:$D$3027,$D1743,INP_DATA!$B$5:$B$3027,$B1743)</f>
        <v>0</v>
      </c>
    </row>
    <row r="1744" spans="1:20" x14ac:dyDescent="0.35">
      <c r="A1744" s="3" t="e">
        <f>IF(D1744="","",(VLOOKUP($D1744,KEY!$B$5:$D$74,3,FALSE)))</f>
        <v>#N/A</v>
      </c>
      <c r="B1744" s="165">
        <f t="shared" si="15"/>
        <v>45809</v>
      </c>
      <c r="C1744" s="57" t="str">
        <f>IF($B1744="","",YEAR($B1744)&amp;"-"&amp;IFERROR(VLOOKUP(MONTH(B1744),KEY!$AE$5:$AF$16,2,FALSE),""))</f>
        <v>2025-Q2</v>
      </c>
      <c r="D1744" s="3" t="s">
        <v>202</v>
      </c>
      <c r="E1744" s="219">
        <v>5</v>
      </c>
      <c r="F1744" s="166">
        <v>29</v>
      </c>
      <c r="G1744" s="166">
        <v>35</v>
      </c>
      <c r="H1744" s="21">
        <v>36</v>
      </c>
      <c r="I1744" s="21">
        <v>3</v>
      </c>
      <c r="J1744" s="21">
        <v>24</v>
      </c>
      <c r="K1744" s="21">
        <v>3</v>
      </c>
      <c r="L1744" s="21">
        <v>29</v>
      </c>
      <c r="M1744" s="21">
        <v>18</v>
      </c>
      <c r="N1744" s="21">
        <v>29</v>
      </c>
      <c r="O1744" s="19">
        <v>66</v>
      </c>
      <c r="P1744" s="22">
        <v>4</v>
      </c>
      <c r="Q1744" s="22">
        <v>2</v>
      </c>
      <c r="R1744" s="20"/>
      <c r="S1744" s="234">
        <f>COUNTIFS(INP_DATA!$R$5:$R$3027,S$4,INP_DATA!$D$5:$D$3027,$D1744,INP_DATA!$B$5:$B$3027,$B1744)</f>
        <v>0</v>
      </c>
      <c r="T1744" s="235">
        <f>COUNTIFS(INP_DATA!$R$5:$R$3027,T$4,INP_DATA!$D$5:$D$3027,$D1744,INP_DATA!$B$5:$B$3027,$B1744)</f>
        <v>0</v>
      </c>
    </row>
    <row r="1745" spans="1:20" x14ac:dyDescent="0.35">
      <c r="A1745" s="3" t="str">
        <f>IF(D1745="","",(VLOOKUP($D1745,KEY!$B$5:$D$74,3,FALSE)))</f>
        <v>Texas</v>
      </c>
      <c r="B1745" s="165">
        <f t="shared" si="15"/>
        <v>45809</v>
      </c>
      <c r="C1745" s="57" t="str">
        <f>IF($B1745="","",YEAR($B1745)&amp;"-"&amp;IFERROR(VLOOKUP(MONTH(B1745),KEY!$AE$5:$AF$16,2,FALSE),""))</f>
        <v>2025-Q2</v>
      </c>
      <c r="D1745" s="3" t="s">
        <v>198</v>
      </c>
      <c r="E1745" s="219">
        <v>3</v>
      </c>
      <c r="F1745" s="166">
        <v>50</v>
      </c>
      <c r="G1745" s="166">
        <v>46</v>
      </c>
      <c r="H1745" s="21">
        <v>165</v>
      </c>
      <c r="I1745" s="21">
        <v>20</v>
      </c>
      <c r="J1745" s="21">
        <v>62</v>
      </c>
      <c r="K1745" s="21">
        <v>10</v>
      </c>
      <c r="L1745" s="21">
        <v>58</v>
      </c>
      <c r="M1745" s="21">
        <v>20</v>
      </c>
      <c r="N1745" s="21">
        <v>51</v>
      </c>
      <c r="O1745" s="19">
        <v>176</v>
      </c>
      <c r="P1745" s="22">
        <v>0</v>
      </c>
      <c r="Q1745" s="22">
        <v>0</v>
      </c>
      <c r="R1745" s="20"/>
      <c r="S1745" s="234">
        <f>COUNTIFS(INP_DATA!$R$5:$R$3027,S$4,INP_DATA!$D$5:$D$3027,$D1745,INP_DATA!$B$5:$B$3027,$B1745)</f>
        <v>0</v>
      </c>
      <c r="T1745" s="235">
        <f>COUNTIFS(INP_DATA!$R$5:$R$3027,T$4,INP_DATA!$D$5:$D$3027,$D1745,INP_DATA!$B$5:$B$3027,$B1745)</f>
        <v>0</v>
      </c>
    </row>
    <row r="1746" spans="1:20" x14ac:dyDescent="0.35">
      <c r="A1746" s="3" t="str">
        <f>IF(D1746="","",(VLOOKUP($D1746,KEY!$B$5:$D$74,3,FALSE)))</f>
        <v>Texas</v>
      </c>
      <c r="B1746" s="165">
        <f t="shared" si="15"/>
        <v>45809</v>
      </c>
      <c r="C1746" s="57" t="str">
        <f>IF($B1746="","",YEAR($B1746)&amp;"-"&amp;IFERROR(VLOOKUP(MONTH(B1746),KEY!$AE$5:$AF$16,2,FALSE),""))</f>
        <v>2025-Q2</v>
      </c>
      <c r="D1746" s="3" t="s">
        <v>128</v>
      </c>
      <c r="E1746" s="219">
        <v>43</v>
      </c>
      <c r="F1746" s="166">
        <v>255</v>
      </c>
      <c r="G1746" s="166">
        <v>225</v>
      </c>
      <c r="H1746" s="21">
        <v>761</v>
      </c>
      <c r="I1746" s="21">
        <v>97</v>
      </c>
      <c r="J1746" s="21">
        <v>203</v>
      </c>
      <c r="K1746" s="21">
        <v>44</v>
      </c>
      <c r="L1746" s="21">
        <v>399</v>
      </c>
      <c r="M1746" s="21">
        <v>123</v>
      </c>
      <c r="N1746" s="21">
        <v>260</v>
      </c>
      <c r="O1746" s="19">
        <v>374</v>
      </c>
      <c r="P1746" s="22">
        <v>5</v>
      </c>
      <c r="Q1746" s="22">
        <v>4</v>
      </c>
      <c r="R1746" s="20"/>
      <c r="S1746" s="234">
        <f>COUNTIFS(INP_DATA!$R$5:$R$3027,S$4,INP_DATA!$D$5:$D$3027,$D1746,INP_DATA!$B$5:$B$3027,$B1746)</f>
        <v>0</v>
      </c>
      <c r="T1746" s="235">
        <f>COUNTIFS(INP_DATA!$R$5:$R$3027,T$4,INP_DATA!$D$5:$D$3027,$D1746,INP_DATA!$B$5:$B$3027,$B1746)</f>
        <v>0</v>
      </c>
    </row>
    <row r="1747" spans="1:20" x14ac:dyDescent="0.35">
      <c r="A1747" s="3" t="str">
        <f>IF(D1747="","",(VLOOKUP($D1747,KEY!$B$5:$D$74,3,FALSE)))</f>
        <v>Northern California</v>
      </c>
      <c r="B1747" s="165">
        <f t="shared" si="15"/>
        <v>45809</v>
      </c>
      <c r="C1747" s="57" t="str">
        <f>IF($B1747="","",YEAR($B1747)&amp;"-"&amp;IFERROR(VLOOKUP(MONTH(B1747),KEY!$AE$5:$AF$16,2,FALSE),""))</f>
        <v>2025-Q2</v>
      </c>
      <c r="D1747" s="3" t="s">
        <v>129</v>
      </c>
      <c r="E1747" s="219">
        <v>37</v>
      </c>
      <c r="F1747" s="166">
        <v>176</v>
      </c>
      <c r="G1747" s="166">
        <v>187</v>
      </c>
      <c r="H1747" s="21">
        <v>199</v>
      </c>
      <c r="I1747" s="21">
        <v>39</v>
      </c>
      <c r="J1747" s="21">
        <v>188</v>
      </c>
      <c r="K1747" s="21">
        <v>45</v>
      </c>
      <c r="L1747" s="21">
        <v>276</v>
      </c>
      <c r="M1747" s="21">
        <v>79</v>
      </c>
      <c r="N1747" s="21">
        <v>178</v>
      </c>
      <c r="O1747" s="19">
        <v>330</v>
      </c>
      <c r="P1747" s="22">
        <v>11</v>
      </c>
      <c r="Q1747" s="22">
        <v>9</v>
      </c>
      <c r="R1747" s="20"/>
      <c r="S1747" s="234">
        <f>COUNTIFS(INP_DATA!$R$5:$R$3027,S$4,INP_DATA!$D$5:$D$3027,$D1747,INP_DATA!$B$5:$B$3027,$B1747)</f>
        <v>0</v>
      </c>
      <c r="T1747" s="235">
        <f>COUNTIFS(INP_DATA!$R$5:$R$3027,T$4,INP_DATA!$D$5:$D$3027,$D1747,INP_DATA!$B$5:$B$3027,$B1747)</f>
        <v>0</v>
      </c>
    </row>
    <row r="1748" spans="1:20" x14ac:dyDescent="0.35">
      <c r="A1748" s="3" t="str">
        <f>IF(D1748="","",(VLOOKUP($D1748,KEY!$B$5:$D$74,3,FALSE)))</f>
        <v>Southern California</v>
      </c>
      <c r="B1748" s="165">
        <f t="shared" si="15"/>
        <v>45809</v>
      </c>
      <c r="C1748" s="57" t="str">
        <f>IF($B1748="","",YEAR($B1748)&amp;"-"&amp;IFERROR(VLOOKUP(MONTH(B1748),KEY!$AE$5:$AF$16,2,FALSE),""))</f>
        <v>2025-Q2</v>
      </c>
      <c r="D1748" s="3" t="s">
        <v>130</v>
      </c>
      <c r="E1748" s="219">
        <v>20</v>
      </c>
      <c r="F1748" s="166">
        <v>173</v>
      </c>
      <c r="G1748" s="166">
        <v>147</v>
      </c>
      <c r="H1748" s="21">
        <v>436</v>
      </c>
      <c r="I1748" s="21">
        <v>44</v>
      </c>
      <c r="J1748" s="21">
        <v>132</v>
      </c>
      <c r="K1748" s="21">
        <v>32</v>
      </c>
      <c r="L1748" s="21">
        <v>226</v>
      </c>
      <c r="M1748" s="21">
        <v>96</v>
      </c>
      <c r="N1748" s="21">
        <v>177</v>
      </c>
      <c r="O1748" s="19">
        <v>286</v>
      </c>
      <c r="P1748" s="22">
        <v>11</v>
      </c>
      <c r="Q1748" s="22">
        <v>8</v>
      </c>
      <c r="R1748" s="20"/>
      <c r="S1748" s="234">
        <f>COUNTIFS(INP_DATA!$R$5:$R$3027,S$4,INP_DATA!$D$5:$D$3027,$D1748,INP_DATA!$B$5:$B$3027,$B1748)</f>
        <v>0</v>
      </c>
      <c r="T1748" s="235">
        <f>COUNTIFS(INP_DATA!$R$5:$R$3027,T$4,INP_DATA!$D$5:$D$3027,$D1748,INP_DATA!$B$5:$B$3027,$B1748)</f>
        <v>0</v>
      </c>
    </row>
    <row r="1749" spans="1:20" x14ac:dyDescent="0.35">
      <c r="A1749" s="3" t="str">
        <f>IF(D1749="","",(VLOOKUP($D1749,KEY!$B$5:$D$74,3,FALSE)))</f>
        <v>Texas</v>
      </c>
      <c r="B1749" s="165">
        <f t="shared" si="15"/>
        <v>45809</v>
      </c>
      <c r="C1749" s="57" t="str">
        <f>IF($B1749="","",YEAR($B1749)&amp;"-"&amp;IFERROR(VLOOKUP(MONTH(B1749),KEY!$AE$5:$AF$16,2,FALSE),""))</f>
        <v>2025-Q2</v>
      </c>
      <c r="D1749" s="3" t="s">
        <v>210</v>
      </c>
      <c r="E1749" s="219">
        <v>0</v>
      </c>
      <c r="F1749" s="166">
        <v>0</v>
      </c>
      <c r="G1749" s="166">
        <v>0</v>
      </c>
      <c r="H1749" s="21">
        <v>434</v>
      </c>
      <c r="I1749" s="21">
        <v>36</v>
      </c>
      <c r="J1749" s="21">
        <v>118</v>
      </c>
      <c r="K1749" s="21">
        <v>16</v>
      </c>
      <c r="L1749" s="21">
        <v>195</v>
      </c>
      <c r="M1749" s="21">
        <v>56</v>
      </c>
      <c r="N1749" s="21">
        <v>128</v>
      </c>
      <c r="O1749" s="19">
        <v>132</v>
      </c>
      <c r="P1749" s="22">
        <v>0</v>
      </c>
      <c r="Q1749" s="22">
        <v>0</v>
      </c>
      <c r="R1749" s="20"/>
      <c r="S1749" s="234">
        <f>COUNTIFS(INP_DATA!$R$5:$R$3027,S$4,INP_DATA!$D$5:$D$3027,$D1749,INP_DATA!$B$5:$B$3027,$B1749)</f>
        <v>0</v>
      </c>
      <c r="T1749" s="235">
        <f>COUNTIFS(INP_DATA!$R$5:$R$3027,T$4,INP_DATA!$D$5:$D$3027,$D1749,INP_DATA!$B$5:$B$3027,$B1749)</f>
        <v>0</v>
      </c>
    </row>
    <row r="1750" spans="1:20" x14ac:dyDescent="0.35">
      <c r="A1750" s="3" t="e">
        <f>IF(D1750="","",(VLOOKUP($D1750,KEY!$B$5:$D$74,3,FALSE)))</f>
        <v>#N/A</v>
      </c>
      <c r="B1750" s="165">
        <f t="shared" si="15"/>
        <v>45809</v>
      </c>
      <c r="C1750" s="57" t="str">
        <f>IF($B1750="","",YEAR($B1750)&amp;"-"&amp;IFERROR(VLOOKUP(MONTH(B1750),KEY!$AE$5:$AF$16,2,FALSE),""))</f>
        <v>2025-Q2</v>
      </c>
      <c r="D1750" s="3" t="s">
        <v>203</v>
      </c>
      <c r="E1750" s="219">
        <v>3</v>
      </c>
      <c r="F1750" s="166">
        <v>90</v>
      </c>
      <c r="G1750" s="166">
        <v>117</v>
      </c>
      <c r="H1750" s="21">
        <v>154</v>
      </c>
      <c r="I1750" s="21">
        <v>23</v>
      </c>
      <c r="J1750" s="21">
        <v>52</v>
      </c>
      <c r="K1750" s="21">
        <v>7</v>
      </c>
      <c r="L1750" s="21">
        <v>73</v>
      </c>
      <c r="M1750" s="21">
        <v>43</v>
      </c>
      <c r="N1750" s="21">
        <v>90</v>
      </c>
      <c r="O1750" s="19">
        <v>176</v>
      </c>
      <c r="P1750" s="22">
        <v>7</v>
      </c>
      <c r="Q1750" s="22">
        <v>3</v>
      </c>
      <c r="R1750" s="20"/>
      <c r="S1750" s="234">
        <f>COUNTIFS(INP_DATA!$R$5:$R$3027,S$4,INP_DATA!$D$5:$D$3027,$D1750,INP_DATA!$B$5:$B$3027,$B1750)</f>
        <v>0</v>
      </c>
      <c r="T1750" s="235">
        <f>COUNTIFS(INP_DATA!$R$5:$R$3027,T$4,INP_DATA!$D$5:$D$3027,$D1750,INP_DATA!$B$5:$B$3027,$B1750)</f>
        <v>0</v>
      </c>
    </row>
    <row r="1751" spans="1:20" x14ac:dyDescent="0.35">
      <c r="A1751" s="3">
        <f>IF(D1751="","",(VLOOKUP($D1751,KEY!$B$5:$D$74,3,FALSE)))</f>
        <v>0</v>
      </c>
      <c r="B1751" s="165">
        <f t="shared" si="15"/>
        <v>45809</v>
      </c>
      <c r="C1751" s="57" t="str">
        <f>IF($B1751="","",YEAR($B1751)&amp;"-"&amp;IFERROR(VLOOKUP(MONTH(B1751),KEY!$AE$5:$AF$16,2,FALSE),""))</f>
        <v>2025-Q2</v>
      </c>
      <c r="D1751" s="3" t="s">
        <v>131</v>
      </c>
      <c r="E1751" s="219">
        <v>61</v>
      </c>
      <c r="F1751" s="166">
        <v>137</v>
      </c>
      <c r="G1751" s="166">
        <v>132</v>
      </c>
      <c r="H1751" s="21">
        <v>164</v>
      </c>
      <c r="I1751" s="21">
        <v>35</v>
      </c>
      <c r="J1751" s="21">
        <v>80</v>
      </c>
      <c r="K1751" s="21">
        <v>16</v>
      </c>
      <c r="L1751" s="21">
        <v>250</v>
      </c>
      <c r="M1751" s="21">
        <v>87</v>
      </c>
      <c r="N1751" s="21">
        <v>144</v>
      </c>
      <c r="O1751" s="19">
        <v>286</v>
      </c>
      <c r="P1751" s="22">
        <v>1</v>
      </c>
      <c r="Q1751" s="22">
        <v>1</v>
      </c>
      <c r="R1751" s="20"/>
      <c r="S1751" s="234">
        <f>COUNTIFS(INP_DATA!$R$5:$R$3027,S$4,INP_DATA!$D$5:$D$3027,$D1751,INP_DATA!$B$5:$B$3027,$B1751)</f>
        <v>0</v>
      </c>
      <c r="T1751" s="235">
        <f>COUNTIFS(INP_DATA!$R$5:$R$3027,T$4,INP_DATA!$D$5:$D$3027,$D1751,INP_DATA!$B$5:$B$3027,$B1751)</f>
        <v>0</v>
      </c>
    </row>
    <row r="1752" spans="1:20" x14ac:dyDescent="0.35">
      <c r="A1752" s="3" t="e">
        <f>IF(D1752="","",(VLOOKUP($D1752,KEY!$B$5:$D$74,3,FALSE)))</f>
        <v>#N/A</v>
      </c>
      <c r="B1752" s="165">
        <f t="shared" si="15"/>
        <v>45809</v>
      </c>
      <c r="C1752" s="57" t="str">
        <f>IF($B1752="","",YEAR($B1752)&amp;"-"&amp;IFERROR(VLOOKUP(MONTH(B1752),KEY!$AE$5:$AF$16,2,FALSE),""))</f>
        <v>2025-Q2</v>
      </c>
      <c r="D1752" s="3" t="s">
        <v>134</v>
      </c>
      <c r="E1752" s="219">
        <v>9</v>
      </c>
      <c r="F1752" s="166">
        <v>35</v>
      </c>
      <c r="G1752" s="166">
        <v>38</v>
      </c>
      <c r="H1752" s="21">
        <v>42</v>
      </c>
      <c r="I1752" s="21">
        <v>7</v>
      </c>
      <c r="J1752" s="21">
        <v>40</v>
      </c>
      <c r="K1752" s="21">
        <v>9</v>
      </c>
      <c r="L1752" s="21">
        <v>51</v>
      </c>
      <c r="M1752" s="21">
        <v>15</v>
      </c>
      <c r="N1752" s="21">
        <v>36</v>
      </c>
      <c r="O1752" s="19">
        <v>110</v>
      </c>
      <c r="P1752" s="22">
        <v>5</v>
      </c>
      <c r="Q1752" s="22">
        <v>4</v>
      </c>
      <c r="R1752" s="20"/>
      <c r="S1752" s="234">
        <f>COUNTIFS(INP_DATA!$R$5:$R$3027,S$4,INP_DATA!$D$5:$D$3027,$D1752,INP_DATA!$B$5:$B$3027,$B1752)</f>
        <v>0</v>
      </c>
      <c r="T1752" s="235">
        <f>COUNTIFS(INP_DATA!$R$5:$R$3027,T$4,INP_DATA!$D$5:$D$3027,$D1752,INP_DATA!$B$5:$B$3027,$B1752)</f>
        <v>0</v>
      </c>
    </row>
    <row r="1753" spans="1:20" x14ac:dyDescent="0.35">
      <c r="A1753" s="3" t="str">
        <f>IF(D1753="","",(VLOOKUP($D1753,KEY!$B$5:$D$74,3,FALSE)))</f>
        <v>Southern California</v>
      </c>
      <c r="B1753" s="165">
        <f t="shared" si="15"/>
        <v>45809</v>
      </c>
      <c r="C1753" s="57" t="str">
        <f>IF($B1753="","",YEAR($B1753)&amp;"-"&amp;IFERROR(VLOOKUP(MONTH(B1753),KEY!$AE$5:$AF$16,2,FALSE),""))</f>
        <v>2025-Q2</v>
      </c>
      <c r="D1753" s="3" t="s">
        <v>135</v>
      </c>
      <c r="E1753" s="219">
        <v>32</v>
      </c>
      <c r="F1753" s="166">
        <v>233</v>
      </c>
      <c r="G1753" s="166">
        <v>230</v>
      </c>
      <c r="H1753" s="21">
        <v>469</v>
      </c>
      <c r="I1753" s="21">
        <v>69</v>
      </c>
      <c r="J1753" s="21">
        <v>272</v>
      </c>
      <c r="K1753" s="21">
        <v>68</v>
      </c>
      <c r="L1753" s="21">
        <v>394</v>
      </c>
      <c r="M1753" s="21">
        <v>105</v>
      </c>
      <c r="N1753" s="21">
        <v>233</v>
      </c>
      <c r="O1753" s="19">
        <v>264</v>
      </c>
      <c r="P1753" s="22">
        <v>6</v>
      </c>
      <c r="Q1753" s="22">
        <v>5</v>
      </c>
      <c r="R1753" s="20"/>
      <c r="S1753" s="234">
        <f>COUNTIFS(INP_DATA!$R$5:$R$3027,S$4,INP_DATA!$D$5:$D$3027,$D1753,INP_DATA!$B$5:$B$3027,$B1753)</f>
        <v>0</v>
      </c>
      <c r="T1753" s="235">
        <f>COUNTIFS(INP_DATA!$R$5:$R$3027,T$4,INP_DATA!$D$5:$D$3027,$D1753,INP_DATA!$B$5:$B$3027,$B1753)</f>
        <v>0</v>
      </c>
    </row>
    <row r="1754" spans="1:20" x14ac:dyDescent="0.35">
      <c r="A1754" s="3" t="str">
        <f>IF(D1754="","",(VLOOKUP($D1754,KEY!$B$5:$D$74,3,FALSE)))</f>
        <v>Arizona</v>
      </c>
      <c r="B1754" s="165">
        <f t="shared" si="15"/>
        <v>45809</v>
      </c>
      <c r="C1754" s="57" t="str">
        <f>IF($B1754="","",YEAR($B1754)&amp;"-"&amp;IFERROR(VLOOKUP(MONTH(B1754),KEY!$AE$5:$AF$16,2,FALSE),""))</f>
        <v>2025-Q2</v>
      </c>
      <c r="D1754" s="3" t="s">
        <v>204</v>
      </c>
      <c r="E1754" s="219">
        <v>1</v>
      </c>
      <c r="F1754" s="166">
        <v>7</v>
      </c>
      <c r="G1754" s="166">
        <v>0</v>
      </c>
      <c r="H1754" s="21">
        <v>8</v>
      </c>
      <c r="I1754" s="21">
        <v>3</v>
      </c>
      <c r="J1754" s="21">
        <v>9</v>
      </c>
      <c r="K1754" s="21">
        <v>2</v>
      </c>
      <c r="L1754" s="21">
        <v>16</v>
      </c>
      <c r="M1754" s="21">
        <v>3</v>
      </c>
      <c r="N1754" s="21">
        <v>7</v>
      </c>
      <c r="O1754" s="19">
        <v>22</v>
      </c>
      <c r="P1754" s="22">
        <v>0</v>
      </c>
      <c r="Q1754" s="22">
        <v>0</v>
      </c>
      <c r="R1754" s="20"/>
      <c r="S1754" s="234">
        <f>COUNTIFS(INP_DATA!$R$5:$R$3027,S$4,INP_DATA!$D$5:$D$3027,$D1754,INP_DATA!$B$5:$B$3027,$B1754)</f>
        <v>0</v>
      </c>
      <c r="T1754" s="235">
        <f>COUNTIFS(INP_DATA!$R$5:$R$3027,T$4,INP_DATA!$D$5:$D$3027,$D1754,INP_DATA!$B$5:$B$3027,$B1754)</f>
        <v>0</v>
      </c>
    </row>
    <row r="1755" spans="1:20" x14ac:dyDescent="0.35">
      <c r="A1755" s="3" t="str">
        <f>IF(D1755="","",(VLOOKUP($D1755,KEY!$B$5:$D$74,3,FALSE)))</f>
        <v>Arizona</v>
      </c>
      <c r="B1755" s="165">
        <f t="shared" si="15"/>
        <v>45809</v>
      </c>
      <c r="C1755" s="57" t="str">
        <f>IF($B1755="","",YEAR($B1755)&amp;"-"&amp;IFERROR(VLOOKUP(MONTH(B1755),KEY!$AE$5:$AF$16,2,FALSE),""))</f>
        <v>2025-Q2</v>
      </c>
      <c r="D1755" s="3" t="s">
        <v>196</v>
      </c>
      <c r="E1755" s="219">
        <v>7</v>
      </c>
      <c r="F1755" s="166">
        <v>30</v>
      </c>
      <c r="G1755" s="166">
        <v>43</v>
      </c>
      <c r="H1755" s="21">
        <v>58</v>
      </c>
      <c r="I1755" s="21">
        <v>8</v>
      </c>
      <c r="J1755" s="21">
        <v>40</v>
      </c>
      <c r="K1755" s="21">
        <v>8</v>
      </c>
      <c r="L1755" s="21">
        <v>92</v>
      </c>
      <c r="M1755" s="21">
        <v>28</v>
      </c>
      <c r="N1755" s="21">
        <v>30</v>
      </c>
      <c r="O1755" s="19">
        <v>132</v>
      </c>
      <c r="P1755" s="22">
        <v>3</v>
      </c>
      <c r="Q1755" s="22">
        <v>2</v>
      </c>
      <c r="R1755" s="20"/>
      <c r="S1755" s="234">
        <f>COUNTIFS(INP_DATA!$R$5:$R$3027,S$4,INP_DATA!$D$5:$D$3027,$D1755,INP_DATA!$B$5:$B$3027,$B1755)</f>
        <v>0</v>
      </c>
      <c r="T1755" s="235">
        <f>COUNTIFS(INP_DATA!$R$5:$R$3027,T$4,INP_DATA!$D$5:$D$3027,$D1755,INP_DATA!$B$5:$B$3027,$B1755)</f>
        <v>0</v>
      </c>
    </row>
    <row r="1756" spans="1:20" x14ac:dyDescent="0.35">
      <c r="A1756" s="3" t="str">
        <f>IF(D1756="","",(VLOOKUP($D1756,KEY!$B$5:$D$74,3,FALSE)))</f>
        <v>Arizona</v>
      </c>
      <c r="B1756" s="165">
        <f t="shared" si="15"/>
        <v>45809</v>
      </c>
      <c r="C1756" s="57" t="str">
        <f>IF($B1756="","",YEAR($B1756)&amp;"-"&amp;IFERROR(VLOOKUP(MONTH(B1756),KEY!$AE$5:$AF$16,2,FALSE),""))</f>
        <v>2025-Q2</v>
      </c>
      <c r="D1756" s="3" t="s">
        <v>197</v>
      </c>
      <c r="E1756" s="219">
        <v>25</v>
      </c>
      <c r="F1756" s="166">
        <v>93</v>
      </c>
      <c r="G1756" s="166">
        <v>79</v>
      </c>
      <c r="H1756" s="21">
        <v>106</v>
      </c>
      <c r="I1756" s="21">
        <v>20</v>
      </c>
      <c r="J1756" s="21">
        <v>67</v>
      </c>
      <c r="K1756" s="21">
        <v>20</v>
      </c>
      <c r="L1756" s="21">
        <v>177</v>
      </c>
      <c r="M1756" s="21">
        <v>75</v>
      </c>
      <c r="N1756" s="21">
        <v>101</v>
      </c>
      <c r="O1756" s="19">
        <v>264</v>
      </c>
      <c r="P1756" s="22">
        <v>5</v>
      </c>
      <c r="Q1756" s="22">
        <v>4</v>
      </c>
      <c r="R1756" s="20"/>
      <c r="S1756" s="234">
        <f>COUNTIFS(INP_DATA!$R$5:$R$3027,S$4,INP_DATA!$D$5:$D$3027,$D1756,INP_DATA!$B$5:$B$3027,$B1756)</f>
        <v>0</v>
      </c>
      <c r="T1756" s="235">
        <f>COUNTIFS(INP_DATA!$R$5:$R$3027,T$4,INP_DATA!$D$5:$D$3027,$D1756,INP_DATA!$B$5:$B$3027,$B1756)</f>
        <v>0</v>
      </c>
    </row>
    <row r="1757" spans="1:20" x14ac:dyDescent="0.35">
      <c r="A1757" s="3" t="str">
        <f>IF(D1757="","",(VLOOKUP($D1757,KEY!$B$5:$D$74,3,FALSE)))</f>
        <v>Texas</v>
      </c>
      <c r="B1757" s="165">
        <f t="shared" si="15"/>
        <v>45809</v>
      </c>
      <c r="C1757" s="57" t="str">
        <f>IF($B1757="","",YEAR($B1757)&amp;"-"&amp;IFERROR(VLOOKUP(MONTH(B1757),KEY!$AE$5:$AF$16,2,FALSE),""))</f>
        <v>2025-Q2</v>
      </c>
      <c r="D1757" s="3" t="s">
        <v>136</v>
      </c>
      <c r="E1757" s="219">
        <v>34</v>
      </c>
      <c r="F1757" s="166">
        <v>249</v>
      </c>
      <c r="G1757" s="166">
        <v>256</v>
      </c>
      <c r="H1757" s="21">
        <v>485</v>
      </c>
      <c r="I1757" s="21">
        <v>79</v>
      </c>
      <c r="J1757" s="21">
        <v>368</v>
      </c>
      <c r="K1757" s="21">
        <v>33</v>
      </c>
      <c r="L1757" s="21">
        <v>441</v>
      </c>
      <c r="M1757" s="21">
        <v>179</v>
      </c>
      <c r="N1757" s="21">
        <v>255</v>
      </c>
      <c r="O1757" s="19">
        <v>330</v>
      </c>
      <c r="P1757" s="22">
        <v>14</v>
      </c>
      <c r="Q1757" s="22">
        <v>12</v>
      </c>
      <c r="R1757" s="20"/>
      <c r="S1757" s="234">
        <f>COUNTIFS(INP_DATA!$R$5:$R$3027,S$4,INP_DATA!$D$5:$D$3027,$D1757,INP_DATA!$B$5:$B$3027,$B1757)</f>
        <v>0</v>
      </c>
      <c r="T1757" s="235">
        <f>COUNTIFS(INP_DATA!$R$5:$R$3027,T$4,INP_DATA!$D$5:$D$3027,$D1757,INP_DATA!$B$5:$B$3027,$B1757)</f>
        <v>0</v>
      </c>
    </row>
    <row r="1758" spans="1:20" x14ac:dyDescent="0.35">
      <c r="A1758" s="3" t="str">
        <f>IF(D1758="","",(VLOOKUP($D1758,KEY!$B$5:$D$74,3,FALSE)))</f>
        <v>Arizona</v>
      </c>
      <c r="B1758" s="165">
        <f t="shared" si="15"/>
        <v>45809</v>
      </c>
      <c r="C1758" s="57" t="str">
        <f>IF($B1758="","",YEAR($B1758)&amp;"-"&amp;IFERROR(VLOOKUP(MONTH(B1758),KEY!$AE$5:$AF$16,2,FALSE),""))</f>
        <v>2025-Q2</v>
      </c>
      <c r="D1758" s="3" t="s">
        <v>137</v>
      </c>
      <c r="E1758" s="219">
        <v>11</v>
      </c>
      <c r="F1758" s="166">
        <v>91</v>
      </c>
      <c r="G1758" s="166">
        <v>79</v>
      </c>
      <c r="H1758" s="21">
        <v>198</v>
      </c>
      <c r="I1758" s="21">
        <v>27</v>
      </c>
      <c r="J1758" s="21">
        <v>98</v>
      </c>
      <c r="K1758" s="21">
        <v>12</v>
      </c>
      <c r="L1758" s="21">
        <v>127</v>
      </c>
      <c r="M1758" s="21">
        <v>60</v>
      </c>
      <c r="N1758" s="21">
        <v>100</v>
      </c>
      <c r="O1758" s="19">
        <v>132</v>
      </c>
      <c r="P1758" s="22">
        <v>6</v>
      </c>
      <c r="Q1758" s="22">
        <v>3</v>
      </c>
      <c r="R1758" s="20"/>
      <c r="S1758" s="234">
        <f>COUNTIFS(INP_DATA!$R$5:$R$3027,S$4,INP_DATA!$D$5:$D$3027,$D1758,INP_DATA!$B$5:$B$3027,$B1758)</f>
        <v>0</v>
      </c>
      <c r="T1758" s="235">
        <f>COUNTIFS(INP_DATA!$R$5:$R$3027,T$4,INP_DATA!$D$5:$D$3027,$D1758,INP_DATA!$B$5:$B$3027,$B1758)</f>
        <v>0</v>
      </c>
    </row>
    <row r="1759" spans="1:20" x14ac:dyDescent="0.35">
      <c r="A1759" s="3" t="str">
        <f>IF(D1759="","",(VLOOKUP($D1759,KEY!$B$5:$D$74,3,FALSE)))</f>
        <v>Texas</v>
      </c>
      <c r="B1759" s="165">
        <f t="shared" si="15"/>
        <v>45809</v>
      </c>
      <c r="C1759" s="57" t="str">
        <f>IF($B1759="","",YEAR($B1759)&amp;"-"&amp;IFERROR(VLOOKUP(MONTH(B1759),KEY!$AE$5:$AF$16,2,FALSE),""))</f>
        <v>2025-Q2</v>
      </c>
      <c r="D1759" s="3" t="s">
        <v>138</v>
      </c>
      <c r="E1759" s="219">
        <v>32</v>
      </c>
      <c r="F1759" s="166">
        <v>111</v>
      </c>
      <c r="G1759" s="166">
        <v>150</v>
      </c>
      <c r="H1759" s="21">
        <v>143</v>
      </c>
      <c r="I1759" s="21">
        <v>26</v>
      </c>
      <c r="J1759" s="21">
        <v>101</v>
      </c>
      <c r="K1759" s="21">
        <v>26</v>
      </c>
      <c r="L1759" s="21">
        <v>197</v>
      </c>
      <c r="M1759" s="21">
        <v>76</v>
      </c>
      <c r="N1759" s="21">
        <v>113</v>
      </c>
      <c r="O1759" s="19">
        <v>220</v>
      </c>
      <c r="P1759" s="22">
        <v>18</v>
      </c>
      <c r="Q1759" s="22">
        <v>12</v>
      </c>
      <c r="R1759" s="20"/>
      <c r="S1759" s="234">
        <f>COUNTIFS(INP_DATA!$R$5:$R$3027,S$4,INP_DATA!$D$5:$D$3027,$D1759,INP_DATA!$B$5:$B$3027,$B1759)</f>
        <v>0</v>
      </c>
      <c r="T1759" s="235">
        <f>COUNTIFS(INP_DATA!$R$5:$R$3027,T$4,INP_DATA!$D$5:$D$3027,$D1759,INP_DATA!$B$5:$B$3027,$B1759)</f>
        <v>0</v>
      </c>
    </row>
    <row r="1760" spans="1:20" x14ac:dyDescent="0.35">
      <c r="A1760" s="3" t="str">
        <f>IF(D1760="","",(VLOOKUP($D1760,KEY!$B$5:$D$74,3,FALSE)))</f>
        <v>Southern California</v>
      </c>
      <c r="B1760" s="165">
        <f t="shared" si="15"/>
        <v>45809</v>
      </c>
      <c r="C1760" s="57" t="str">
        <f>IF($B1760="","",YEAR($B1760)&amp;"-"&amp;IFERROR(VLOOKUP(MONTH(B1760),KEY!$AE$5:$AF$16,2,FALSE),""))</f>
        <v>2025-Q2</v>
      </c>
      <c r="D1760" s="3" t="s">
        <v>139</v>
      </c>
      <c r="E1760" s="219">
        <v>37</v>
      </c>
      <c r="F1760" s="166">
        <v>209</v>
      </c>
      <c r="G1760" s="166">
        <v>183</v>
      </c>
      <c r="H1760" s="21">
        <v>235</v>
      </c>
      <c r="I1760" s="21">
        <v>47</v>
      </c>
      <c r="J1760" s="21">
        <v>121</v>
      </c>
      <c r="K1760" s="21">
        <v>38</v>
      </c>
      <c r="L1760" s="21">
        <v>448</v>
      </c>
      <c r="M1760" s="21">
        <v>143</v>
      </c>
      <c r="N1760" s="21">
        <v>211</v>
      </c>
      <c r="O1760" s="19">
        <v>264</v>
      </c>
      <c r="P1760" s="22">
        <v>19</v>
      </c>
      <c r="Q1760" s="22">
        <v>17</v>
      </c>
      <c r="R1760" s="20"/>
      <c r="S1760" s="234">
        <f>COUNTIFS(INP_DATA!$R$5:$R$3027,S$4,INP_DATA!$D$5:$D$3027,$D1760,INP_DATA!$B$5:$B$3027,$B1760)</f>
        <v>0</v>
      </c>
      <c r="T1760" s="235">
        <f>COUNTIFS(INP_DATA!$R$5:$R$3027,T$4,INP_DATA!$D$5:$D$3027,$D1760,INP_DATA!$B$5:$B$3027,$B1760)</f>
        <v>0</v>
      </c>
    </row>
    <row r="1761" spans="1:20" x14ac:dyDescent="0.35">
      <c r="A1761" s="3" t="str">
        <f>IF(D1761="","",(VLOOKUP($D1761,KEY!$B$5:$D$74,3,FALSE)))</f>
        <v>Orange County</v>
      </c>
      <c r="B1761" s="165">
        <f t="shared" si="15"/>
        <v>45809</v>
      </c>
      <c r="C1761" s="57" t="str">
        <f>IF($B1761="","",YEAR($B1761)&amp;"-"&amp;IFERROR(VLOOKUP(MONTH(B1761),KEY!$AE$5:$AF$16,2,FALSE),""))</f>
        <v>2025-Q2</v>
      </c>
      <c r="D1761" s="3" t="s">
        <v>140</v>
      </c>
      <c r="E1761" s="219">
        <v>8</v>
      </c>
      <c r="F1761" s="166">
        <v>37</v>
      </c>
      <c r="G1761" s="166">
        <v>26</v>
      </c>
      <c r="H1761" s="21">
        <v>78</v>
      </c>
      <c r="I1761" s="21">
        <v>15</v>
      </c>
      <c r="J1761" s="21">
        <v>45</v>
      </c>
      <c r="K1761" s="21">
        <v>12</v>
      </c>
      <c r="L1761" s="21">
        <v>85</v>
      </c>
      <c r="M1761" s="21">
        <v>32</v>
      </c>
      <c r="N1761" s="21">
        <v>38</v>
      </c>
      <c r="O1761" s="19">
        <v>88</v>
      </c>
      <c r="P1761" s="22">
        <v>4</v>
      </c>
      <c r="Q1761" s="22">
        <v>4</v>
      </c>
      <c r="R1761" s="20"/>
      <c r="S1761" s="234">
        <f>COUNTIFS(INP_DATA!$R$5:$R$3027,S$4,INP_DATA!$D$5:$D$3027,$D1761,INP_DATA!$B$5:$B$3027,$B1761)</f>
        <v>0</v>
      </c>
      <c r="T1761" s="235">
        <f>COUNTIFS(INP_DATA!$R$5:$R$3027,T$4,INP_DATA!$D$5:$D$3027,$D1761,INP_DATA!$B$5:$B$3027,$B1761)</f>
        <v>0</v>
      </c>
    </row>
    <row r="1762" spans="1:20" x14ac:dyDescent="0.35">
      <c r="A1762" s="3" t="str">
        <f>IF(D1762="","",(VLOOKUP($D1762,KEY!$B$5:$D$74,3,FALSE)))</f>
        <v>Southern California</v>
      </c>
      <c r="B1762" s="165">
        <f t="shared" si="15"/>
        <v>45809</v>
      </c>
      <c r="C1762" s="57" t="str">
        <f>IF($B1762="","",YEAR($B1762)&amp;"-"&amp;IFERROR(VLOOKUP(MONTH(B1762),KEY!$AE$5:$AF$16,2,FALSE),""))</f>
        <v>2025-Q2</v>
      </c>
      <c r="D1762" s="3" t="s">
        <v>142</v>
      </c>
      <c r="E1762" s="219">
        <v>15</v>
      </c>
      <c r="F1762" s="166">
        <v>81</v>
      </c>
      <c r="G1762" s="166">
        <v>121</v>
      </c>
      <c r="H1762" s="21">
        <v>137</v>
      </c>
      <c r="I1762" s="21">
        <v>21</v>
      </c>
      <c r="J1762" s="21">
        <v>46</v>
      </c>
      <c r="K1762" s="21">
        <v>12</v>
      </c>
      <c r="L1762" s="21">
        <v>124</v>
      </c>
      <c r="M1762" s="21">
        <v>56</v>
      </c>
      <c r="N1762" s="21">
        <v>81</v>
      </c>
      <c r="O1762" s="19">
        <v>110</v>
      </c>
      <c r="P1762" s="22">
        <v>14</v>
      </c>
      <c r="Q1762" s="22">
        <v>8</v>
      </c>
      <c r="R1762" s="20"/>
      <c r="S1762" s="234">
        <f>COUNTIFS(INP_DATA!$R$5:$R$3027,S$4,INP_DATA!$D$5:$D$3027,$D1762,INP_DATA!$B$5:$B$3027,$B1762)</f>
        <v>0</v>
      </c>
      <c r="T1762" s="235">
        <f>COUNTIFS(INP_DATA!$R$5:$R$3027,T$4,INP_DATA!$D$5:$D$3027,$D1762,INP_DATA!$B$5:$B$3027,$B1762)</f>
        <v>0</v>
      </c>
    </row>
    <row r="1763" spans="1:20" x14ac:dyDescent="0.35">
      <c r="A1763" s="3" t="str">
        <f>IF(D1763="","",(VLOOKUP($D1763,KEY!$B$5:$D$74,3,FALSE)))</f>
        <v>Arizona</v>
      </c>
      <c r="B1763" s="165">
        <f t="shared" si="15"/>
        <v>45809</v>
      </c>
      <c r="C1763" s="57" t="str">
        <f>IF($B1763="","",YEAR($B1763)&amp;"-"&amp;IFERROR(VLOOKUP(MONTH(B1763),KEY!$AE$5:$AF$16,2,FALSE),""))</f>
        <v>2025-Q2</v>
      </c>
      <c r="D1763" s="3" t="s">
        <v>143</v>
      </c>
      <c r="E1763" s="219">
        <v>14</v>
      </c>
      <c r="F1763" s="166">
        <v>78</v>
      </c>
      <c r="G1763" s="166">
        <v>61</v>
      </c>
      <c r="H1763" s="21">
        <v>160</v>
      </c>
      <c r="I1763" s="21">
        <v>21</v>
      </c>
      <c r="J1763" s="21">
        <v>76</v>
      </c>
      <c r="K1763" s="21">
        <v>17</v>
      </c>
      <c r="L1763" s="21">
        <v>119</v>
      </c>
      <c r="M1763" s="21">
        <v>45</v>
      </c>
      <c r="N1763" s="21">
        <v>79</v>
      </c>
      <c r="O1763" s="19">
        <v>176</v>
      </c>
      <c r="P1763" s="22">
        <v>2</v>
      </c>
      <c r="Q1763" s="22">
        <v>2</v>
      </c>
      <c r="R1763" s="20"/>
      <c r="S1763" s="234">
        <f>COUNTIFS(INP_DATA!$R$5:$R$3027,S$4,INP_DATA!$D$5:$D$3027,$D1763,INP_DATA!$B$5:$B$3027,$B1763)</f>
        <v>0</v>
      </c>
      <c r="T1763" s="235">
        <f>COUNTIFS(INP_DATA!$R$5:$R$3027,T$4,INP_DATA!$D$5:$D$3027,$D1763,INP_DATA!$B$5:$B$3027,$B1763)</f>
        <v>0</v>
      </c>
    </row>
    <row r="1764" spans="1:20" x14ac:dyDescent="0.35">
      <c r="A1764" s="3" t="str">
        <f>IF(D1764="","",(VLOOKUP($D1764,KEY!$B$5:$D$74,3,FALSE)))</f>
        <v>Arizona</v>
      </c>
      <c r="B1764" s="165">
        <f t="shared" si="15"/>
        <v>45809</v>
      </c>
      <c r="C1764" s="57" t="str">
        <f>IF($B1764="","",YEAR($B1764)&amp;"-"&amp;IFERROR(VLOOKUP(MONTH(B1764),KEY!$AE$5:$AF$16,2,FALSE),""))</f>
        <v>2025-Q2</v>
      </c>
      <c r="D1764" s="3" t="s">
        <v>144</v>
      </c>
      <c r="E1764" s="219">
        <v>44</v>
      </c>
      <c r="F1764" s="166">
        <v>206</v>
      </c>
      <c r="G1764" s="166">
        <v>184</v>
      </c>
      <c r="H1764" s="21">
        <v>188</v>
      </c>
      <c r="I1764" s="21">
        <v>52</v>
      </c>
      <c r="J1764" s="21">
        <v>153</v>
      </c>
      <c r="K1764" s="21">
        <v>32</v>
      </c>
      <c r="L1764" s="21">
        <v>358</v>
      </c>
      <c r="M1764" s="21">
        <v>116</v>
      </c>
      <c r="N1764" s="21">
        <v>211</v>
      </c>
      <c r="O1764" s="19">
        <v>440</v>
      </c>
      <c r="P1764" s="22">
        <v>0</v>
      </c>
      <c r="Q1764" s="22">
        <v>0</v>
      </c>
      <c r="R1764" s="20"/>
      <c r="S1764" s="234">
        <f>COUNTIFS(INP_DATA!$R$5:$R$3027,S$4,INP_DATA!$D$5:$D$3027,$D1764,INP_DATA!$B$5:$B$3027,$B1764)</f>
        <v>0</v>
      </c>
      <c r="T1764" s="235">
        <f>COUNTIFS(INP_DATA!$R$5:$R$3027,T$4,INP_DATA!$D$5:$D$3027,$D1764,INP_DATA!$B$5:$B$3027,$B1764)</f>
        <v>0</v>
      </c>
    </row>
    <row r="1765" spans="1:20" x14ac:dyDescent="0.35">
      <c r="A1765" s="3" t="str">
        <f>IF(D1765="","",(VLOOKUP($D1765,KEY!$B$5:$D$74,3,FALSE)))</f>
        <v>Southern California</v>
      </c>
      <c r="B1765" s="165">
        <f t="shared" si="15"/>
        <v>45809</v>
      </c>
      <c r="C1765" s="57" t="str">
        <f>IF($B1765="","",YEAR($B1765)&amp;"-"&amp;IFERROR(VLOOKUP(MONTH(B1765),KEY!$AE$5:$AF$16,2,FALSE),""))</f>
        <v>2025-Q2</v>
      </c>
      <c r="D1765" s="3" t="s">
        <v>145</v>
      </c>
      <c r="E1765" s="219">
        <v>40</v>
      </c>
      <c r="F1765" s="166">
        <v>186</v>
      </c>
      <c r="G1765" s="166">
        <v>165</v>
      </c>
      <c r="H1765" s="21">
        <v>249</v>
      </c>
      <c r="I1765" s="21">
        <v>36</v>
      </c>
      <c r="J1765" s="21">
        <v>201</v>
      </c>
      <c r="K1765" s="21">
        <v>54</v>
      </c>
      <c r="L1765" s="21">
        <v>394</v>
      </c>
      <c r="M1765" s="21">
        <v>90</v>
      </c>
      <c r="N1765" s="21">
        <v>191</v>
      </c>
      <c r="O1765" s="19">
        <v>374</v>
      </c>
      <c r="P1765" s="22">
        <v>39</v>
      </c>
      <c r="Q1765" s="22">
        <v>25</v>
      </c>
      <c r="R1765" s="20"/>
      <c r="S1765" s="234">
        <f>COUNTIFS(INP_DATA!$R$5:$R$3027,S$4,INP_DATA!$D$5:$D$3027,$D1765,INP_DATA!$B$5:$B$3027,$B1765)</f>
        <v>0</v>
      </c>
      <c r="T1765" s="235">
        <f>COUNTIFS(INP_DATA!$R$5:$R$3027,T$4,INP_DATA!$D$5:$D$3027,$D1765,INP_DATA!$B$5:$B$3027,$B1765)</f>
        <v>0</v>
      </c>
    </row>
    <row r="1766" spans="1:20" x14ac:dyDescent="0.35">
      <c r="A1766" s="3" t="str">
        <f>IF(D1766="","",(VLOOKUP($D1766,KEY!$B$5:$D$74,3,FALSE)))</f>
        <v>Arizona</v>
      </c>
      <c r="B1766" s="165">
        <f t="shared" si="15"/>
        <v>45809</v>
      </c>
      <c r="C1766" s="57" t="str">
        <f>IF($B1766="","",YEAR($B1766)&amp;"-"&amp;IFERROR(VLOOKUP(MONTH(B1766),KEY!$AE$5:$AF$16,2,FALSE),""))</f>
        <v>2025-Q2</v>
      </c>
      <c r="D1766" s="3" t="s">
        <v>146</v>
      </c>
      <c r="E1766" s="219">
        <v>6</v>
      </c>
      <c r="F1766" s="166">
        <v>32</v>
      </c>
      <c r="G1766" s="166">
        <v>29</v>
      </c>
      <c r="H1766" s="21">
        <v>69</v>
      </c>
      <c r="I1766" s="21">
        <v>8</v>
      </c>
      <c r="J1766" s="21">
        <v>39</v>
      </c>
      <c r="K1766" s="21">
        <v>6</v>
      </c>
      <c r="L1766" s="21">
        <v>64</v>
      </c>
      <c r="M1766" s="21">
        <v>28</v>
      </c>
      <c r="N1766" s="21">
        <v>32</v>
      </c>
      <c r="O1766" s="19">
        <v>88</v>
      </c>
      <c r="P1766" s="22">
        <v>1</v>
      </c>
      <c r="Q1766" s="22">
        <v>1</v>
      </c>
      <c r="R1766" s="20"/>
      <c r="S1766" s="234">
        <f>COUNTIFS(INP_DATA!$R$5:$R$3027,S$4,INP_DATA!$D$5:$D$3027,$D1766,INP_DATA!$B$5:$B$3027,$B1766)</f>
        <v>0</v>
      </c>
      <c r="T1766" s="235">
        <f>COUNTIFS(INP_DATA!$R$5:$R$3027,T$4,INP_DATA!$D$5:$D$3027,$D1766,INP_DATA!$B$5:$B$3027,$B1766)</f>
        <v>0</v>
      </c>
    </row>
    <row r="1767" spans="1:20" x14ac:dyDescent="0.35">
      <c r="A1767" s="3" t="str">
        <f>IF(D1767="","",(VLOOKUP($D1767,KEY!$B$5:$D$74,3,FALSE)))</f>
        <v>Texas</v>
      </c>
      <c r="B1767" s="165">
        <f t="shared" si="15"/>
        <v>45809</v>
      </c>
      <c r="C1767" s="57" t="str">
        <f>IF($B1767="","",YEAR($B1767)&amp;"-"&amp;IFERROR(VLOOKUP(MONTH(B1767),KEY!$AE$5:$AF$16,2,FALSE),""))</f>
        <v>2025-Q2</v>
      </c>
      <c r="D1767" s="3" t="s">
        <v>147</v>
      </c>
      <c r="E1767" s="219">
        <v>4</v>
      </c>
      <c r="F1767" s="166">
        <v>38</v>
      </c>
      <c r="G1767" s="166">
        <v>58</v>
      </c>
      <c r="H1767" s="21">
        <v>83</v>
      </c>
      <c r="I1767" s="21">
        <v>13</v>
      </c>
      <c r="J1767" s="21">
        <v>26</v>
      </c>
      <c r="K1767" s="21">
        <v>4</v>
      </c>
      <c r="L1767" s="21">
        <v>58</v>
      </c>
      <c r="M1767" s="21">
        <v>28</v>
      </c>
      <c r="N1767" s="21">
        <v>36</v>
      </c>
      <c r="O1767" s="19">
        <v>88</v>
      </c>
      <c r="P1767" s="22">
        <v>2</v>
      </c>
      <c r="Q1767" s="22">
        <v>1</v>
      </c>
      <c r="R1767" s="20"/>
      <c r="S1767" s="234">
        <f>COUNTIFS(INP_DATA!$R$5:$R$3027,S$4,INP_DATA!$D$5:$D$3027,$D1767,INP_DATA!$B$5:$B$3027,$B1767)</f>
        <v>0</v>
      </c>
      <c r="T1767" s="235">
        <f>COUNTIFS(INP_DATA!$R$5:$R$3027,T$4,INP_DATA!$D$5:$D$3027,$D1767,INP_DATA!$B$5:$B$3027,$B1767)</f>
        <v>0</v>
      </c>
    </row>
    <row r="1768" spans="1:20" x14ac:dyDescent="0.35">
      <c r="A1768" s="3" t="str">
        <f>IF(D1768="","",(VLOOKUP($D1768,KEY!$B$5:$D$74,3,FALSE)))</f>
        <v>Northern California</v>
      </c>
      <c r="B1768" s="165">
        <f t="shared" si="15"/>
        <v>45809</v>
      </c>
      <c r="C1768" s="57" t="str">
        <f>IF($B1768="","",YEAR($B1768)&amp;"-"&amp;IFERROR(VLOOKUP(MONTH(B1768),KEY!$AE$5:$AF$16,2,FALSE),""))</f>
        <v>2025-Q2</v>
      </c>
      <c r="D1768" s="3" t="s">
        <v>148</v>
      </c>
      <c r="E1768" s="219">
        <v>8</v>
      </c>
      <c r="F1768" s="166">
        <v>31</v>
      </c>
      <c r="G1768" s="166">
        <v>34</v>
      </c>
      <c r="H1768" s="21">
        <v>73</v>
      </c>
      <c r="I1768" s="21">
        <v>7</v>
      </c>
      <c r="J1768" s="21">
        <v>55</v>
      </c>
      <c r="K1768" s="21">
        <v>5</v>
      </c>
      <c r="L1768" s="21">
        <v>59</v>
      </c>
      <c r="M1768" s="21">
        <v>19</v>
      </c>
      <c r="N1768" s="21">
        <v>32</v>
      </c>
      <c r="O1768" s="19">
        <v>88</v>
      </c>
      <c r="P1768" s="22">
        <v>2</v>
      </c>
      <c r="Q1768" s="22">
        <v>1</v>
      </c>
      <c r="R1768" s="20"/>
      <c r="S1768" s="234">
        <f>COUNTIFS(INP_DATA!$R$5:$R$3027,S$4,INP_DATA!$D$5:$D$3027,$D1768,INP_DATA!$B$5:$B$3027,$B1768)</f>
        <v>0</v>
      </c>
      <c r="T1768" s="235">
        <f>COUNTIFS(INP_DATA!$R$5:$R$3027,T$4,INP_DATA!$D$5:$D$3027,$D1768,INP_DATA!$B$5:$B$3027,$B1768)</f>
        <v>0</v>
      </c>
    </row>
    <row r="1769" spans="1:20" x14ac:dyDescent="0.35">
      <c r="A1769" s="3" t="str">
        <f>IF(D1769="","",(VLOOKUP($D1769,KEY!$B$5:$D$74,3,FALSE)))</f>
        <v>Orange County</v>
      </c>
      <c r="B1769" s="165">
        <f t="shared" si="15"/>
        <v>45809</v>
      </c>
      <c r="C1769" s="57" t="str">
        <f>IF($B1769="","",YEAR($B1769)&amp;"-"&amp;IFERROR(VLOOKUP(MONTH(B1769),KEY!$AE$5:$AF$16,2,FALSE),""))</f>
        <v>2025-Q2</v>
      </c>
      <c r="D1769" s="3" t="s">
        <v>149</v>
      </c>
      <c r="E1769" s="219">
        <v>5</v>
      </c>
      <c r="F1769" s="166">
        <v>0</v>
      </c>
      <c r="G1769" s="166">
        <v>0</v>
      </c>
      <c r="H1769" s="21">
        <v>50</v>
      </c>
      <c r="I1769" s="21">
        <v>7</v>
      </c>
      <c r="J1769" s="21">
        <v>13</v>
      </c>
      <c r="K1769" s="21">
        <v>1</v>
      </c>
      <c r="L1769" s="21">
        <v>36</v>
      </c>
      <c r="M1769" s="21">
        <v>10</v>
      </c>
      <c r="N1769" s="21">
        <v>18</v>
      </c>
      <c r="O1769" s="19">
        <v>66</v>
      </c>
      <c r="P1769" s="22">
        <v>0</v>
      </c>
      <c r="Q1769" s="22">
        <v>0</v>
      </c>
      <c r="R1769" s="20"/>
      <c r="S1769" s="234">
        <f>COUNTIFS(INP_DATA!$R$5:$R$3027,S$4,INP_DATA!$D$5:$D$3027,$D1769,INP_DATA!$B$5:$B$3027,$B1769)</f>
        <v>0</v>
      </c>
      <c r="T1769" s="235">
        <f>COUNTIFS(INP_DATA!$R$5:$R$3027,T$4,INP_DATA!$D$5:$D$3027,$D1769,INP_DATA!$B$5:$B$3027,$B1769)</f>
        <v>0</v>
      </c>
    </row>
    <row r="1770" spans="1:20" x14ac:dyDescent="0.35">
      <c r="A1770" s="3" t="str">
        <f>IF(D1770="","",(VLOOKUP($D1770,KEY!$B$5:$D$74,3,FALSE)))</f>
        <v>Southern California</v>
      </c>
      <c r="B1770" s="165">
        <f t="shared" si="15"/>
        <v>45809</v>
      </c>
      <c r="C1770" s="57" t="str">
        <f>IF($B1770="","",YEAR($B1770)&amp;"-"&amp;IFERROR(VLOOKUP(MONTH(B1770),KEY!$AE$5:$AF$16,2,FALSE),""))</f>
        <v>2025-Q2</v>
      </c>
      <c r="D1770" s="3" t="s">
        <v>150</v>
      </c>
      <c r="E1770" s="219">
        <v>6</v>
      </c>
      <c r="F1770" s="166">
        <v>46</v>
      </c>
      <c r="G1770" s="166">
        <v>36</v>
      </c>
      <c r="H1770" s="21">
        <v>78</v>
      </c>
      <c r="I1770" s="21">
        <v>13</v>
      </c>
      <c r="J1770" s="21">
        <v>24</v>
      </c>
      <c r="K1770" s="21">
        <v>7</v>
      </c>
      <c r="L1770" s="21">
        <v>64</v>
      </c>
      <c r="M1770" s="21">
        <v>23</v>
      </c>
      <c r="N1770" s="21">
        <v>47</v>
      </c>
      <c r="O1770" s="19">
        <v>66</v>
      </c>
      <c r="P1770" s="22">
        <v>5</v>
      </c>
      <c r="Q1770" s="22">
        <v>4</v>
      </c>
      <c r="R1770" s="20"/>
      <c r="S1770" s="234">
        <f>COUNTIFS(INP_DATA!$R$5:$R$3027,S$4,INP_DATA!$D$5:$D$3027,$D1770,INP_DATA!$B$5:$B$3027,$B1770)</f>
        <v>0</v>
      </c>
      <c r="T1770" s="235">
        <f>COUNTIFS(INP_DATA!$R$5:$R$3027,T$4,INP_DATA!$D$5:$D$3027,$D1770,INP_DATA!$B$5:$B$3027,$B1770)</f>
        <v>0</v>
      </c>
    </row>
    <row r="1771" spans="1:20" x14ac:dyDescent="0.35">
      <c r="A1771" s="3" t="str">
        <f>IF(D1771="","",(VLOOKUP($D1771,KEY!$B$5:$D$74,3,FALSE)))</f>
        <v>Arizona</v>
      </c>
      <c r="B1771" s="165">
        <f t="shared" si="15"/>
        <v>45809</v>
      </c>
      <c r="C1771" s="57" t="str">
        <f>IF($B1771="","",YEAR($B1771)&amp;"-"&amp;IFERROR(VLOOKUP(MONTH(B1771),KEY!$AE$5:$AF$16,2,FALSE),""))</f>
        <v>2025-Q2</v>
      </c>
      <c r="D1771" s="3" t="s">
        <v>151</v>
      </c>
      <c r="E1771" s="219">
        <v>2</v>
      </c>
      <c r="F1771" s="166">
        <v>29</v>
      </c>
      <c r="G1771" s="166">
        <v>32</v>
      </c>
      <c r="H1771" s="21">
        <v>76</v>
      </c>
      <c r="I1771" s="21">
        <v>9</v>
      </c>
      <c r="J1771" s="21">
        <v>18</v>
      </c>
      <c r="K1771" s="21">
        <v>7</v>
      </c>
      <c r="L1771" s="21">
        <v>41</v>
      </c>
      <c r="M1771" s="21">
        <v>20</v>
      </c>
      <c r="N1771" s="21">
        <v>30</v>
      </c>
      <c r="O1771" s="19">
        <v>88</v>
      </c>
      <c r="P1771" s="22">
        <v>0</v>
      </c>
      <c r="Q1771" s="22">
        <v>0</v>
      </c>
      <c r="R1771" s="20"/>
      <c r="S1771" s="234">
        <f>COUNTIFS(INP_DATA!$R$5:$R$3027,S$4,INP_DATA!$D$5:$D$3027,$D1771,INP_DATA!$B$5:$B$3027,$B1771)</f>
        <v>0</v>
      </c>
      <c r="T1771" s="235">
        <f>COUNTIFS(INP_DATA!$R$5:$R$3027,T$4,INP_DATA!$D$5:$D$3027,$D1771,INP_DATA!$B$5:$B$3027,$B1771)</f>
        <v>0</v>
      </c>
    </row>
    <row r="1772" spans="1:20" x14ac:dyDescent="0.35">
      <c r="A1772" s="3" t="str">
        <f>IF(D1772="","",(VLOOKUP($D1772,KEY!$B$5:$D$74,3,FALSE)))</f>
        <v>Michigan &amp; Minnesota</v>
      </c>
      <c r="B1772" s="165">
        <f t="shared" si="15"/>
        <v>45809</v>
      </c>
      <c r="C1772" s="57" t="str">
        <f>IF($B1772="","",YEAR($B1772)&amp;"-"&amp;IFERROR(VLOOKUP(MONTH(B1772),KEY!$AE$5:$AF$16,2,FALSE),""))</f>
        <v>2025-Q2</v>
      </c>
      <c r="D1772" s="3" t="s">
        <v>206</v>
      </c>
      <c r="E1772" s="219">
        <v>34</v>
      </c>
      <c r="F1772" s="166">
        <v>254</v>
      </c>
      <c r="G1772" s="166">
        <v>278</v>
      </c>
      <c r="H1772" s="21">
        <v>298</v>
      </c>
      <c r="I1772" s="21">
        <v>65</v>
      </c>
      <c r="J1772" s="21">
        <v>134</v>
      </c>
      <c r="K1772" s="21">
        <v>33</v>
      </c>
      <c r="L1772" s="21">
        <v>478</v>
      </c>
      <c r="M1772" s="21">
        <v>160</v>
      </c>
      <c r="N1772" s="21">
        <v>255</v>
      </c>
      <c r="O1772" s="19">
        <v>396</v>
      </c>
      <c r="P1772" s="22">
        <v>28</v>
      </c>
      <c r="Q1772" s="22">
        <v>23</v>
      </c>
      <c r="R1772" s="20"/>
      <c r="S1772" s="234">
        <f>COUNTIFS(INP_DATA!$R$5:$R$3027,S$4,INP_DATA!$D$5:$D$3027,$D1772,INP_DATA!$B$5:$B$3027,$B1772)</f>
        <v>0</v>
      </c>
      <c r="T1772" s="235">
        <f>COUNTIFS(INP_DATA!$R$5:$R$3027,T$4,INP_DATA!$D$5:$D$3027,$D1772,INP_DATA!$B$5:$B$3027,$B1772)</f>
        <v>0</v>
      </c>
    </row>
    <row r="1773" spans="1:20" x14ac:dyDescent="0.35">
      <c r="A1773" s="3" t="str">
        <f>IF(D1773="","",(VLOOKUP($D1773,KEY!$B$5:$D$74,3,FALSE)))</f>
        <v>Michigan &amp; Minnesota</v>
      </c>
      <c r="B1773" s="165">
        <f t="shared" si="15"/>
        <v>45809</v>
      </c>
      <c r="C1773" s="57" t="str">
        <f>IF($B1773="","",YEAR($B1773)&amp;"-"&amp;IFERROR(VLOOKUP(MONTH(B1773),KEY!$AE$5:$AF$16,2,FALSE),""))</f>
        <v>2025-Q2</v>
      </c>
      <c r="D1773" s="3" t="s">
        <v>207</v>
      </c>
      <c r="E1773" s="219">
        <v>3</v>
      </c>
      <c r="F1773" s="166">
        <v>60</v>
      </c>
      <c r="G1773" s="166">
        <v>51</v>
      </c>
      <c r="H1773" s="21">
        <v>148</v>
      </c>
      <c r="I1773" s="21">
        <v>21</v>
      </c>
      <c r="J1773" s="21">
        <v>31</v>
      </c>
      <c r="K1773" s="21">
        <v>7</v>
      </c>
      <c r="L1773" s="21">
        <v>75</v>
      </c>
      <c r="M1773" s="21">
        <v>16</v>
      </c>
      <c r="N1773" s="21">
        <v>60</v>
      </c>
      <c r="O1773" s="19">
        <v>110</v>
      </c>
      <c r="P1773" s="22">
        <v>4</v>
      </c>
      <c r="Q1773" s="22">
        <v>2</v>
      </c>
      <c r="R1773" s="20"/>
      <c r="S1773" s="234">
        <f>COUNTIFS(INP_DATA!$R$5:$R$3027,S$4,INP_DATA!$D$5:$D$3027,$D1773,INP_DATA!$B$5:$B$3027,$B1773)</f>
        <v>0</v>
      </c>
      <c r="T1773" s="235">
        <f>COUNTIFS(INP_DATA!$R$5:$R$3027,T$4,INP_DATA!$D$5:$D$3027,$D1773,INP_DATA!$B$5:$B$3027,$B1773)</f>
        <v>0</v>
      </c>
    </row>
    <row r="1774" spans="1:20" x14ac:dyDescent="0.35">
      <c r="A1774" s="3" t="str">
        <f>IF(D1774="","",(VLOOKUP($D1774,KEY!$B$5:$D$74,3,FALSE)))</f>
        <v>Indiana</v>
      </c>
      <c r="B1774" s="165">
        <f t="shared" si="15"/>
        <v>45809</v>
      </c>
      <c r="C1774" s="57" t="str">
        <f>IF($B1774="","",YEAR($B1774)&amp;"-"&amp;IFERROR(VLOOKUP(MONTH(B1774),KEY!$AE$5:$AF$16,2,FALSE),""))</f>
        <v>2025-Q2</v>
      </c>
      <c r="D1774" s="3" t="s">
        <v>208</v>
      </c>
      <c r="E1774" s="219">
        <v>3</v>
      </c>
      <c r="F1774" s="166">
        <v>113</v>
      </c>
      <c r="G1774" s="166">
        <v>114</v>
      </c>
      <c r="H1774" s="21">
        <v>276</v>
      </c>
      <c r="I1774" s="21">
        <v>36</v>
      </c>
      <c r="J1774" s="21">
        <v>121</v>
      </c>
      <c r="K1774" s="21">
        <v>27</v>
      </c>
      <c r="L1774" s="21">
        <v>171</v>
      </c>
      <c r="M1774" s="21">
        <v>54</v>
      </c>
      <c r="N1774" s="21">
        <v>113</v>
      </c>
      <c r="O1774" s="19">
        <v>242</v>
      </c>
      <c r="P1774" s="22">
        <v>13</v>
      </c>
      <c r="Q1774" s="22">
        <v>8</v>
      </c>
      <c r="R1774" s="20"/>
      <c r="S1774" s="234">
        <f>COUNTIFS(INP_DATA!$R$5:$R$3027,S$4,INP_DATA!$D$5:$D$3027,$D1774,INP_DATA!$B$5:$B$3027,$B1774)</f>
        <v>0</v>
      </c>
      <c r="T1774" s="235">
        <f>COUNTIFS(INP_DATA!$R$5:$R$3027,T$4,INP_DATA!$D$5:$D$3027,$D1774,INP_DATA!$B$5:$B$3027,$B1774)</f>
        <v>0</v>
      </c>
    </row>
    <row r="1775" spans="1:20" x14ac:dyDescent="0.35">
      <c r="A1775" s="3" t="str">
        <f>IF(D1775="","",(VLOOKUP($D1775,KEY!$B$5:$D$74,3,FALSE)))</f>
        <v>Indiana</v>
      </c>
      <c r="B1775" s="165">
        <f t="shared" si="15"/>
        <v>45809</v>
      </c>
      <c r="C1775" s="57" t="str">
        <f>IF($B1775="","",YEAR($B1775)&amp;"-"&amp;IFERROR(VLOOKUP(MONTH(B1775),KEY!$AE$5:$AF$16,2,FALSE),""))</f>
        <v>2025-Q2</v>
      </c>
      <c r="D1775" s="3" t="s">
        <v>209</v>
      </c>
      <c r="E1775" s="219">
        <v>34</v>
      </c>
      <c r="F1775" s="166">
        <v>447</v>
      </c>
      <c r="G1775" s="166">
        <v>498</v>
      </c>
      <c r="H1775" s="21">
        <v>578</v>
      </c>
      <c r="I1775" s="21">
        <v>113</v>
      </c>
      <c r="J1775" s="21">
        <v>254</v>
      </c>
      <c r="K1775" s="21">
        <v>79</v>
      </c>
      <c r="L1775" s="21">
        <v>388</v>
      </c>
      <c r="M1775" s="21">
        <v>190</v>
      </c>
      <c r="N1775" s="21">
        <v>451</v>
      </c>
      <c r="O1775" s="19">
        <v>594</v>
      </c>
      <c r="P1775" s="22">
        <v>57</v>
      </c>
      <c r="Q1775" s="22">
        <v>35</v>
      </c>
      <c r="R1775" s="20"/>
      <c r="S1775" s="234">
        <f>COUNTIFS(INP_DATA!$R$5:$R$3027,S$4,INP_DATA!$D$5:$D$3027,$D1775,INP_DATA!$B$5:$B$3027,$B1775)</f>
        <v>0</v>
      </c>
      <c r="T1775" s="235">
        <f>COUNTIFS(INP_DATA!$R$5:$R$3027,T$4,INP_DATA!$D$5:$D$3027,$D1775,INP_DATA!$B$5:$B$3027,$B1775)</f>
        <v>0</v>
      </c>
    </row>
    <row r="1776" spans="1:20" x14ac:dyDescent="0.35">
      <c r="A1776" s="3" t="str">
        <f>IF(D1776="","",(VLOOKUP($D1776,KEY!$B$5:$D$74,3,FALSE)))</f>
        <v>Northern California</v>
      </c>
      <c r="B1776" s="165">
        <f t="shared" si="15"/>
        <v>45809</v>
      </c>
      <c r="C1776" s="57" t="str">
        <f>IF($B1776="","",YEAR($B1776)&amp;"-"&amp;IFERROR(VLOOKUP(MONTH(B1776),KEY!$AE$5:$AF$16,2,FALSE),""))</f>
        <v>2025-Q2</v>
      </c>
      <c r="D1776" s="3" t="s">
        <v>152</v>
      </c>
      <c r="E1776" s="219">
        <v>50</v>
      </c>
      <c r="F1776" s="166">
        <v>166</v>
      </c>
      <c r="G1776" s="166">
        <v>232</v>
      </c>
      <c r="H1776" s="21">
        <v>356</v>
      </c>
      <c r="I1776" s="21">
        <v>74</v>
      </c>
      <c r="J1776" s="21">
        <v>130</v>
      </c>
      <c r="K1776" s="21">
        <v>31</v>
      </c>
      <c r="L1776" s="21">
        <v>341</v>
      </c>
      <c r="M1776" s="21">
        <v>142</v>
      </c>
      <c r="N1776" s="21">
        <v>167</v>
      </c>
      <c r="O1776" s="19">
        <v>264</v>
      </c>
      <c r="P1776" s="22">
        <v>40</v>
      </c>
      <c r="Q1776" s="22">
        <v>28</v>
      </c>
      <c r="R1776" s="20"/>
      <c r="S1776" s="234">
        <f>COUNTIFS(INP_DATA!$R$5:$R$3027,S$4,INP_DATA!$D$5:$D$3027,$D1776,INP_DATA!$B$5:$B$3027,$B1776)</f>
        <v>0</v>
      </c>
      <c r="T1776" s="235">
        <f>COUNTIFS(INP_DATA!$R$5:$R$3027,T$4,INP_DATA!$D$5:$D$3027,$D1776,INP_DATA!$B$5:$B$3027,$B1776)</f>
        <v>0</v>
      </c>
    </row>
    <row r="1777" spans="1:20" x14ac:dyDescent="0.35">
      <c r="A1777" s="3" t="str">
        <f>IF(D1777="","",(VLOOKUP($D1777,KEY!$B$5:$D$74,3,FALSE)))</f>
        <v>Arizona</v>
      </c>
      <c r="B1777" s="165">
        <f t="shared" si="15"/>
        <v>45809</v>
      </c>
      <c r="C1777" s="57" t="str">
        <f>IF($B1777="","",YEAR($B1777)&amp;"-"&amp;IFERROR(VLOOKUP(MONTH(B1777),KEY!$AE$5:$AF$16,2,FALSE),""))</f>
        <v>2025-Q2</v>
      </c>
      <c r="D1777" s="3" t="s">
        <v>153</v>
      </c>
      <c r="E1777" s="219">
        <v>29</v>
      </c>
      <c r="F1777" s="166">
        <v>77</v>
      </c>
      <c r="G1777" s="166">
        <v>104</v>
      </c>
      <c r="H1777" s="21">
        <v>140</v>
      </c>
      <c r="I1777" s="21">
        <v>12</v>
      </c>
      <c r="J1777" s="21">
        <v>73</v>
      </c>
      <c r="K1777" s="21">
        <v>16</v>
      </c>
      <c r="L1777" s="21">
        <v>341</v>
      </c>
      <c r="M1777" s="21">
        <v>56</v>
      </c>
      <c r="N1777" s="21">
        <v>77</v>
      </c>
      <c r="O1777" s="19">
        <v>308</v>
      </c>
      <c r="P1777" s="22">
        <v>5</v>
      </c>
      <c r="Q1777" s="22">
        <v>4</v>
      </c>
      <c r="R1777" s="20"/>
      <c r="S1777" s="234">
        <f>COUNTIFS(INP_DATA!$R$5:$R$3027,S$4,INP_DATA!$D$5:$D$3027,$D1777,INP_DATA!$B$5:$B$3027,$B1777)</f>
        <v>0</v>
      </c>
      <c r="T1777" s="235">
        <f>COUNTIFS(INP_DATA!$R$5:$R$3027,T$4,INP_DATA!$D$5:$D$3027,$D1777,INP_DATA!$B$5:$B$3027,$B1777)</f>
        <v>0</v>
      </c>
    </row>
    <row r="1778" spans="1:20" x14ac:dyDescent="0.35">
      <c r="A1778" s="3" t="str">
        <f>IF(D1778="","",(VLOOKUP($D1778,KEY!$B$5:$D$74,3,FALSE)))</f>
        <v>Northern California</v>
      </c>
      <c r="B1778" s="165">
        <f t="shared" si="15"/>
        <v>45809</v>
      </c>
      <c r="C1778" s="57" t="str">
        <f>IF($B1778="","",YEAR($B1778)&amp;"-"&amp;IFERROR(VLOOKUP(MONTH(B1778),KEY!$AE$5:$AF$16,2,FALSE),""))</f>
        <v>2025-Q2</v>
      </c>
      <c r="D1778" s="3" t="s">
        <v>154</v>
      </c>
      <c r="E1778" s="219">
        <v>21</v>
      </c>
      <c r="F1778" s="166">
        <v>78</v>
      </c>
      <c r="G1778" s="166">
        <v>96</v>
      </c>
      <c r="H1778" s="21">
        <v>232</v>
      </c>
      <c r="I1778" s="21">
        <v>31</v>
      </c>
      <c r="J1778" s="21">
        <v>129</v>
      </c>
      <c r="K1778" s="21">
        <v>18</v>
      </c>
      <c r="L1778" s="21">
        <v>212</v>
      </c>
      <c r="M1778" s="21">
        <v>50</v>
      </c>
      <c r="N1778" s="21">
        <v>76</v>
      </c>
      <c r="O1778" s="19">
        <v>198</v>
      </c>
      <c r="P1778" s="22">
        <v>5</v>
      </c>
      <c r="Q1778" s="22">
        <v>3</v>
      </c>
      <c r="R1778" s="20"/>
      <c r="S1778" s="234">
        <f>COUNTIFS(INP_DATA!$R$5:$R$3027,S$4,INP_DATA!$D$5:$D$3027,$D1778,INP_DATA!$B$5:$B$3027,$B1778)</f>
        <v>0</v>
      </c>
      <c r="T1778" s="235">
        <f>COUNTIFS(INP_DATA!$R$5:$R$3027,T$4,INP_DATA!$D$5:$D$3027,$D1778,INP_DATA!$B$5:$B$3027,$B1778)</f>
        <v>0</v>
      </c>
    </row>
    <row r="1779" spans="1:20" x14ac:dyDescent="0.35">
      <c r="A1779" s="3" t="str">
        <f>IF(D1779="","",(VLOOKUP($D1779,KEY!$B$5:$D$74,3,FALSE)))</f>
        <v>Texas</v>
      </c>
      <c r="B1779" s="165">
        <f t="shared" si="15"/>
        <v>45809</v>
      </c>
      <c r="C1779" s="57" t="str">
        <f>IF($B1779="","",YEAR($B1779)&amp;"-"&amp;IFERROR(VLOOKUP(MONTH(B1779),KEY!$AE$5:$AF$16,2,FALSE),""))</f>
        <v>2025-Q2</v>
      </c>
      <c r="D1779" s="3" t="s">
        <v>155</v>
      </c>
      <c r="E1779" s="219">
        <v>44</v>
      </c>
      <c r="F1779" s="166">
        <v>291</v>
      </c>
      <c r="G1779" s="166">
        <v>357</v>
      </c>
      <c r="H1779" s="21">
        <v>852</v>
      </c>
      <c r="I1779" s="21">
        <v>93</v>
      </c>
      <c r="J1779" s="21">
        <v>263</v>
      </c>
      <c r="K1779" s="21">
        <v>52</v>
      </c>
      <c r="L1779" s="21">
        <v>383</v>
      </c>
      <c r="M1779" s="21">
        <v>130</v>
      </c>
      <c r="N1779" s="21">
        <v>296</v>
      </c>
      <c r="O1779" s="19">
        <v>616</v>
      </c>
      <c r="P1779" s="22">
        <v>7</v>
      </c>
      <c r="Q1779" s="22">
        <v>5</v>
      </c>
      <c r="R1779" s="20"/>
      <c r="S1779" s="234">
        <f>COUNTIFS(INP_DATA!$R$5:$R$3027,S$4,INP_DATA!$D$5:$D$3027,$D1779,INP_DATA!$B$5:$B$3027,$B1779)</f>
        <v>0</v>
      </c>
      <c r="T1779" s="235">
        <f>COUNTIFS(INP_DATA!$R$5:$R$3027,T$4,INP_DATA!$D$5:$D$3027,$D1779,INP_DATA!$B$5:$B$3027,$B1779)</f>
        <v>0</v>
      </c>
    </row>
    <row r="1780" spans="1:20" x14ac:dyDescent="0.35">
      <c r="A1780" s="3" t="str">
        <f>IF(D1780="","",(VLOOKUP($D1780,KEY!$B$5:$D$74,3,FALSE)))</f>
        <v>Texas</v>
      </c>
      <c r="B1780" s="165">
        <f t="shared" si="15"/>
        <v>45809</v>
      </c>
      <c r="C1780" s="57" t="str">
        <f>IF($B1780="","",YEAR($B1780)&amp;"-"&amp;IFERROR(VLOOKUP(MONTH(B1780),KEY!$AE$5:$AF$16,2,FALSE),""))</f>
        <v>2025-Q2</v>
      </c>
      <c r="D1780" s="3" t="s">
        <v>156</v>
      </c>
      <c r="E1780" s="219">
        <v>40</v>
      </c>
      <c r="F1780" s="166">
        <v>220</v>
      </c>
      <c r="G1780" s="166">
        <v>205</v>
      </c>
      <c r="H1780" s="21">
        <v>455</v>
      </c>
      <c r="I1780" s="21">
        <v>60</v>
      </c>
      <c r="J1780" s="21">
        <v>221</v>
      </c>
      <c r="K1780" s="21">
        <v>66</v>
      </c>
      <c r="L1780" s="21">
        <v>302</v>
      </c>
      <c r="M1780" s="21">
        <v>96</v>
      </c>
      <c r="N1780" s="21">
        <v>222</v>
      </c>
      <c r="O1780" s="19">
        <v>396</v>
      </c>
      <c r="P1780" s="22">
        <v>8</v>
      </c>
      <c r="Q1780" s="22">
        <v>3</v>
      </c>
      <c r="R1780" s="20"/>
      <c r="S1780" s="234">
        <f>COUNTIFS(INP_DATA!$R$5:$R$3027,S$4,INP_DATA!$D$5:$D$3027,$D1780,INP_DATA!$B$5:$B$3027,$B1780)</f>
        <v>0</v>
      </c>
      <c r="T1780" s="235">
        <f>COUNTIFS(INP_DATA!$R$5:$R$3027,T$4,INP_DATA!$D$5:$D$3027,$D1780,INP_DATA!$B$5:$B$3027,$B1780)</f>
        <v>0</v>
      </c>
    </row>
    <row r="1781" spans="1:20" x14ac:dyDescent="0.35">
      <c r="A1781" s="3" t="str">
        <f>IF(D1781="","",(VLOOKUP($D1781,KEY!$B$5:$D$74,3,FALSE)))</f>
        <v>Texas</v>
      </c>
      <c r="B1781" s="165">
        <f t="shared" si="15"/>
        <v>45809</v>
      </c>
      <c r="C1781" s="57" t="str">
        <f>IF($B1781="","",YEAR($B1781)&amp;"-"&amp;IFERROR(VLOOKUP(MONTH(B1781),KEY!$AE$5:$AF$16,2,FALSE),""))</f>
        <v>2025-Q2</v>
      </c>
      <c r="D1781" s="3" t="s">
        <v>157</v>
      </c>
      <c r="E1781" s="219">
        <v>16</v>
      </c>
      <c r="F1781" s="166">
        <v>478</v>
      </c>
      <c r="G1781" s="166">
        <v>389</v>
      </c>
      <c r="H1781" s="21">
        <v>638</v>
      </c>
      <c r="I1781" s="21">
        <v>59</v>
      </c>
      <c r="J1781" s="21">
        <v>452</v>
      </c>
      <c r="K1781" s="21">
        <v>60</v>
      </c>
      <c r="L1781" s="21">
        <v>775</v>
      </c>
      <c r="M1781" s="21">
        <v>184</v>
      </c>
      <c r="N1781" s="21">
        <v>486</v>
      </c>
      <c r="O1781" s="19">
        <v>748</v>
      </c>
      <c r="P1781" s="22">
        <v>4</v>
      </c>
      <c r="Q1781" s="22">
        <v>2</v>
      </c>
      <c r="R1781" s="20"/>
      <c r="S1781" s="234">
        <f>COUNTIFS(INP_DATA!$R$5:$R$3027,S$4,INP_DATA!$D$5:$D$3027,$D1781,INP_DATA!$B$5:$B$3027,$B1781)</f>
        <v>0</v>
      </c>
      <c r="T1781" s="235">
        <f>COUNTIFS(INP_DATA!$R$5:$R$3027,T$4,INP_DATA!$D$5:$D$3027,$D1781,INP_DATA!$B$5:$B$3027,$B1781)</f>
        <v>0</v>
      </c>
    </row>
    <row r="1782" spans="1:20" x14ac:dyDescent="0.35">
      <c r="A1782" s="3" t="str">
        <f>IF(D1782="","",(VLOOKUP($D1782,KEY!$B$5:$D$74,3,FALSE)))</f>
        <v>Arizona</v>
      </c>
      <c r="B1782" s="165">
        <f t="shared" si="15"/>
        <v>45809</v>
      </c>
      <c r="C1782" s="57" t="str">
        <f>IF($B1782="","",YEAR($B1782)&amp;"-"&amp;IFERROR(VLOOKUP(MONTH(B1782),KEY!$AE$5:$AF$16,2,FALSE),""))</f>
        <v>2025-Q2</v>
      </c>
      <c r="D1782" s="3" t="s">
        <v>158</v>
      </c>
      <c r="E1782" s="219">
        <v>0</v>
      </c>
      <c r="F1782" s="166">
        <v>22</v>
      </c>
      <c r="G1782" s="166">
        <v>22</v>
      </c>
      <c r="H1782" s="21">
        <v>73</v>
      </c>
      <c r="I1782" s="21">
        <v>6</v>
      </c>
      <c r="J1782" s="21">
        <v>58</v>
      </c>
      <c r="K1782" s="21">
        <v>1</v>
      </c>
      <c r="L1782" s="21">
        <v>51</v>
      </c>
      <c r="M1782" s="21">
        <v>3</v>
      </c>
      <c r="N1782" s="21">
        <v>22</v>
      </c>
      <c r="O1782" s="19">
        <v>132</v>
      </c>
      <c r="P1782" s="22">
        <v>1</v>
      </c>
      <c r="Q1782" s="22">
        <v>0</v>
      </c>
      <c r="R1782" s="20"/>
      <c r="S1782" s="234">
        <f>COUNTIFS(INP_DATA!$R$5:$R$3027,S$4,INP_DATA!$D$5:$D$3027,$D1782,INP_DATA!$B$5:$B$3027,$B1782)</f>
        <v>0</v>
      </c>
      <c r="T1782" s="235">
        <f>COUNTIFS(INP_DATA!$R$5:$R$3027,T$4,INP_DATA!$D$5:$D$3027,$D1782,INP_DATA!$B$5:$B$3027,$B1782)</f>
        <v>0</v>
      </c>
    </row>
    <row r="1783" spans="1:20" x14ac:dyDescent="0.35">
      <c r="A1783" s="3" t="str">
        <f>IF(D1783="","",(VLOOKUP($D1783,KEY!$B$5:$D$74,3,FALSE)))</f>
        <v>Orange County</v>
      </c>
      <c r="B1783" s="165">
        <f t="shared" si="15"/>
        <v>45809</v>
      </c>
      <c r="C1783" s="57" t="str">
        <f>IF($B1783="","",YEAR($B1783)&amp;"-"&amp;IFERROR(VLOOKUP(MONTH(B1783),KEY!$AE$5:$AF$16,2,FALSE),""))</f>
        <v>2025-Q2</v>
      </c>
      <c r="D1783" s="3" t="s">
        <v>159</v>
      </c>
      <c r="E1783" s="219">
        <v>13</v>
      </c>
      <c r="F1783" s="166">
        <v>65</v>
      </c>
      <c r="G1783" s="166">
        <v>126</v>
      </c>
      <c r="H1783" s="21">
        <v>162</v>
      </c>
      <c r="I1783" s="21">
        <v>20</v>
      </c>
      <c r="J1783" s="21">
        <v>68</v>
      </c>
      <c r="K1783" s="21">
        <v>19</v>
      </c>
      <c r="L1783" s="21">
        <v>132</v>
      </c>
      <c r="M1783" s="21">
        <v>56</v>
      </c>
      <c r="N1783" s="21">
        <v>65</v>
      </c>
      <c r="O1783" s="19">
        <v>198</v>
      </c>
      <c r="P1783" s="22">
        <v>9</v>
      </c>
      <c r="Q1783" s="22">
        <v>8</v>
      </c>
      <c r="R1783" s="20"/>
      <c r="S1783" s="234">
        <f>COUNTIFS(INP_DATA!$R$5:$R$3027,S$4,INP_DATA!$D$5:$D$3027,$D1783,INP_DATA!$B$5:$B$3027,$B1783)</f>
        <v>0</v>
      </c>
      <c r="T1783" s="235">
        <f>COUNTIFS(INP_DATA!$R$5:$R$3027,T$4,INP_DATA!$D$5:$D$3027,$D1783,INP_DATA!$B$5:$B$3027,$B1783)</f>
        <v>0</v>
      </c>
    </row>
    <row r="1784" spans="1:20" x14ac:dyDescent="0.35">
      <c r="A1784" s="3" t="str">
        <f>IF(D1784="","",(VLOOKUP($D1784,KEY!$B$5:$D$74,3,FALSE)))</f>
        <v>Arizona</v>
      </c>
      <c r="B1784" s="165">
        <f t="shared" si="15"/>
        <v>45809</v>
      </c>
      <c r="C1784" s="57" t="str">
        <f>IF($B1784="","",YEAR($B1784)&amp;"-"&amp;IFERROR(VLOOKUP(MONTH(B1784),KEY!$AE$5:$AF$16,2,FALSE),""))</f>
        <v>2025-Q2</v>
      </c>
      <c r="D1784" s="3" t="s">
        <v>160</v>
      </c>
      <c r="E1784" s="219">
        <v>53</v>
      </c>
      <c r="F1784" s="166">
        <v>307</v>
      </c>
      <c r="G1784" s="166">
        <v>346</v>
      </c>
      <c r="H1784" s="21">
        <v>580</v>
      </c>
      <c r="I1784" s="21">
        <v>95</v>
      </c>
      <c r="J1784" s="21">
        <v>187</v>
      </c>
      <c r="K1784" s="21">
        <v>37</v>
      </c>
      <c r="L1784" s="21">
        <v>461</v>
      </c>
      <c r="M1784" s="21">
        <v>198</v>
      </c>
      <c r="N1784" s="21">
        <v>317</v>
      </c>
      <c r="O1784" s="19">
        <v>484</v>
      </c>
      <c r="P1784" s="22">
        <v>13</v>
      </c>
      <c r="Q1784" s="22">
        <v>9</v>
      </c>
      <c r="R1784" s="20"/>
      <c r="S1784" s="234">
        <f>COUNTIFS(INP_DATA!$R$5:$R$3027,S$4,INP_DATA!$D$5:$D$3027,$D1784,INP_DATA!$B$5:$B$3027,$B1784)</f>
        <v>0</v>
      </c>
      <c r="T1784" s="235">
        <f>COUNTIFS(INP_DATA!$R$5:$R$3027,T$4,INP_DATA!$D$5:$D$3027,$D1784,INP_DATA!$B$5:$B$3027,$B1784)</f>
        <v>0</v>
      </c>
    </row>
    <row r="1785" spans="1:20" x14ac:dyDescent="0.35">
      <c r="A1785" s="3" t="str">
        <f>IF(D1785="","",(VLOOKUP($D1785,KEY!$B$5:$D$74,3,FALSE)))</f>
        <v>Northern California</v>
      </c>
      <c r="B1785" s="165">
        <f t="shared" si="15"/>
        <v>45809</v>
      </c>
      <c r="C1785" s="57" t="str">
        <f>IF($B1785="","",YEAR($B1785)&amp;"-"&amp;IFERROR(VLOOKUP(MONTH(B1785),KEY!$AE$5:$AF$16,2,FALSE),""))</f>
        <v>2025-Q2</v>
      </c>
      <c r="D1785" s="3" t="s">
        <v>161</v>
      </c>
      <c r="E1785" s="219">
        <v>28</v>
      </c>
      <c r="F1785" s="166">
        <v>229</v>
      </c>
      <c r="G1785" s="166">
        <v>264</v>
      </c>
      <c r="H1785" s="21">
        <v>304</v>
      </c>
      <c r="I1785" s="21">
        <v>55</v>
      </c>
      <c r="J1785" s="21">
        <v>204</v>
      </c>
      <c r="K1785" s="21">
        <v>53</v>
      </c>
      <c r="L1785" s="21">
        <v>267</v>
      </c>
      <c r="M1785" s="21">
        <v>83</v>
      </c>
      <c r="N1785" s="21">
        <v>238</v>
      </c>
      <c r="O1785" s="19">
        <v>462</v>
      </c>
      <c r="P1785" s="22">
        <v>1</v>
      </c>
      <c r="Q1785" s="22">
        <v>1</v>
      </c>
      <c r="R1785" s="20"/>
      <c r="S1785" s="234">
        <f>COUNTIFS(INP_DATA!$R$5:$R$3027,S$4,INP_DATA!$D$5:$D$3027,$D1785,INP_DATA!$B$5:$B$3027,$B1785)</f>
        <v>0</v>
      </c>
      <c r="T1785" s="235">
        <f>COUNTIFS(INP_DATA!$R$5:$R$3027,T$4,INP_DATA!$D$5:$D$3027,$D1785,INP_DATA!$B$5:$B$3027,$B1785)</f>
        <v>0</v>
      </c>
    </row>
    <row r="1786" spans="1:20" x14ac:dyDescent="0.35">
      <c r="A1786" s="3" t="str">
        <f>IF(D1786="","",(VLOOKUP($D1786,KEY!$B$5:$D$74,3,FALSE)))</f>
        <v>Arizona</v>
      </c>
      <c r="B1786" s="165">
        <f t="shared" si="15"/>
        <v>45809</v>
      </c>
      <c r="C1786" s="57" t="str">
        <f>IF($B1786="","",YEAR($B1786)&amp;"-"&amp;IFERROR(VLOOKUP(MONTH(B1786),KEY!$AE$5:$AF$16,2,FALSE),""))</f>
        <v>2025-Q2</v>
      </c>
      <c r="D1786" s="3" t="s">
        <v>163</v>
      </c>
      <c r="E1786" s="219">
        <v>50</v>
      </c>
      <c r="F1786" s="166">
        <v>271</v>
      </c>
      <c r="G1786" s="166">
        <v>258</v>
      </c>
      <c r="H1786" s="21">
        <v>393</v>
      </c>
      <c r="I1786" s="21">
        <v>60</v>
      </c>
      <c r="J1786" s="21">
        <v>154</v>
      </c>
      <c r="K1786" s="21">
        <v>49</v>
      </c>
      <c r="L1786" s="21">
        <v>314</v>
      </c>
      <c r="M1786" s="21">
        <v>138</v>
      </c>
      <c r="N1786" s="21">
        <v>286</v>
      </c>
      <c r="O1786" s="19">
        <v>396</v>
      </c>
      <c r="P1786" s="22">
        <v>2</v>
      </c>
      <c r="Q1786" s="22">
        <v>0</v>
      </c>
      <c r="R1786" s="20"/>
      <c r="S1786" s="234">
        <f>COUNTIFS(INP_DATA!$R$5:$R$3027,S$4,INP_DATA!$D$5:$D$3027,$D1786,INP_DATA!$B$5:$B$3027,$B1786)</f>
        <v>0</v>
      </c>
      <c r="T1786" s="235">
        <f>COUNTIFS(INP_DATA!$R$5:$R$3027,T$4,INP_DATA!$D$5:$D$3027,$D1786,INP_DATA!$B$5:$B$3027,$B1786)</f>
        <v>0</v>
      </c>
    </row>
    <row r="1787" spans="1:20" x14ac:dyDescent="0.35">
      <c r="A1787" s="3" t="str">
        <f>IF(D1787="","",(VLOOKUP($D1787,KEY!$B$5:$D$74,3,FALSE)))</f>
        <v>Arizona</v>
      </c>
      <c r="B1787" s="165">
        <f t="shared" si="15"/>
        <v>45809</v>
      </c>
      <c r="C1787" s="57" t="str">
        <f>IF($B1787="","",YEAR($B1787)&amp;"-"&amp;IFERROR(VLOOKUP(MONTH(B1787),KEY!$AE$5:$AF$16,2,FALSE),""))</f>
        <v>2025-Q2</v>
      </c>
      <c r="D1787" s="3" t="s">
        <v>164</v>
      </c>
      <c r="E1787" s="219">
        <v>9</v>
      </c>
      <c r="F1787" s="166">
        <v>54</v>
      </c>
      <c r="G1787" s="166">
        <v>77</v>
      </c>
      <c r="H1787" s="21">
        <v>96</v>
      </c>
      <c r="I1787" s="21">
        <v>15</v>
      </c>
      <c r="J1787" s="21">
        <v>22</v>
      </c>
      <c r="K1787" s="21">
        <v>9</v>
      </c>
      <c r="L1787" s="21">
        <v>98</v>
      </c>
      <c r="M1787" s="21">
        <v>40</v>
      </c>
      <c r="N1787" s="21">
        <v>58</v>
      </c>
      <c r="O1787" s="19">
        <v>132</v>
      </c>
      <c r="P1787" s="22">
        <v>13</v>
      </c>
      <c r="Q1787" s="22">
        <v>10</v>
      </c>
      <c r="R1787" s="20"/>
      <c r="S1787" s="234">
        <f>COUNTIFS(INP_DATA!$R$5:$R$3027,S$4,INP_DATA!$D$5:$D$3027,$D1787,INP_DATA!$B$5:$B$3027,$B1787)</f>
        <v>0</v>
      </c>
      <c r="T1787" s="235">
        <f>COUNTIFS(INP_DATA!$R$5:$R$3027,T$4,INP_DATA!$D$5:$D$3027,$D1787,INP_DATA!$B$5:$B$3027,$B1787)</f>
        <v>0</v>
      </c>
    </row>
    <row r="1788" spans="1:20" x14ac:dyDescent="0.35">
      <c r="A1788" s="3" t="str">
        <f>IF(D1788="","",(VLOOKUP($D1788,KEY!$B$5:$D$74,3,FALSE)))</f>
        <v>Orange County</v>
      </c>
      <c r="B1788" s="165">
        <f t="shared" ref="B1788:B1792" si="16">B1787</f>
        <v>45809</v>
      </c>
      <c r="C1788" s="57" t="str">
        <f>IF($B1788="","",YEAR($B1788)&amp;"-"&amp;IFERROR(VLOOKUP(MONTH(B1788),KEY!$AE$5:$AF$16,2,FALSE),""))</f>
        <v>2025-Q2</v>
      </c>
      <c r="D1788" s="3" t="s">
        <v>165</v>
      </c>
      <c r="E1788" s="219">
        <v>18</v>
      </c>
      <c r="F1788" s="166">
        <v>38</v>
      </c>
      <c r="G1788" s="166">
        <v>68</v>
      </c>
      <c r="H1788" s="21">
        <v>101</v>
      </c>
      <c r="I1788" s="21">
        <v>11</v>
      </c>
      <c r="J1788" s="21">
        <v>35</v>
      </c>
      <c r="K1788" s="21">
        <v>6</v>
      </c>
      <c r="L1788" s="21">
        <v>46</v>
      </c>
      <c r="M1788" s="21">
        <v>24</v>
      </c>
      <c r="N1788" s="21">
        <v>38</v>
      </c>
      <c r="O1788" s="19">
        <v>88</v>
      </c>
      <c r="P1788" s="22">
        <v>34</v>
      </c>
      <c r="Q1788" s="22">
        <v>21</v>
      </c>
      <c r="R1788" s="20"/>
      <c r="S1788" s="234">
        <f>COUNTIFS(INP_DATA!$R$5:$R$3027,S$4,INP_DATA!$D$5:$D$3027,$D1788,INP_DATA!$B$5:$B$3027,$B1788)</f>
        <v>0</v>
      </c>
      <c r="T1788" s="235">
        <f>COUNTIFS(INP_DATA!$R$5:$R$3027,T$4,INP_DATA!$D$5:$D$3027,$D1788,INP_DATA!$B$5:$B$3027,$B1788)</f>
        <v>0</v>
      </c>
    </row>
    <row r="1789" spans="1:20" x14ac:dyDescent="0.35">
      <c r="A1789" s="3" t="str">
        <f>IF(D1789="","",(VLOOKUP($D1789,KEY!$B$5:$D$74,3,FALSE)))</f>
        <v/>
      </c>
      <c r="B1789" s="165">
        <f t="shared" si="16"/>
        <v>45809</v>
      </c>
      <c r="C1789" s="57" t="str">
        <f>IF($B1789="","",YEAR($B1789)&amp;"-"&amp;IFERROR(VLOOKUP(MONTH(B1789),KEY!$AE$5:$AF$16,2,FALSE),""))</f>
        <v>2025-Q2</v>
      </c>
      <c r="D1789" s="3"/>
      <c r="E1789" s="219"/>
      <c r="F1789" s="166"/>
      <c r="G1789" s="166"/>
      <c r="H1789" s="21"/>
      <c r="I1789" s="21"/>
      <c r="J1789" s="21"/>
      <c r="K1789" s="21"/>
      <c r="L1789" s="21"/>
      <c r="M1789" s="21"/>
      <c r="N1789" s="21"/>
      <c r="O1789" s="19"/>
      <c r="P1789" s="22"/>
      <c r="Q1789" s="22"/>
      <c r="R1789" s="20"/>
      <c r="S1789" s="234">
        <f>COUNTIFS(INP_DATA!$R$5:$R$3027,S$4,INP_DATA!$D$5:$D$3027,$D1789,INP_DATA!$B$5:$B$3027,$B1789)</f>
        <v>0</v>
      </c>
      <c r="T1789" s="235">
        <f>COUNTIFS(INP_DATA!$R$5:$R$3027,T$4,INP_DATA!$D$5:$D$3027,$D1789,INP_DATA!$B$5:$B$3027,$B1789)</f>
        <v>0</v>
      </c>
    </row>
    <row r="1790" spans="1:20" x14ac:dyDescent="0.35">
      <c r="A1790" s="3" t="str">
        <f>IF(D1790="","",(VLOOKUP($D1790,KEY!$B$5:$D$74,3,FALSE)))</f>
        <v/>
      </c>
      <c r="B1790" s="165">
        <f t="shared" si="16"/>
        <v>45809</v>
      </c>
      <c r="C1790" s="57" t="str">
        <f>IF($B1790="","",YEAR($B1790)&amp;"-"&amp;IFERROR(VLOOKUP(MONTH(B1790),KEY!$AE$5:$AF$16,2,FALSE),""))</f>
        <v>2025-Q2</v>
      </c>
      <c r="D1790" s="3"/>
      <c r="E1790" s="219"/>
      <c r="F1790" s="166"/>
      <c r="G1790" s="166"/>
      <c r="H1790" s="21"/>
      <c r="I1790" s="21"/>
      <c r="J1790" s="21"/>
      <c r="K1790" s="21"/>
      <c r="L1790" s="21"/>
      <c r="M1790" s="21"/>
      <c r="N1790" s="21"/>
      <c r="O1790" s="19"/>
      <c r="P1790" s="22"/>
      <c r="Q1790" s="22"/>
      <c r="R1790" s="20"/>
      <c r="S1790" s="234">
        <f>COUNTIFS(INP_DATA!$R$5:$R$3027,S$4,INP_DATA!$D$5:$D$3027,$D1790,INP_DATA!$B$5:$B$3027,$B1790)</f>
        <v>0</v>
      </c>
      <c r="T1790" s="235">
        <f>COUNTIFS(INP_DATA!$R$5:$R$3027,T$4,INP_DATA!$D$5:$D$3027,$D1790,INP_DATA!$B$5:$B$3027,$B1790)</f>
        <v>0</v>
      </c>
    </row>
    <row r="1791" spans="1:20" x14ac:dyDescent="0.35">
      <c r="A1791" s="3" t="str">
        <f>IF(D1791="","",(VLOOKUP($D1791,KEY!$B$5:$D$74,3,FALSE)))</f>
        <v/>
      </c>
      <c r="B1791" s="165">
        <f t="shared" si="16"/>
        <v>45809</v>
      </c>
      <c r="C1791" s="57" t="str">
        <f>IF($B1791="","",YEAR($B1791)&amp;"-"&amp;IFERROR(VLOOKUP(MONTH(B1791),KEY!$AE$5:$AF$16,2,FALSE),""))</f>
        <v>2025-Q2</v>
      </c>
      <c r="D1791" s="3"/>
      <c r="E1791" s="219"/>
      <c r="F1791" s="166"/>
      <c r="G1791" s="166"/>
      <c r="H1791" s="21"/>
      <c r="I1791" s="21"/>
      <c r="J1791" s="21"/>
      <c r="K1791" s="21"/>
      <c r="L1791" s="21"/>
      <c r="M1791" s="21"/>
      <c r="N1791" s="21"/>
      <c r="O1791" s="19"/>
      <c r="P1791" s="22"/>
      <c r="Q1791" s="22"/>
      <c r="R1791" s="20"/>
      <c r="S1791" s="234">
        <f>COUNTIFS(INP_DATA!$R$5:$R$3027,S$4,INP_DATA!$D$5:$D$3027,$D1791,INP_DATA!$B$5:$B$3027,$B1791)</f>
        <v>0</v>
      </c>
      <c r="T1791" s="235">
        <f>COUNTIFS(INP_DATA!$R$5:$R$3027,T$4,INP_DATA!$D$5:$D$3027,$D1791,INP_DATA!$B$5:$B$3027,$B1791)</f>
        <v>0</v>
      </c>
    </row>
    <row r="1792" spans="1:20" x14ac:dyDescent="0.35">
      <c r="A1792" s="3" t="str">
        <f>IF(D1792="","",(VLOOKUP($D1792,KEY!$B$5:$D$74,3,FALSE)))</f>
        <v/>
      </c>
      <c r="B1792" s="426">
        <f t="shared" si="16"/>
        <v>45809</v>
      </c>
      <c r="C1792" s="427" t="str">
        <f>IF($B1792="","",YEAR($B1792)&amp;"-"&amp;IFERROR(VLOOKUP(MONTH(B1792),KEY!$AE$5:$AF$16,2,FALSE),""))</f>
        <v>2025-Q2</v>
      </c>
      <c r="D1792" s="428"/>
      <c r="E1792" s="429"/>
      <c r="F1792" s="430"/>
      <c r="G1792" s="430"/>
      <c r="H1792" s="431"/>
      <c r="I1792" s="431"/>
      <c r="J1792" s="431"/>
      <c r="K1792" s="431"/>
      <c r="L1792" s="431"/>
      <c r="M1792" s="431"/>
      <c r="N1792" s="431"/>
      <c r="O1792" s="432"/>
      <c r="P1792" s="433"/>
      <c r="Q1792" s="433"/>
      <c r="R1792" s="20"/>
      <c r="S1792" s="234">
        <f>COUNTIFS(INP_DATA!$R$5:$R$3027,S$4,INP_DATA!$D$5:$D$3027,$D1792,INP_DATA!$B$5:$B$3027,$B1792)</f>
        <v>0</v>
      </c>
      <c r="T1792" s="235">
        <f>COUNTIFS(INP_DATA!$R$5:$R$3027,T$4,INP_DATA!$D$5:$D$3027,$D1792,INP_DATA!$B$5:$B$3027,$B1792)</f>
        <v>0</v>
      </c>
    </row>
    <row r="1793" spans="1:20" x14ac:dyDescent="0.35">
      <c r="A1793" s="3" t="str">
        <f>IF(D1793="","",(VLOOKUP($D1793,KEY!$B$5:$D$74,3,FALSE)))</f>
        <v>Arizona</v>
      </c>
      <c r="B1793" s="165">
        <f>DATE(YEAR(B1792+31),MONTH(B1792+31),1)</f>
        <v>45839</v>
      </c>
      <c r="C1793" s="57" t="str">
        <f>IF($B1793="","",YEAR($B1793)&amp;"-"&amp;IFERROR(VLOOKUP(MONTH(B1793),KEY!$AE$5:$AF$16,2,FALSE),""))</f>
        <v>2025-Q3</v>
      </c>
      <c r="D1793" s="3" t="s">
        <v>111</v>
      </c>
      <c r="E1793" s="219">
        <v>10</v>
      </c>
      <c r="F1793" s="166">
        <v>54</v>
      </c>
      <c r="G1793" s="166">
        <v>57</v>
      </c>
      <c r="H1793" s="21">
        <v>128</v>
      </c>
      <c r="I1793" s="21">
        <v>18</v>
      </c>
      <c r="J1793" s="21">
        <v>48</v>
      </c>
      <c r="K1793" s="21">
        <v>13</v>
      </c>
      <c r="L1793" s="21">
        <v>94</v>
      </c>
      <c r="M1793" s="21">
        <v>39</v>
      </c>
      <c r="N1793" s="21">
        <v>54</v>
      </c>
      <c r="O1793" s="19">
        <v>176</v>
      </c>
      <c r="P1793" s="22">
        <v>2</v>
      </c>
      <c r="Q1793" s="22">
        <v>0</v>
      </c>
      <c r="R1793" s="20"/>
      <c r="S1793" s="234">
        <f>COUNTIFS(INP_DATA!$R$5:$R$3027,S$4,INP_DATA!$D$5:$D$3027,$D1793,INP_DATA!$B$5:$B$3027,$B1793)</f>
        <v>0</v>
      </c>
      <c r="T1793" s="235">
        <f>COUNTIFS(INP_DATA!$R$5:$R$3027,T$4,INP_DATA!$D$5:$D$3027,$D1793,INP_DATA!$B$5:$B$3027,$B1793)</f>
        <v>0</v>
      </c>
    </row>
    <row r="1794" spans="1:20" x14ac:dyDescent="0.35">
      <c r="A1794" s="3" t="str">
        <f>IF(D1794="","",(VLOOKUP($D1794,KEY!$B$5:$D$74,3,FALSE)))</f>
        <v>Southern California</v>
      </c>
      <c r="B1794" s="165">
        <f t="shared" ref="B1794:B1857" si="17">B1793</f>
        <v>45839</v>
      </c>
      <c r="C1794" s="57" t="str">
        <f>IF($B1794="","",YEAR($B1794)&amp;"-"&amp;IFERROR(VLOOKUP(MONTH(B1794),KEY!$AE$5:$AF$16,2,FALSE),""))</f>
        <v>2025-Q3</v>
      </c>
      <c r="D1794" s="3" t="s">
        <v>112</v>
      </c>
      <c r="E1794" s="219">
        <v>8</v>
      </c>
      <c r="F1794" s="166">
        <v>38</v>
      </c>
      <c r="G1794" s="166">
        <v>32</v>
      </c>
      <c r="H1794" s="21">
        <v>81</v>
      </c>
      <c r="I1794" s="21">
        <v>11</v>
      </c>
      <c r="J1794" s="21">
        <v>27</v>
      </c>
      <c r="K1794" s="21">
        <v>7</v>
      </c>
      <c r="L1794" s="21">
        <v>63</v>
      </c>
      <c r="M1794" s="21">
        <v>28</v>
      </c>
      <c r="N1794" s="21">
        <v>38</v>
      </c>
      <c r="O1794" s="19">
        <v>88</v>
      </c>
      <c r="P1794" s="22">
        <v>4</v>
      </c>
      <c r="Q1794" s="22">
        <v>3</v>
      </c>
      <c r="R1794" s="20"/>
      <c r="S1794" s="234">
        <f>COUNTIFS(INP_DATA!$R$5:$R$3027,S$4,INP_DATA!$D$5:$D$3027,$D1794,INP_DATA!$B$5:$B$3027,$B1794)</f>
        <v>0</v>
      </c>
      <c r="T1794" s="235">
        <f>COUNTIFS(INP_DATA!$R$5:$R$3027,T$4,INP_DATA!$D$5:$D$3027,$D1794,INP_DATA!$B$5:$B$3027,$B1794)</f>
        <v>0</v>
      </c>
    </row>
    <row r="1795" spans="1:20" x14ac:dyDescent="0.35">
      <c r="A1795" s="3" t="str">
        <f>IF(D1795="","",(VLOOKUP($D1795,KEY!$B$5:$D$74,3,FALSE)))</f>
        <v>Arizona</v>
      </c>
      <c r="B1795" s="165">
        <f t="shared" si="17"/>
        <v>45839</v>
      </c>
      <c r="C1795" s="57" t="str">
        <f>IF($B1795="","",YEAR($B1795)&amp;"-"&amp;IFERROR(VLOOKUP(MONTH(B1795),KEY!$AE$5:$AF$16,2,FALSE),""))</f>
        <v>2025-Q3</v>
      </c>
      <c r="D1795" s="3" t="s">
        <v>113</v>
      </c>
      <c r="E1795" s="219">
        <v>9</v>
      </c>
      <c r="F1795" s="166">
        <v>54</v>
      </c>
      <c r="G1795" s="166">
        <v>60</v>
      </c>
      <c r="H1795" s="21">
        <v>118</v>
      </c>
      <c r="I1795" s="21">
        <v>20</v>
      </c>
      <c r="J1795" s="21">
        <v>37</v>
      </c>
      <c r="K1795" s="21">
        <v>9</v>
      </c>
      <c r="L1795" s="21">
        <v>119</v>
      </c>
      <c r="M1795" s="21">
        <v>45</v>
      </c>
      <c r="N1795" s="21">
        <v>53</v>
      </c>
      <c r="O1795" s="19">
        <v>132</v>
      </c>
      <c r="P1795" s="22">
        <v>2</v>
      </c>
      <c r="Q1795" s="22">
        <v>1</v>
      </c>
      <c r="R1795" s="20"/>
      <c r="S1795" s="234">
        <f>COUNTIFS(INP_DATA!$R$5:$R$3027,S$4,INP_DATA!$D$5:$D$3027,$D1795,INP_DATA!$B$5:$B$3027,$B1795)</f>
        <v>0</v>
      </c>
      <c r="T1795" s="235">
        <f>COUNTIFS(INP_DATA!$R$5:$R$3027,T$4,INP_DATA!$D$5:$D$3027,$D1795,INP_DATA!$B$5:$B$3027,$B1795)</f>
        <v>0</v>
      </c>
    </row>
    <row r="1796" spans="1:20" x14ac:dyDescent="0.35">
      <c r="A1796" s="3" t="str">
        <f>IF(D1796="","",(VLOOKUP($D1796,KEY!$B$5:$D$74,3,FALSE)))</f>
        <v>Southern California</v>
      </c>
      <c r="B1796" s="165">
        <f t="shared" si="17"/>
        <v>45839</v>
      </c>
      <c r="C1796" s="57" t="str">
        <f>IF($B1796="","",YEAR($B1796)&amp;"-"&amp;IFERROR(VLOOKUP(MONTH(B1796),KEY!$AE$5:$AF$16,2,FALSE),""))</f>
        <v>2025-Q3</v>
      </c>
      <c r="D1796" s="3" t="s">
        <v>114</v>
      </c>
      <c r="E1796" s="219">
        <v>23</v>
      </c>
      <c r="F1796" s="166">
        <v>66</v>
      </c>
      <c r="G1796" s="166">
        <v>39</v>
      </c>
      <c r="H1796" s="21">
        <v>82</v>
      </c>
      <c r="I1796" s="21">
        <v>14</v>
      </c>
      <c r="J1796" s="21">
        <v>38</v>
      </c>
      <c r="K1796" s="21">
        <v>11</v>
      </c>
      <c r="L1796" s="21">
        <v>85</v>
      </c>
      <c r="M1796" s="21">
        <v>38</v>
      </c>
      <c r="N1796" s="21">
        <v>73</v>
      </c>
      <c r="O1796" s="19">
        <v>88</v>
      </c>
      <c r="P1796" s="22">
        <v>15</v>
      </c>
      <c r="Q1796" s="22">
        <v>10</v>
      </c>
      <c r="R1796" s="20"/>
      <c r="S1796" s="234">
        <f>COUNTIFS(INP_DATA!$R$5:$R$3027,S$4,INP_DATA!$D$5:$D$3027,$D1796,INP_DATA!$B$5:$B$3027,$B1796)</f>
        <v>0</v>
      </c>
      <c r="T1796" s="235">
        <f>COUNTIFS(INP_DATA!$R$5:$R$3027,T$4,INP_DATA!$D$5:$D$3027,$D1796,INP_DATA!$B$5:$B$3027,$B1796)</f>
        <v>0</v>
      </c>
    </row>
    <row r="1797" spans="1:20" x14ac:dyDescent="0.35">
      <c r="A1797" s="3" t="str">
        <f>IF(D1797="","",(VLOOKUP($D1797,KEY!$B$5:$D$74,3,FALSE)))</f>
        <v>Orange County</v>
      </c>
      <c r="B1797" s="165">
        <f t="shared" si="17"/>
        <v>45839</v>
      </c>
      <c r="C1797" s="57" t="str">
        <f>IF($B1797="","",YEAR($B1797)&amp;"-"&amp;IFERROR(VLOOKUP(MONTH(B1797),KEY!$AE$5:$AF$16,2,FALSE),""))</f>
        <v>2025-Q3</v>
      </c>
      <c r="D1797" s="3" t="s">
        <v>115</v>
      </c>
      <c r="E1797" s="219">
        <v>8</v>
      </c>
      <c r="F1797" s="166">
        <v>72</v>
      </c>
      <c r="G1797" s="166">
        <v>47</v>
      </c>
      <c r="H1797" s="21">
        <v>106</v>
      </c>
      <c r="I1797" s="21">
        <v>27</v>
      </c>
      <c r="J1797" s="21">
        <v>40</v>
      </c>
      <c r="K1797" s="21">
        <v>12</v>
      </c>
      <c r="L1797" s="21">
        <v>90</v>
      </c>
      <c r="M1797" s="21">
        <v>50</v>
      </c>
      <c r="N1797" s="21">
        <v>72</v>
      </c>
      <c r="O1797" s="19">
        <v>88</v>
      </c>
      <c r="P1797" s="22">
        <v>12</v>
      </c>
      <c r="Q1797" s="22">
        <v>5</v>
      </c>
      <c r="R1797" s="20"/>
      <c r="S1797" s="234">
        <f>COUNTIFS(INP_DATA!$R$5:$R$3027,S$4,INP_DATA!$D$5:$D$3027,$D1797,INP_DATA!$B$5:$B$3027,$B1797)</f>
        <v>0</v>
      </c>
      <c r="T1797" s="235">
        <f>COUNTIFS(INP_DATA!$R$5:$R$3027,T$4,INP_DATA!$D$5:$D$3027,$D1797,INP_DATA!$B$5:$B$3027,$B1797)</f>
        <v>0</v>
      </c>
    </row>
    <row r="1798" spans="1:20" x14ac:dyDescent="0.35">
      <c r="A1798" s="3" t="str">
        <f>IF(D1798="","",(VLOOKUP($D1798,KEY!$B$5:$D$74,3,FALSE)))</f>
        <v>Arizona</v>
      </c>
      <c r="B1798" s="165">
        <f t="shared" si="17"/>
        <v>45839</v>
      </c>
      <c r="C1798" s="57" t="str">
        <f>IF($B1798="","",YEAR($B1798)&amp;"-"&amp;IFERROR(VLOOKUP(MONTH(B1798),KEY!$AE$5:$AF$16,2,FALSE),""))</f>
        <v>2025-Q3</v>
      </c>
      <c r="D1798" s="3" t="s">
        <v>116</v>
      </c>
      <c r="E1798" s="219">
        <v>25</v>
      </c>
      <c r="F1798" s="166">
        <v>118</v>
      </c>
      <c r="G1798" s="166">
        <v>127</v>
      </c>
      <c r="H1798" s="21">
        <v>290</v>
      </c>
      <c r="I1798" s="21">
        <v>40</v>
      </c>
      <c r="J1798" s="21">
        <v>94</v>
      </c>
      <c r="K1798" s="21">
        <v>18</v>
      </c>
      <c r="L1798" s="21">
        <v>195</v>
      </c>
      <c r="M1798" s="21">
        <v>81</v>
      </c>
      <c r="N1798" s="21">
        <v>120</v>
      </c>
      <c r="O1798" s="19">
        <v>242</v>
      </c>
      <c r="P1798" s="22">
        <v>14</v>
      </c>
      <c r="Q1798" s="22">
        <v>4</v>
      </c>
      <c r="R1798" s="20"/>
      <c r="S1798" s="234">
        <f>COUNTIFS(INP_DATA!$R$5:$R$3027,S$4,INP_DATA!$D$5:$D$3027,$D1798,INP_DATA!$B$5:$B$3027,$B1798)</f>
        <v>0</v>
      </c>
      <c r="T1798" s="235">
        <f>COUNTIFS(INP_DATA!$R$5:$R$3027,T$4,INP_DATA!$D$5:$D$3027,$D1798,INP_DATA!$B$5:$B$3027,$B1798)</f>
        <v>0</v>
      </c>
    </row>
    <row r="1799" spans="1:20" x14ac:dyDescent="0.35">
      <c r="A1799" s="3" t="str">
        <f>IF(D1799="","",(VLOOKUP($D1799,KEY!$B$5:$D$74,3,FALSE)))</f>
        <v>Northern California</v>
      </c>
      <c r="B1799" s="165">
        <f t="shared" si="17"/>
        <v>45839</v>
      </c>
      <c r="C1799" s="57" t="str">
        <f>IF($B1799="","",YEAR($B1799)&amp;"-"&amp;IFERROR(VLOOKUP(MONTH(B1799),KEY!$AE$5:$AF$16,2,FALSE),""))</f>
        <v>2025-Q3</v>
      </c>
      <c r="D1799" s="3" t="s">
        <v>118</v>
      </c>
      <c r="E1799" s="219">
        <v>34</v>
      </c>
      <c r="F1799" s="166">
        <v>215</v>
      </c>
      <c r="G1799" s="166">
        <v>148</v>
      </c>
      <c r="H1799" s="21">
        <v>414</v>
      </c>
      <c r="I1799" s="21">
        <v>65</v>
      </c>
      <c r="J1799" s="21">
        <v>179</v>
      </c>
      <c r="K1799" s="21">
        <v>44</v>
      </c>
      <c r="L1799" s="21">
        <v>414</v>
      </c>
      <c r="M1799" s="21">
        <v>139</v>
      </c>
      <c r="N1799" s="21">
        <v>224</v>
      </c>
      <c r="O1799" s="19">
        <v>286</v>
      </c>
      <c r="P1799" s="22">
        <v>34</v>
      </c>
      <c r="Q1799" s="22">
        <v>21</v>
      </c>
      <c r="R1799" s="20"/>
      <c r="S1799" s="234">
        <f>COUNTIFS(INP_DATA!$R$5:$R$3027,S$4,INP_DATA!$D$5:$D$3027,$D1799,INP_DATA!$B$5:$B$3027,$B1799)</f>
        <v>0</v>
      </c>
      <c r="T1799" s="235">
        <f>COUNTIFS(INP_DATA!$R$5:$R$3027,T$4,INP_DATA!$D$5:$D$3027,$D1799,INP_DATA!$B$5:$B$3027,$B1799)</f>
        <v>0</v>
      </c>
    </row>
    <row r="1800" spans="1:20" x14ac:dyDescent="0.35">
      <c r="A1800" s="3" t="str">
        <f>IF(D1800="","",(VLOOKUP($D1800,KEY!$B$5:$D$74,3,FALSE)))</f>
        <v>Orange County</v>
      </c>
      <c r="B1800" s="165">
        <f t="shared" si="17"/>
        <v>45839</v>
      </c>
      <c r="C1800" s="57" t="str">
        <f>IF($B1800="","",YEAR($B1800)&amp;"-"&amp;IFERROR(VLOOKUP(MONTH(B1800),KEY!$AE$5:$AF$16,2,FALSE),""))</f>
        <v>2025-Q3</v>
      </c>
      <c r="D1800" s="3" t="s">
        <v>117</v>
      </c>
      <c r="E1800" s="219">
        <v>14</v>
      </c>
      <c r="F1800" s="166">
        <v>101</v>
      </c>
      <c r="G1800" s="166">
        <v>74</v>
      </c>
      <c r="H1800" s="21">
        <v>198</v>
      </c>
      <c r="I1800" s="21">
        <v>27</v>
      </c>
      <c r="J1800" s="21">
        <v>75</v>
      </c>
      <c r="K1800" s="21">
        <v>29</v>
      </c>
      <c r="L1800" s="21">
        <v>192</v>
      </c>
      <c r="M1800" s="21">
        <v>74</v>
      </c>
      <c r="N1800" s="21">
        <v>103</v>
      </c>
      <c r="O1800" s="19">
        <v>154</v>
      </c>
      <c r="P1800" s="22">
        <v>17</v>
      </c>
      <c r="Q1800" s="22">
        <v>13</v>
      </c>
      <c r="R1800" s="20"/>
      <c r="S1800" s="234">
        <f>COUNTIFS(INP_DATA!$R$5:$R$3027,S$4,INP_DATA!$D$5:$D$3027,$D1800,INP_DATA!$B$5:$B$3027,$B1800)</f>
        <v>0</v>
      </c>
      <c r="T1800" s="235">
        <f>COUNTIFS(INP_DATA!$R$5:$R$3027,T$4,INP_DATA!$D$5:$D$3027,$D1800,INP_DATA!$B$5:$B$3027,$B1800)</f>
        <v>0</v>
      </c>
    </row>
    <row r="1801" spans="1:20" x14ac:dyDescent="0.35">
      <c r="A1801" s="3" t="str">
        <f>IF(D1801="","",(VLOOKUP($D1801,KEY!$B$5:$D$74,3,FALSE)))</f>
        <v>Arizona</v>
      </c>
      <c r="B1801" s="165">
        <f t="shared" si="17"/>
        <v>45839</v>
      </c>
      <c r="C1801" s="57" t="str">
        <f>IF($B1801="","",YEAR($B1801)&amp;"-"&amp;IFERROR(VLOOKUP(MONTH(B1801),KEY!$AE$5:$AF$16,2,FALSE),""))</f>
        <v>2025-Q3</v>
      </c>
      <c r="D1801" s="3" t="s">
        <v>119</v>
      </c>
      <c r="E1801" s="219">
        <v>8</v>
      </c>
      <c r="F1801" s="166">
        <v>18</v>
      </c>
      <c r="G1801" s="166">
        <v>17</v>
      </c>
      <c r="H1801" s="21">
        <v>15</v>
      </c>
      <c r="I1801" s="21">
        <v>5</v>
      </c>
      <c r="J1801" s="21">
        <v>10</v>
      </c>
      <c r="K1801" s="21">
        <v>4</v>
      </c>
      <c r="L1801" s="21">
        <v>103</v>
      </c>
      <c r="M1801" s="21">
        <v>5</v>
      </c>
      <c r="N1801" s="21">
        <v>18</v>
      </c>
      <c r="O1801" s="19">
        <v>48</v>
      </c>
      <c r="P1801" s="22">
        <v>1</v>
      </c>
      <c r="Q1801" s="22">
        <v>0</v>
      </c>
      <c r="R1801" s="20"/>
      <c r="S1801" s="234">
        <f>COUNTIFS(INP_DATA!$R$5:$R$3027,S$4,INP_DATA!$D$5:$D$3027,$D1801,INP_DATA!$B$5:$B$3027,$B1801)</f>
        <v>0</v>
      </c>
      <c r="T1801" s="235">
        <f>COUNTIFS(INP_DATA!$R$5:$R$3027,T$4,INP_DATA!$D$5:$D$3027,$D1801,INP_DATA!$B$5:$B$3027,$B1801)</f>
        <v>0</v>
      </c>
    </row>
    <row r="1802" spans="1:20" x14ac:dyDescent="0.35">
      <c r="A1802" s="3" t="str">
        <f>IF(D1802="","",(VLOOKUP($D1802,KEY!$B$5:$D$74,3,FALSE)))</f>
        <v/>
      </c>
      <c r="B1802" s="165">
        <f t="shared" si="17"/>
        <v>45839</v>
      </c>
      <c r="C1802" s="57" t="str">
        <f>IF($B1802="","",YEAR($B1802)&amp;"-"&amp;IFERROR(VLOOKUP(MONTH(B1802),KEY!$AE$5:$AF$16,2,FALSE),""))</f>
        <v>2025-Q3</v>
      </c>
      <c r="D1802" s="3"/>
      <c r="E1802" s="219"/>
      <c r="F1802" s="166"/>
      <c r="G1802" s="166"/>
      <c r="H1802" s="21"/>
      <c r="I1802" s="21"/>
      <c r="J1802" s="21"/>
      <c r="K1802" s="21"/>
      <c r="L1802" s="21"/>
      <c r="M1802" s="21"/>
      <c r="N1802" s="21"/>
      <c r="O1802" s="19"/>
      <c r="P1802" s="22"/>
      <c r="Q1802" s="22"/>
      <c r="R1802" s="20"/>
      <c r="S1802" s="234">
        <f>COUNTIFS(INP_DATA!$R$5:$R$3027,S$4,INP_DATA!$D$5:$D$3027,$D1802,INP_DATA!$B$5:$B$3027,$B1802)</f>
        <v>0</v>
      </c>
      <c r="T1802" s="235">
        <f>COUNTIFS(INP_DATA!$R$5:$R$3027,T$4,INP_DATA!$D$5:$D$3027,$D1802,INP_DATA!$B$5:$B$3027,$B1802)</f>
        <v>0</v>
      </c>
    </row>
    <row r="1803" spans="1:20" x14ac:dyDescent="0.35">
      <c r="A1803" s="3" t="str">
        <f>IF(D1803="","",(VLOOKUP($D1803,KEY!$B$5:$D$74,3,FALSE)))</f>
        <v>Arizona</v>
      </c>
      <c r="B1803" s="165">
        <f t="shared" si="17"/>
        <v>45839</v>
      </c>
      <c r="C1803" s="57" t="str">
        <f>IF($B1803="","",YEAR($B1803)&amp;"-"&amp;IFERROR(VLOOKUP(MONTH(B1803),KEY!$AE$5:$AF$16,2,FALSE),""))</f>
        <v>2025-Q3</v>
      </c>
      <c r="D1803" s="3" t="s">
        <v>120</v>
      </c>
      <c r="E1803" s="219">
        <v>62</v>
      </c>
      <c r="F1803" s="166">
        <v>274</v>
      </c>
      <c r="G1803" s="166">
        <v>272</v>
      </c>
      <c r="H1803" s="21">
        <v>535</v>
      </c>
      <c r="I1803" s="21">
        <v>70</v>
      </c>
      <c r="J1803" s="21">
        <v>235</v>
      </c>
      <c r="K1803" s="21">
        <v>37</v>
      </c>
      <c r="L1803" s="21">
        <v>505</v>
      </c>
      <c r="M1803" s="21">
        <v>177</v>
      </c>
      <c r="N1803" s="21">
        <v>280</v>
      </c>
      <c r="O1803" s="19">
        <v>528</v>
      </c>
      <c r="P1803" s="22">
        <v>43</v>
      </c>
      <c r="Q1803" s="22">
        <v>27</v>
      </c>
      <c r="R1803" s="20"/>
      <c r="S1803" s="234">
        <f>COUNTIFS(INP_DATA!$R$5:$R$3027,S$4,INP_DATA!$D$5:$D$3027,$D1803,INP_DATA!$B$5:$B$3027,$B1803)</f>
        <v>0</v>
      </c>
      <c r="T1803" s="235">
        <f>COUNTIFS(INP_DATA!$R$5:$R$3027,T$4,INP_DATA!$D$5:$D$3027,$D1803,INP_DATA!$B$5:$B$3027,$B1803)</f>
        <v>0</v>
      </c>
    </row>
    <row r="1804" spans="1:20" x14ac:dyDescent="0.35">
      <c r="A1804" s="3" t="str">
        <f>IF(D1804="","",(VLOOKUP($D1804,KEY!$B$5:$D$74,3,FALSE)))</f>
        <v>Texas</v>
      </c>
      <c r="B1804" s="165">
        <f t="shared" si="17"/>
        <v>45839</v>
      </c>
      <c r="C1804" s="57" t="str">
        <f>IF($B1804="","",YEAR($B1804)&amp;"-"&amp;IFERROR(VLOOKUP(MONTH(B1804),KEY!$AE$5:$AF$16,2,FALSE),""))</f>
        <v>2025-Q3</v>
      </c>
      <c r="D1804" s="3" t="s">
        <v>121</v>
      </c>
      <c r="E1804" s="219">
        <v>49</v>
      </c>
      <c r="F1804" s="166">
        <v>235</v>
      </c>
      <c r="G1804" s="166">
        <v>230</v>
      </c>
      <c r="H1804" s="21">
        <v>493</v>
      </c>
      <c r="I1804" s="21">
        <v>80</v>
      </c>
      <c r="J1804" s="21">
        <v>189</v>
      </c>
      <c r="K1804" s="21">
        <v>32</v>
      </c>
      <c r="L1804" s="21">
        <v>419</v>
      </c>
      <c r="M1804" s="21">
        <v>144</v>
      </c>
      <c r="N1804" s="21">
        <v>238</v>
      </c>
      <c r="O1804" s="19">
        <v>506</v>
      </c>
      <c r="P1804" s="22">
        <v>19</v>
      </c>
      <c r="Q1804" s="22">
        <v>13</v>
      </c>
      <c r="R1804" s="20"/>
      <c r="S1804" s="234">
        <f>COUNTIFS(INP_DATA!$R$5:$R$3027,S$4,INP_DATA!$D$5:$D$3027,$D1804,INP_DATA!$B$5:$B$3027,$B1804)</f>
        <v>0</v>
      </c>
      <c r="T1804" s="235">
        <f>COUNTIFS(INP_DATA!$R$5:$R$3027,T$4,INP_DATA!$D$5:$D$3027,$D1804,INP_DATA!$B$5:$B$3027,$B1804)</f>
        <v>0</v>
      </c>
    </row>
    <row r="1805" spans="1:20" x14ac:dyDescent="0.35">
      <c r="A1805" s="3" t="str">
        <f>IF(D1805="","",(VLOOKUP($D1805,KEY!$B$5:$D$74,3,FALSE)))</f>
        <v>Michigan &amp; Minnesota</v>
      </c>
      <c r="B1805" s="165">
        <f t="shared" si="17"/>
        <v>45839</v>
      </c>
      <c r="C1805" s="57" t="str">
        <f>IF($B1805="","",YEAR($B1805)&amp;"-"&amp;IFERROR(VLOOKUP(MONTH(B1805),KEY!$AE$5:$AF$16,2,FALSE),""))</f>
        <v>2025-Q3</v>
      </c>
      <c r="D1805" s="3" t="s">
        <v>200</v>
      </c>
      <c r="E1805" s="219">
        <v>16</v>
      </c>
      <c r="F1805" s="166">
        <v>145</v>
      </c>
      <c r="G1805" s="166">
        <v>131</v>
      </c>
      <c r="H1805" s="21">
        <v>349</v>
      </c>
      <c r="I1805" s="21">
        <v>22</v>
      </c>
      <c r="J1805" s="21">
        <v>232</v>
      </c>
      <c r="K1805" s="21">
        <v>34</v>
      </c>
      <c r="L1805" s="21">
        <v>271</v>
      </c>
      <c r="M1805" s="21">
        <v>75</v>
      </c>
      <c r="N1805" s="21">
        <v>145</v>
      </c>
      <c r="O1805" s="19">
        <v>242</v>
      </c>
      <c r="P1805" s="22">
        <v>18</v>
      </c>
      <c r="Q1805" s="22">
        <v>11</v>
      </c>
      <c r="R1805" s="20"/>
      <c r="S1805" s="234">
        <f>COUNTIFS(INP_DATA!$R$5:$R$3027,S$4,INP_DATA!$D$5:$D$3027,$D1805,INP_DATA!$B$5:$B$3027,$B1805)</f>
        <v>0</v>
      </c>
      <c r="T1805" s="235">
        <f>COUNTIFS(INP_DATA!$R$5:$R$3027,T$4,INP_DATA!$D$5:$D$3027,$D1805,INP_DATA!$B$5:$B$3027,$B1805)</f>
        <v>0</v>
      </c>
    </row>
    <row r="1806" spans="1:20" x14ac:dyDescent="0.35">
      <c r="A1806" s="3" t="str">
        <f>IF(D1806="","",(VLOOKUP($D1806,KEY!$B$5:$D$74,3,FALSE)))</f>
        <v>Southern California</v>
      </c>
      <c r="B1806" s="165">
        <f t="shared" si="17"/>
        <v>45839</v>
      </c>
      <c r="C1806" s="57" t="str">
        <f>IF($B1806="","",YEAR($B1806)&amp;"-"&amp;IFERROR(VLOOKUP(MONTH(B1806),KEY!$AE$5:$AF$16,2,FALSE),""))</f>
        <v>2025-Q3</v>
      </c>
      <c r="D1806" s="3" t="s">
        <v>122</v>
      </c>
      <c r="E1806" s="219">
        <v>2</v>
      </c>
      <c r="F1806" s="166">
        <v>69</v>
      </c>
      <c r="G1806" s="166">
        <v>78</v>
      </c>
      <c r="H1806" s="21">
        <v>293</v>
      </c>
      <c r="I1806" s="21">
        <v>25</v>
      </c>
      <c r="J1806" s="21">
        <v>132</v>
      </c>
      <c r="K1806" s="21">
        <v>10</v>
      </c>
      <c r="L1806" s="21">
        <v>133</v>
      </c>
      <c r="M1806" s="21">
        <v>43</v>
      </c>
      <c r="N1806" s="21">
        <v>70</v>
      </c>
      <c r="O1806" s="19">
        <v>220</v>
      </c>
      <c r="P1806" s="22">
        <v>9</v>
      </c>
      <c r="Q1806" s="22">
        <v>5</v>
      </c>
      <c r="R1806" s="20"/>
      <c r="S1806" s="234">
        <f>COUNTIFS(INP_DATA!$R$5:$R$3027,S$4,INP_DATA!$D$5:$D$3027,$D1806,INP_DATA!$B$5:$B$3027,$B1806)</f>
        <v>0</v>
      </c>
      <c r="T1806" s="235">
        <f>COUNTIFS(INP_DATA!$R$5:$R$3027,T$4,INP_DATA!$D$5:$D$3027,$D1806,INP_DATA!$B$5:$B$3027,$B1806)</f>
        <v>0</v>
      </c>
    </row>
    <row r="1807" spans="1:20" x14ac:dyDescent="0.35">
      <c r="A1807" s="3" t="str">
        <f>IF(D1807="","",(VLOOKUP($D1807,KEY!$B$5:$D$74,3,FALSE)))</f>
        <v>Orange County</v>
      </c>
      <c r="B1807" s="165">
        <f t="shared" si="17"/>
        <v>45839</v>
      </c>
      <c r="C1807" s="57" t="str">
        <f>IF($B1807="","",YEAR($B1807)&amp;"-"&amp;IFERROR(VLOOKUP(MONTH(B1807),KEY!$AE$5:$AF$16,2,FALSE),""))</f>
        <v>2025-Q3</v>
      </c>
      <c r="D1807" s="3" t="s">
        <v>123</v>
      </c>
      <c r="E1807" s="219">
        <v>51</v>
      </c>
      <c r="F1807" s="166">
        <v>256</v>
      </c>
      <c r="G1807" s="166">
        <v>244</v>
      </c>
      <c r="H1807" s="21">
        <v>382</v>
      </c>
      <c r="I1807" s="21">
        <v>62</v>
      </c>
      <c r="J1807" s="21">
        <v>217</v>
      </c>
      <c r="K1807" s="21">
        <v>37</v>
      </c>
      <c r="L1807" s="21">
        <v>428</v>
      </c>
      <c r="M1807" s="21">
        <v>176</v>
      </c>
      <c r="N1807" s="21">
        <v>228</v>
      </c>
      <c r="O1807" s="19">
        <v>418</v>
      </c>
      <c r="P1807" s="22">
        <v>16</v>
      </c>
      <c r="Q1807" s="22">
        <v>10</v>
      </c>
      <c r="R1807" s="20"/>
      <c r="S1807" s="234">
        <f>COUNTIFS(INP_DATA!$R$5:$R$3027,S$4,INP_DATA!$D$5:$D$3027,$D1807,INP_DATA!$B$5:$B$3027,$B1807)</f>
        <v>0</v>
      </c>
      <c r="T1807" s="235">
        <f>COUNTIFS(INP_DATA!$R$5:$R$3027,T$4,INP_DATA!$D$5:$D$3027,$D1807,INP_DATA!$B$5:$B$3027,$B1807)</f>
        <v>0</v>
      </c>
    </row>
    <row r="1808" spans="1:20" x14ac:dyDescent="0.35">
      <c r="A1808" s="3" t="str">
        <f>IF(D1808="","",(VLOOKUP($D1808,KEY!$B$5:$D$74,3,FALSE)))</f>
        <v>Southern California</v>
      </c>
      <c r="B1808" s="165">
        <f t="shared" si="17"/>
        <v>45839</v>
      </c>
      <c r="C1808" s="57" t="str">
        <f>IF($B1808="","",YEAR($B1808)&amp;"-"&amp;IFERROR(VLOOKUP(MONTH(B1808),KEY!$AE$5:$AF$16,2,FALSE),""))</f>
        <v>2025-Q3</v>
      </c>
      <c r="D1808" s="3" t="s">
        <v>124</v>
      </c>
      <c r="E1808" s="219">
        <v>39</v>
      </c>
      <c r="F1808" s="166">
        <v>213</v>
      </c>
      <c r="G1808" s="166">
        <v>238</v>
      </c>
      <c r="H1808" s="21">
        <v>294</v>
      </c>
      <c r="I1808" s="21">
        <v>55</v>
      </c>
      <c r="J1808" s="21">
        <v>219</v>
      </c>
      <c r="K1808" s="21">
        <v>50</v>
      </c>
      <c r="L1808" s="21">
        <v>363</v>
      </c>
      <c r="M1808" s="21">
        <v>144</v>
      </c>
      <c r="N1808" s="21">
        <v>213</v>
      </c>
      <c r="O1808" s="19">
        <v>462</v>
      </c>
      <c r="P1808" s="22">
        <v>26</v>
      </c>
      <c r="Q1808" s="22">
        <v>18</v>
      </c>
      <c r="R1808" s="20"/>
      <c r="S1808" s="234">
        <f>COUNTIFS(INP_DATA!$R$5:$R$3027,S$4,INP_DATA!$D$5:$D$3027,$D1808,INP_DATA!$B$5:$B$3027,$B1808)</f>
        <v>0</v>
      </c>
      <c r="T1808" s="235">
        <f>COUNTIFS(INP_DATA!$R$5:$R$3027,T$4,INP_DATA!$D$5:$D$3027,$D1808,INP_DATA!$B$5:$B$3027,$B1808)</f>
        <v>0</v>
      </c>
    </row>
    <row r="1809" spans="1:20" x14ac:dyDescent="0.35">
      <c r="A1809" s="3" t="str">
        <f>IF(D1809="","",(VLOOKUP($D1809,KEY!$B$5:$D$74,3,FALSE)))</f>
        <v>Northern California</v>
      </c>
      <c r="B1809" s="165">
        <f t="shared" si="17"/>
        <v>45839</v>
      </c>
      <c r="C1809" s="57" t="str">
        <f>IF($B1809="","",YEAR($B1809)&amp;"-"&amp;IFERROR(VLOOKUP(MONTH(B1809),KEY!$AE$5:$AF$16,2,FALSE),""))</f>
        <v>2025-Q3</v>
      </c>
      <c r="D1809" s="3" t="s">
        <v>195</v>
      </c>
      <c r="E1809" s="219">
        <v>6</v>
      </c>
      <c r="F1809" s="166">
        <v>51</v>
      </c>
      <c r="G1809" s="166">
        <v>53</v>
      </c>
      <c r="H1809" s="21">
        <v>135</v>
      </c>
      <c r="I1809" s="21">
        <v>24</v>
      </c>
      <c r="J1809" s="21">
        <v>38</v>
      </c>
      <c r="K1809" s="21">
        <v>11</v>
      </c>
      <c r="L1809" s="21">
        <v>92</v>
      </c>
      <c r="M1809" s="21">
        <v>29</v>
      </c>
      <c r="N1809" s="21">
        <v>51</v>
      </c>
      <c r="O1809" s="19">
        <v>110</v>
      </c>
      <c r="P1809" s="22">
        <v>1</v>
      </c>
      <c r="Q1809" s="22">
        <v>1</v>
      </c>
      <c r="R1809" s="20"/>
      <c r="S1809" s="234">
        <f>COUNTIFS(INP_DATA!$R$5:$R$3027,S$4,INP_DATA!$D$5:$D$3027,$D1809,INP_DATA!$B$5:$B$3027,$B1809)</f>
        <v>0</v>
      </c>
      <c r="T1809" s="235">
        <f>COUNTIFS(INP_DATA!$R$5:$R$3027,T$4,INP_DATA!$D$5:$D$3027,$D1809,INP_DATA!$B$5:$B$3027,$B1809)</f>
        <v>0</v>
      </c>
    </row>
    <row r="1810" spans="1:20" x14ac:dyDescent="0.35">
      <c r="A1810" s="3" t="str">
        <f>IF(D1810="","",(VLOOKUP($D1810,KEY!$B$5:$D$74,3,FALSE)))</f>
        <v>Northern California</v>
      </c>
      <c r="B1810" s="165">
        <f t="shared" si="17"/>
        <v>45839</v>
      </c>
      <c r="C1810" s="57" t="str">
        <f>IF($B1810="","",YEAR($B1810)&amp;"-"&amp;IFERROR(VLOOKUP(MONTH(B1810),KEY!$AE$5:$AF$16,2,FALSE),""))</f>
        <v>2025-Q3</v>
      </c>
      <c r="D1810" s="3" t="s">
        <v>125</v>
      </c>
      <c r="E1810" s="219">
        <v>44</v>
      </c>
      <c r="F1810" s="166">
        <v>277</v>
      </c>
      <c r="G1810" s="166">
        <v>280</v>
      </c>
      <c r="H1810" s="21">
        <v>430</v>
      </c>
      <c r="I1810" s="21">
        <v>52</v>
      </c>
      <c r="J1810" s="21">
        <v>158</v>
      </c>
      <c r="K1810" s="21">
        <v>26</v>
      </c>
      <c r="L1810" s="21">
        <v>431</v>
      </c>
      <c r="M1810" s="21">
        <v>118</v>
      </c>
      <c r="N1810" s="21">
        <v>287</v>
      </c>
      <c r="O1810" s="19">
        <v>484</v>
      </c>
      <c r="P1810" s="22">
        <v>14</v>
      </c>
      <c r="Q1810" s="22">
        <v>12</v>
      </c>
      <c r="R1810" s="20"/>
      <c r="S1810" s="234">
        <f>COUNTIFS(INP_DATA!$R$5:$R$3027,S$4,INP_DATA!$D$5:$D$3027,$D1810,INP_DATA!$B$5:$B$3027,$B1810)</f>
        <v>0</v>
      </c>
      <c r="T1810" s="235">
        <f>COUNTIFS(INP_DATA!$R$5:$R$3027,T$4,INP_DATA!$D$5:$D$3027,$D1810,INP_DATA!$B$5:$B$3027,$B1810)</f>
        <v>0</v>
      </c>
    </row>
    <row r="1811" spans="1:20" x14ac:dyDescent="0.35">
      <c r="A1811" s="3" t="str">
        <f>IF(D1811="","",(VLOOKUP($D1811,KEY!$B$5:$D$74,3,FALSE)))</f>
        <v>Orange County</v>
      </c>
      <c r="B1811" s="165">
        <f t="shared" si="17"/>
        <v>45839</v>
      </c>
      <c r="C1811" s="57" t="str">
        <f>IF($B1811="","",YEAR($B1811)&amp;"-"&amp;IFERROR(VLOOKUP(MONTH(B1811),KEY!$AE$5:$AF$16,2,FALSE),""))</f>
        <v>2025-Q3</v>
      </c>
      <c r="D1811" s="3" t="s">
        <v>126</v>
      </c>
      <c r="E1811" s="219">
        <v>78</v>
      </c>
      <c r="F1811" s="166">
        <v>451</v>
      </c>
      <c r="G1811" s="166">
        <v>450</v>
      </c>
      <c r="H1811" s="21">
        <v>635</v>
      </c>
      <c r="I1811" s="21">
        <v>118</v>
      </c>
      <c r="J1811" s="21">
        <v>347</v>
      </c>
      <c r="K1811" s="21">
        <v>112</v>
      </c>
      <c r="L1811" s="21">
        <v>637</v>
      </c>
      <c r="M1811" s="21">
        <v>285</v>
      </c>
      <c r="N1811" s="21">
        <v>452</v>
      </c>
      <c r="O1811" s="19">
        <v>594</v>
      </c>
      <c r="P1811" s="22">
        <v>152</v>
      </c>
      <c r="Q1811" s="22">
        <v>97</v>
      </c>
      <c r="R1811" s="20"/>
      <c r="S1811" s="234">
        <f>COUNTIFS(INP_DATA!$R$5:$R$3027,S$4,INP_DATA!$D$5:$D$3027,$D1811,INP_DATA!$B$5:$B$3027,$B1811)</f>
        <v>0</v>
      </c>
      <c r="T1811" s="235">
        <f>COUNTIFS(INP_DATA!$R$5:$R$3027,T$4,INP_DATA!$D$5:$D$3027,$D1811,INP_DATA!$B$5:$B$3027,$B1811)</f>
        <v>0</v>
      </c>
    </row>
    <row r="1812" spans="1:20" x14ac:dyDescent="0.35">
      <c r="A1812" s="3" t="str">
        <f>IF(D1812="","",(VLOOKUP($D1812,KEY!$B$5:$D$74,3,FALSE)))</f>
        <v>Orange County</v>
      </c>
      <c r="B1812" s="165">
        <f t="shared" si="17"/>
        <v>45839</v>
      </c>
      <c r="C1812" s="57" t="str">
        <f>IF($B1812="","",YEAR($B1812)&amp;"-"&amp;IFERROR(VLOOKUP(MONTH(B1812),KEY!$AE$5:$AF$16,2,FALSE),""))</f>
        <v>2025-Q3</v>
      </c>
      <c r="D1812" s="3" t="s">
        <v>127</v>
      </c>
      <c r="E1812" s="219">
        <v>12</v>
      </c>
      <c r="F1812" s="166">
        <v>44</v>
      </c>
      <c r="G1812" s="166">
        <v>35</v>
      </c>
      <c r="H1812" s="21">
        <v>69</v>
      </c>
      <c r="I1812" s="21">
        <v>14</v>
      </c>
      <c r="J1812" s="21">
        <v>27</v>
      </c>
      <c r="K1812" s="21">
        <v>5</v>
      </c>
      <c r="L1812" s="21">
        <v>71</v>
      </c>
      <c r="M1812" s="21">
        <v>38</v>
      </c>
      <c r="N1812" s="21">
        <v>44</v>
      </c>
      <c r="O1812" s="19">
        <v>77</v>
      </c>
      <c r="P1812" s="22">
        <v>16</v>
      </c>
      <c r="Q1812" s="22">
        <v>10</v>
      </c>
      <c r="R1812" s="20"/>
      <c r="S1812" s="234">
        <f>COUNTIFS(INP_DATA!$R$5:$R$3027,S$4,INP_DATA!$D$5:$D$3027,$D1812,INP_DATA!$B$5:$B$3027,$B1812)</f>
        <v>0</v>
      </c>
      <c r="T1812" s="235">
        <f>COUNTIFS(INP_DATA!$R$5:$R$3027,T$4,INP_DATA!$D$5:$D$3027,$D1812,INP_DATA!$B$5:$B$3027,$B1812)</f>
        <v>0</v>
      </c>
    </row>
    <row r="1813" spans="1:20" x14ac:dyDescent="0.35">
      <c r="A1813" s="3" t="str">
        <f>IF(D1813="","",(VLOOKUP($D1813,KEY!$B$5:$D$74,3,FALSE)))</f>
        <v>Wisconsin</v>
      </c>
      <c r="B1813" s="165">
        <f t="shared" si="17"/>
        <v>45839</v>
      </c>
      <c r="C1813" s="57" t="str">
        <f>IF($B1813="","",YEAR($B1813)&amp;"-"&amp;IFERROR(VLOOKUP(MONTH(B1813),KEY!$AE$5:$AF$16,2,FALSE),""))</f>
        <v>2025-Q3</v>
      </c>
      <c r="D1813" s="3" t="s">
        <v>201</v>
      </c>
      <c r="E1813" s="219">
        <v>26</v>
      </c>
      <c r="F1813" s="166">
        <v>217</v>
      </c>
      <c r="G1813" s="166">
        <v>195</v>
      </c>
      <c r="H1813" s="21">
        <v>323</v>
      </c>
      <c r="I1813" s="21">
        <v>47</v>
      </c>
      <c r="J1813" s="21">
        <v>167</v>
      </c>
      <c r="K1813" s="21">
        <v>41</v>
      </c>
      <c r="L1813" s="21">
        <v>240</v>
      </c>
      <c r="M1813" s="21">
        <v>106</v>
      </c>
      <c r="N1813" s="21">
        <v>218</v>
      </c>
      <c r="O1813" s="19">
        <v>308</v>
      </c>
      <c r="P1813" s="22">
        <v>6</v>
      </c>
      <c r="Q1813" s="22">
        <v>5</v>
      </c>
      <c r="R1813" s="20"/>
      <c r="S1813" s="234">
        <f>COUNTIFS(INP_DATA!$R$5:$R$3027,S$4,INP_DATA!$D$5:$D$3027,$D1813,INP_DATA!$B$5:$B$3027,$B1813)</f>
        <v>0</v>
      </c>
      <c r="T1813" s="235">
        <f>COUNTIFS(INP_DATA!$R$5:$R$3027,T$4,INP_DATA!$D$5:$D$3027,$D1813,INP_DATA!$B$5:$B$3027,$B1813)</f>
        <v>0</v>
      </c>
    </row>
    <row r="1814" spans="1:20" x14ac:dyDescent="0.35">
      <c r="A1814" s="3" t="e">
        <f>IF(D1814="","",(VLOOKUP($D1814,KEY!$B$5:$D$74,3,FALSE)))</f>
        <v>#N/A</v>
      </c>
      <c r="B1814" s="165">
        <f t="shared" si="17"/>
        <v>45839</v>
      </c>
      <c r="C1814" s="57" t="str">
        <f>IF($B1814="","",YEAR($B1814)&amp;"-"&amp;IFERROR(VLOOKUP(MONTH(B1814),KEY!$AE$5:$AF$16,2,FALSE),""))</f>
        <v>2025-Q3</v>
      </c>
      <c r="D1814" s="3" t="s">
        <v>202</v>
      </c>
      <c r="E1814" s="219">
        <v>3</v>
      </c>
      <c r="F1814" s="166">
        <v>30</v>
      </c>
      <c r="G1814" s="166">
        <v>35</v>
      </c>
      <c r="H1814" s="21">
        <v>50</v>
      </c>
      <c r="I1814" s="21">
        <v>5</v>
      </c>
      <c r="J1814" s="21">
        <v>31</v>
      </c>
      <c r="K1814" s="21">
        <v>9</v>
      </c>
      <c r="L1814" s="21">
        <v>38</v>
      </c>
      <c r="M1814" s="21">
        <v>21</v>
      </c>
      <c r="N1814" s="21">
        <v>30</v>
      </c>
      <c r="O1814" s="19">
        <v>66</v>
      </c>
      <c r="P1814" s="22">
        <v>4</v>
      </c>
      <c r="Q1814" s="22">
        <v>1</v>
      </c>
      <c r="R1814" s="20"/>
      <c r="S1814" s="234">
        <f>COUNTIFS(INP_DATA!$R$5:$R$3027,S$4,INP_DATA!$D$5:$D$3027,$D1814,INP_DATA!$B$5:$B$3027,$B1814)</f>
        <v>0</v>
      </c>
      <c r="T1814" s="235">
        <f>COUNTIFS(INP_DATA!$R$5:$R$3027,T$4,INP_DATA!$D$5:$D$3027,$D1814,INP_DATA!$B$5:$B$3027,$B1814)</f>
        <v>0</v>
      </c>
    </row>
    <row r="1815" spans="1:20" x14ac:dyDescent="0.35">
      <c r="A1815" s="3" t="str">
        <f>IF(D1815="","",(VLOOKUP($D1815,KEY!$B$5:$D$74,3,FALSE)))</f>
        <v>Texas</v>
      </c>
      <c r="B1815" s="165">
        <f t="shared" si="17"/>
        <v>45839</v>
      </c>
      <c r="C1815" s="57" t="str">
        <f>IF($B1815="","",YEAR($B1815)&amp;"-"&amp;IFERROR(VLOOKUP(MONTH(B1815),KEY!$AE$5:$AF$16,2,FALSE),""))</f>
        <v>2025-Q3</v>
      </c>
      <c r="D1815" s="3" t="s">
        <v>198</v>
      </c>
      <c r="E1815" s="219">
        <v>5</v>
      </c>
      <c r="F1815" s="166">
        <v>74</v>
      </c>
      <c r="G1815" s="166">
        <v>72</v>
      </c>
      <c r="H1815" s="21">
        <v>135</v>
      </c>
      <c r="I1815" s="21">
        <v>20</v>
      </c>
      <c r="J1815" s="21">
        <v>67</v>
      </c>
      <c r="K1815" s="21">
        <v>16</v>
      </c>
      <c r="L1815" s="21">
        <v>72</v>
      </c>
      <c r="M1815" s="21">
        <v>34</v>
      </c>
      <c r="N1815" s="21">
        <v>74</v>
      </c>
      <c r="O1815" s="19">
        <v>176</v>
      </c>
      <c r="P1815" s="22">
        <v>1</v>
      </c>
      <c r="Q1815" s="22">
        <v>0</v>
      </c>
      <c r="R1815" s="20"/>
      <c r="S1815" s="234">
        <f>COUNTIFS(INP_DATA!$R$5:$R$3027,S$4,INP_DATA!$D$5:$D$3027,$D1815,INP_DATA!$B$5:$B$3027,$B1815)</f>
        <v>0</v>
      </c>
      <c r="T1815" s="235">
        <f>COUNTIFS(INP_DATA!$R$5:$R$3027,T$4,INP_DATA!$D$5:$D$3027,$D1815,INP_DATA!$B$5:$B$3027,$B1815)</f>
        <v>0</v>
      </c>
    </row>
    <row r="1816" spans="1:20" x14ac:dyDescent="0.35">
      <c r="A1816" s="3" t="str">
        <f>IF(D1816="","",(VLOOKUP($D1816,KEY!$B$5:$D$74,3,FALSE)))</f>
        <v>Texas</v>
      </c>
      <c r="B1816" s="165">
        <f t="shared" si="17"/>
        <v>45839</v>
      </c>
      <c r="C1816" s="57" t="str">
        <f>IF($B1816="","",YEAR($B1816)&amp;"-"&amp;IFERROR(VLOOKUP(MONTH(B1816),KEY!$AE$5:$AF$16,2,FALSE),""))</f>
        <v>2025-Q3</v>
      </c>
      <c r="D1816" s="3" t="s">
        <v>128</v>
      </c>
      <c r="E1816" s="219">
        <v>45</v>
      </c>
      <c r="F1816" s="166">
        <v>237</v>
      </c>
      <c r="G1816" s="166">
        <v>260</v>
      </c>
      <c r="H1816" s="21">
        <v>642</v>
      </c>
      <c r="I1816" s="21">
        <v>83</v>
      </c>
      <c r="J1816" s="21">
        <v>245</v>
      </c>
      <c r="K1816" s="21">
        <v>50</v>
      </c>
      <c r="L1816" s="21">
        <v>370</v>
      </c>
      <c r="M1816" s="21">
        <v>119</v>
      </c>
      <c r="N1816" s="21">
        <v>236</v>
      </c>
      <c r="O1816" s="19">
        <v>352</v>
      </c>
      <c r="P1816" s="22">
        <v>6</v>
      </c>
      <c r="Q1816" s="22">
        <v>2</v>
      </c>
      <c r="R1816" s="20"/>
      <c r="S1816" s="234">
        <f>COUNTIFS(INP_DATA!$R$5:$R$3027,S$4,INP_DATA!$D$5:$D$3027,$D1816,INP_DATA!$B$5:$B$3027,$B1816)</f>
        <v>0</v>
      </c>
      <c r="T1816" s="235">
        <f>COUNTIFS(INP_DATA!$R$5:$R$3027,T$4,INP_DATA!$D$5:$D$3027,$D1816,INP_DATA!$B$5:$B$3027,$B1816)</f>
        <v>0</v>
      </c>
    </row>
    <row r="1817" spans="1:20" x14ac:dyDescent="0.35">
      <c r="A1817" s="3" t="str">
        <f>IF(D1817="","",(VLOOKUP($D1817,KEY!$B$5:$D$74,3,FALSE)))</f>
        <v>Northern California</v>
      </c>
      <c r="B1817" s="165">
        <f t="shared" si="17"/>
        <v>45839</v>
      </c>
      <c r="C1817" s="57" t="str">
        <f>IF($B1817="","",YEAR($B1817)&amp;"-"&amp;IFERROR(VLOOKUP(MONTH(B1817),KEY!$AE$5:$AF$16,2,FALSE),""))</f>
        <v>2025-Q3</v>
      </c>
      <c r="D1817" s="3" t="s">
        <v>129</v>
      </c>
      <c r="E1817" s="219">
        <v>12</v>
      </c>
      <c r="F1817" s="166">
        <v>213</v>
      </c>
      <c r="G1817" s="166">
        <v>212</v>
      </c>
      <c r="H1817" s="21">
        <v>294</v>
      </c>
      <c r="I1817" s="21">
        <v>50</v>
      </c>
      <c r="J1817" s="21">
        <v>216</v>
      </c>
      <c r="K1817" s="21">
        <v>46</v>
      </c>
      <c r="L1817" s="21">
        <v>307</v>
      </c>
      <c r="M1817" s="21">
        <v>102</v>
      </c>
      <c r="N1817" s="21">
        <v>213</v>
      </c>
      <c r="O1817" s="19">
        <v>352</v>
      </c>
      <c r="P1817" s="22">
        <v>8</v>
      </c>
      <c r="Q1817" s="22">
        <v>8</v>
      </c>
      <c r="R1817" s="20"/>
      <c r="S1817" s="234">
        <f>COUNTIFS(INP_DATA!$R$5:$R$3027,S$4,INP_DATA!$D$5:$D$3027,$D1817,INP_DATA!$B$5:$B$3027,$B1817)</f>
        <v>0</v>
      </c>
      <c r="T1817" s="235">
        <f>COUNTIFS(INP_DATA!$R$5:$R$3027,T$4,INP_DATA!$D$5:$D$3027,$D1817,INP_DATA!$B$5:$B$3027,$B1817)</f>
        <v>0</v>
      </c>
    </row>
    <row r="1818" spans="1:20" x14ac:dyDescent="0.35">
      <c r="A1818" s="3" t="str">
        <f>IF(D1818="","",(VLOOKUP($D1818,KEY!$B$5:$D$74,3,FALSE)))</f>
        <v>Southern California</v>
      </c>
      <c r="B1818" s="165">
        <f t="shared" si="17"/>
        <v>45839</v>
      </c>
      <c r="C1818" s="57" t="str">
        <f>IF($B1818="","",YEAR($B1818)&amp;"-"&amp;IFERROR(VLOOKUP(MONTH(B1818),KEY!$AE$5:$AF$16,2,FALSE),""))</f>
        <v>2025-Q3</v>
      </c>
      <c r="D1818" s="3" t="s">
        <v>130</v>
      </c>
      <c r="E1818" s="219">
        <v>16</v>
      </c>
      <c r="F1818" s="166">
        <v>182</v>
      </c>
      <c r="G1818" s="166">
        <v>127</v>
      </c>
      <c r="H1818" s="21">
        <v>391</v>
      </c>
      <c r="I1818" s="21">
        <v>59</v>
      </c>
      <c r="J1818" s="21">
        <v>173</v>
      </c>
      <c r="K1818" s="21">
        <v>36</v>
      </c>
      <c r="L1818" s="21">
        <v>236</v>
      </c>
      <c r="M1818" s="21">
        <v>100</v>
      </c>
      <c r="N1818" s="21">
        <v>191</v>
      </c>
      <c r="O1818" s="19">
        <v>264</v>
      </c>
      <c r="P1818" s="22">
        <v>7</v>
      </c>
      <c r="Q1818" s="22">
        <v>5</v>
      </c>
      <c r="R1818" s="20"/>
      <c r="S1818" s="234">
        <f>COUNTIFS(INP_DATA!$R$5:$R$3027,S$4,INP_DATA!$D$5:$D$3027,$D1818,INP_DATA!$B$5:$B$3027,$B1818)</f>
        <v>0</v>
      </c>
      <c r="T1818" s="235">
        <f>COUNTIFS(INP_DATA!$R$5:$R$3027,T$4,INP_DATA!$D$5:$D$3027,$D1818,INP_DATA!$B$5:$B$3027,$B1818)</f>
        <v>0</v>
      </c>
    </row>
    <row r="1819" spans="1:20" x14ac:dyDescent="0.35">
      <c r="A1819" s="3" t="str">
        <f>IF(D1819="","",(VLOOKUP($D1819,KEY!$B$5:$D$74,3,FALSE)))</f>
        <v>Texas</v>
      </c>
      <c r="B1819" s="165">
        <f t="shared" si="17"/>
        <v>45839</v>
      </c>
      <c r="C1819" s="57" t="str">
        <f>IF($B1819="","",YEAR($B1819)&amp;"-"&amp;IFERROR(VLOOKUP(MONTH(B1819),KEY!$AE$5:$AF$16,2,FALSE),""))</f>
        <v>2025-Q3</v>
      </c>
      <c r="D1819" s="3" t="s">
        <v>210</v>
      </c>
      <c r="E1819" s="219">
        <v>0</v>
      </c>
      <c r="F1819" s="166">
        <v>0</v>
      </c>
      <c r="G1819" s="166">
        <v>0</v>
      </c>
      <c r="H1819" s="21">
        <v>464</v>
      </c>
      <c r="I1819" s="21">
        <v>38</v>
      </c>
      <c r="J1819" s="21">
        <v>130</v>
      </c>
      <c r="K1819" s="21">
        <v>13</v>
      </c>
      <c r="L1819" s="21">
        <v>189</v>
      </c>
      <c r="M1819" s="21">
        <v>38</v>
      </c>
      <c r="N1819" s="21">
        <v>158</v>
      </c>
      <c r="O1819" s="19">
        <v>154</v>
      </c>
      <c r="P1819" s="22">
        <v>0</v>
      </c>
      <c r="Q1819" s="22">
        <v>0</v>
      </c>
      <c r="R1819" s="20"/>
      <c r="S1819" s="234">
        <f>COUNTIFS(INP_DATA!$R$5:$R$3027,S$4,INP_DATA!$D$5:$D$3027,$D1819,INP_DATA!$B$5:$B$3027,$B1819)</f>
        <v>0</v>
      </c>
      <c r="T1819" s="235">
        <f>COUNTIFS(INP_DATA!$R$5:$R$3027,T$4,INP_DATA!$D$5:$D$3027,$D1819,INP_DATA!$B$5:$B$3027,$B1819)</f>
        <v>0</v>
      </c>
    </row>
    <row r="1820" spans="1:20" x14ac:dyDescent="0.35">
      <c r="A1820" s="3" t="e">
        <f>IF(D1820="","",(VLOOKUP($D1820,KEY!$B$5:$D$74,3,FALSE)))</f>
        <v>#N/A</v>
      </c>
      <c r="B1820" s="165">
        <f t="shared" si="17"/>
        <v>45839</v>
      </c>
      <c r="C1820" s="57" t="str">
        <f>IF($B1820="","",YEAR($B1820)&amp;"-"&amp;IFERROR(VLOOKUP(MONTH(B1820),KEY!$AE$5:$AF$16,2,FALSE),""))</f>
        <v>2025-Q3</v>
      </c>
      <c r="D1820" s="3" t="s">
        <v>203</v>
      </c>
      <c r="E1820" s="219">
        <v>9</v>
      </c>
      <c r="F1820" s="166">
        <v>151</v>
      </c>
      <c r="G1820" s="166">
        <v>120</v>
      </c>
      <c r="H1820" s="21">
        <v>201</v>
      </c>
      <c r="I1820" s="21">
        <v>42</v>
      </c>
      <c r="J1820" s="21">
        <v>108</v>
      </c>
      <c r="K1820" s="21">
        <v>27</v>
      </c>
      <c r="L1820" s="21">
        <v>135</v>
      </c>
      <c r="M1820" s="21">
        <v>88</v>
      </c>
      <c r="N1820" s="21">
        <v>154</v>
      </c>
      <c r="O1820" s="19">
        <v>176</v>
      </c>
      <c r="P1820" s="22">
        <v>4</v>
      </c>
      <c r="Q1820" s="22">
        <v>3</v>
      </c>
      <c r="R1820" s="20"/>
      <c r="S1820" s="234">
        <f>COUNTIFS(INP_DATA!$R$5:$R$3027,S$4,INP_DATA!$D$5:$D$3027,$D1820,INP_DATA!$B$5:$B$3027,$B1820)</f>
        <v>0</v>
      </c>
      <c r="T1820" s="235">
        <f>COUNTIFS(INP_DATA!$R$5:$R$3027,T$4,INP_DATA!$D$5:$D$3027,$D1820,INP_DATA!$B$5:$B$3027,$B1820)</f>
        <v>0</v>
      </c>
    </row>
    <row r="1821" spans="1:20" x14ac:dyDescent="0.35">
      <c r="A1821" s="3">
        <f>IF(D1821="","",(VLOOKUP($D1821,KEY!$B$5:$D$74,3,FALSE)))</f>
        <v>0</v>
      </c>
      <c r="B1821" s="165">
        <f t="shared" si="17"/>
        <v>45839</v>
      </c>
      <c r="C1821" s="57" t="str">
        <f>IF($B1821="","",YEAR($B1821)&amp;"-"&amp;IFERROR(VLOOKUP(MONTH(B1821),KEY!$AE$5:$AF$16,2,FALSE),""))</f>
        <v>2025-Q3</v>
      </c>
      <c r="D1821" s="3" t="s">
        <v>131</v>
      </c>
      <c r="E1821" s="219">
        <v>60</v>
      </c>
      <c r="F1821" s="166">
        <v>158</v>
      </c>
      <c r="G1821" s="166">
        <v>168</v>
      </c>
      <c r="H1821" s="21">
        <v>190</v>
      </c>
      <c r="I1821" s="21">
        <v>36</v>
      </c>
      <c r="J1821" s="21">
        <v>120</v>
      </c>
      <c r="K1821" s="21">
        <v>20</v>
      </c>
      <c r="L1821" s="21">
        <v>261</v>
      </c>
      <c r="M1821" s="21">
        <v>92</v>
      </c>
      <c r="N1821" s="21">
        <v>164</v>
      </c>
      <c r="O1821" s="19">
        <v>286</v>
      </c>
      <c r="P1821" s="22">
        <v>3</v>
      </c>
      <c r="Q1821" s="22">
        <v>2</v>
      </c>
      <c r="R1821" s="20"/>
      <c r="S1821" s="234">
        <f>COUNTIFS(INP_DATA!$R$5:$R$3027,S$4,INP_DATA!$D$5:$D$3027,$D1821,INP_DATA!$B$5:$B$3027,$B1821)</f>
        <v>0</v>
      </c>
      <c r="T1821" s="235">
        <f>COUNTIFS(INP_DATA!$R$5:$R$3027,T$4,INP_DATA!$D$5:$D$3027,$D1821,INP_DATA!$B$5:$B$3027,$B1821)</f>
        <v>0</v>
      </c>
    </row>
    <row r="1822" spans="1:20" x14ac:dyDescent="0.35">
      <c r="A1822" s="3" t="e">
        <f>IF(D1822="","",(VLOOKUP($D1822,KEY!$B$5:$D$74,3,FALSE)))</f>
        <v>#N/A</v>
      </c>
      <c r="B1822" s="165">
        <f t="shared" si="17"/>
        <v>45839</v>
      </c>
      <c r="C1822" s="57" t="str">
        <f>IF($B1822="","",YEAR($B1822)&amp;"-"&amp;IFERROR(VLOOKUP(MONTH(B1822),KEY!$AE$5:$AF$16,2,FALSE),""))</f>
        <v>2025-Q3</v>
      </c>
      <c r="D1822" s="3" t="s">
        <v>134</v>
      </c>
      <c r="E1822" s="219">
        <v>5</v>
      </c>
      <c r="F1822" s="166">
        <v>24</v>
      </c>
      <c r="G1822" s="166">
        <v>31</v>
      </c>
      <c r="H1822" s="21">
        <v>37</v>
      </c>
      <c r="I1822" s="21">
        <v>6</v>
      </c>
      <c r="J1822" s="21">
        <v>45</v>
      </c>
      <c r="K1822" s="21">
        <v>9</v>
      </c>
      <c r="L1822" s="21">
        <v>30</v>
      </c>
      <c r="M1822" s="21">
        <v>12</v>
      </c>
      <c r="N1822" s="21">
        <v>24</v>
      </c>
      <c r="O1822" s="19">
        <v>110</v>
      </c>
      <c r="P1822" s="22">
        <v>4</v>
      </c>
      <c r="Q1822" s="22">
        <v>3</v>
      </c>
      <c r="R1822" s="20"/>
      <c r="S1822" s="234">
        <f>COUNTIFS(INP_DATA!$R$5:$R$3027,S$4,INP_DATA!$D$5:$D$3027,$D1822,INP_DATA!$B$5:$B$3027,$B1822)</f>
        <v>0</v>
      </c>
      <c r="T1822" s="235">
        <f>COUNTIFS(INP_DATA!$R$5:$R$3027,T$4,INP_DATA!$D$5:$D$3027,$D1822,INP_DATA!$B$5:$B$3027,$B1822)</f>
        <v>0</v>
      </c>
    </row>
    <row r="1823" spans="1:20" x14ac:dyDescent="0.35">
      <c r="A1823" s="3" t="str">
        <f>IF(D1823="","",(VLOOKUP($D1823,KEY!$B$5:$D$74,3,FALSE)))</f>
        <v>Southern California</v>
      </c>
      <c r="B1823" s="165">
        <f t="shared" si="17"/>
        <v>45839</v>
      </c>
      <c r="C1823" s="57" t="str">
        <f>IF($B1823="","",YEAR($B1823)&amp;"-"&amp;IFERROR(VLOOKUP(MONTH(B1823),KEY!$AE$5:$AF$16,2,FALSE),""))</f>
        <v>2025-Q3</v>
      </c>
      <c r="D1823" s="3" t="s">
        <v>135</v>
      </c>
      <c r="E1823" s="219">
        <v>38</v>
      </c>
      <c r="F1823" s="166">
        <v>241</v>
      </c>
      <c r="G1823" s="166">
        <v>245</v>
      </c>
      <c r="H1823" s="21">
        <v>502</v>
      </c>
      <c r="I1823" s="21">
        <v>78</v>
      </c>
      <c r="J1823" s="21">
        <v>303</v>
      </c>
      <c r="K1823" s="21">
        <v>63</v>
      </c>
      <c r="L1823" s="21">
        <v>494</v>
      </c>
      <c r="M1823" s="21">
        <v>111</v>
      </c>
      <c r="N1823" s="21">
        <v>243</v>
      </c>
      <c r="O1823" s="19">
        <v>330</v>
      </c>
      <c r="P1823" s="22">
        <v>10</v>
      </c>
      <c r="Q1823" s="22">
        <v>7</v>
      </c>
      <c r="R1823" s="20"/>
      <c r="S1823" s="234">
        <f>COUNTIFS(INP_DATA!$R$5:$R$3027,S$4,INP_DATA!$D$5:$D$3027,$D1823,INP_DATA!$B$5:$B$3027,$B1823)</f>
        <v>0</v>
      </c>
      <c r="T1823" s="235">
        <f>COUNTIFS(INP_DATA!$R$5:$R$3027,T$4,INP_DATA!$D$5:$D$3027,$D1823,INP_DATA!$B$5:$B$3027,$B1823)</f>
        <v>0</v>
      </c>
    </row>
    <row r="1824" spans="1:20" x14ac:dyDescent="0.35">
      <c r="A1824" s="3" t="str">
        <f>IF(D1824="","",(VLOOKUP($D1824,KEY!$B$5:$D$74,3,FALSE)))</f>
        <v>Arizona</v>
      </c>
      <c r="B1824" s="165">
        <f t="shared" si="17"/>
        <v>45839</v>
      </c>
      <c r="C1824" s="57" t="str">
        <f>IF($B1824="","",YEAR($B1824)&amp;"-"&amp;IFERROR(VLOOKUP(MONTH(B1824),KEY!$AE$5:$AF$16,2,FALSE),""))</f>
        <v>2025-Q3</v>
      </c>
      <c r="D1824" s="3" t="s">
        <v>204</v>
      </c>
      <c r="E1824" s="219">
        <v>4</v>
      </c>
      <c r="F1824" s="166">
        <v>11</v>
      </c>
      <c r="G1824" s="166">
        <v>17</v>
      </c>
      <c r="H1824" s="21">
        <v>26</v>
      </c>
      <c r="I1824" s="21">
        <v>4</v>
      </c>
      <c r="J1824" s="21">
        <v>9</v>
      </c>
      <c r="K1824" s="21">
        <v>2</v>
      </c>
      <c r="L1824" s="21">
        <v>30</v>
      </c>
      <c r="M1824" s="21">
        <v>9</v>
      </c>
      <c r="N1824" s="21">
        <v>11</v>
      </c>
      <c r="O1824" s="19">
        <v>12</v>
      </c>
      <c r="P1824" s="22">
        <v>0</v>
      </c>
      <c r="Q1824" s="22">
        <v>0</v>
      </c>
      <c r="R1824" s="20"/>
      <c r="S1824" s="234">
        <f>COUNTIFS(INP_DATA!$R$5:$R$3027,S$4,INP_DATA!$D$5:$D$3027,$D1824,INP_DATA!$B$5:$B$3027,$B1824)</f>
        <v>0</v>
      </c>
      <c r="T1824" s="235">
        <f>COUNTIFS(INP_DATA!$R$5:$R$3027,T$4,INP_DATA!$D$5:$D$3027,$D1824,INP_DATA!$B$5:$B$3027,$B1824)</f>
        <v>0</v>
      </c>
    </row>
    <row r="1825" spans="1:20" x14ac:dyDescent="0.35">
      <c r="A1825" s="3" t="str">
        <f>IF(D1825="","",(VLOOKUP($D1825,KEY!$B$5:$D$74,3,FALSE)))</f>
        <v>Arizona</v>
      </c>
      <c r="B1825" s="165">
        <f t="shared" si="17"/>
        <v>45839</v>
      </c>
      <c r="C1825" s="57" t="str">
        <f>IF($B1825="","",YEAR($B1825)&amp;"-"&amp;IFERROR(VLOOKUP(MONTH(B1825),KEY!$AE$5:$AF$16,2,FALSE),""))</f>
        <v>2025-Q3</v>
      </c>
      <c r="D1825" s="3" t="s">
        <v>196</v>
      </c>
      <c r="E1825" s="219">
        <v>12</v>
      </c>
      <c r="F1825" s="166">
        <v>40</v>
      </c>
      <c r="G1825" s="166">
        <v>47</v>
      </c>
      <c r="H1825" s="21">
        <v>61</v>
      </c>
      <c r="I1825" s="21">
        <v>11</v>
      </c>
      <c r="J1825" s="21">
        <v>43</v>
      </c>
      <c r="K1825" s="21">
        <v>9</v>
      </c>
      <c r="L1825" s="21">
        <v>114</v>
      </c>
      <c r="M1825" s="21">
        <v>38</v>
      </c>
      <c r="N1825" s="21">
        <v>42</v>
      </c>
      <c r="O1825" s="19">
        <v>132</v>
      </c>
      <c r="P1825" s="22">
        <v>4</v>
      </c>
      <c r="Q1825" s="22">
        <v>3</v>
      </c>
      <c r="R1825" s="20"/>
      <c r="S1825" s="234">
        <f>COUNTIFS(INP_DATA!$R$5:$R$3027,S$4,INP_DATA!$D$5:$D$3027,$D1825,INP_DATA!$B$5:$B$3027,$B1825)</f>
        <v>0</v>
      </c>
      <c r="T1825" s="235">
        <f>COUNTIFS(INP_DATA!$R$5:$R$3027,T$4,INP_DATA!$D$5:$D$3027,$D1825,INP_DATA!$B$5:$B$3027,$B1825)</f>
        <v>0</v>
      </c>
    </row>
    <row r="1826" spans="1:20" x14ac:dyDescent="0.35">
      <c r="A1826" s="3" t="str">
        <f>IF(D1826="","",(VLOOKUP($D1826,KEY!$B$5:$D$74,3,FALSE)))</f>
        <v>Arizona</v>
      </c>
      <c r="B1826" s="165">
        <f t="shared" si="17"/>
        <v>45839</v>
      </c>
      <c r="C1826" s="57" t="str">
        <f>IF($B1826="","",YEAR($B1826)&amp;"-"&amp;IFERROR(VLOOKUP(MONTH(B1826),KEY!$AE$5:$AF$16,2,FALSE),""))</f>
        <v>2025-Q3</v>
      </c>
      <c r="D1826" s="3" t="s">
        <v>197</v>
      </c>
      <c r="E1826" s="219">
        <v>19</v>
      </c>
      <c r="F1826" s="166">
        <v>88</v>
      </c>
      <c r="G1826" s="166">
        <v>83</v>
      </c>
      <c r="H1826" s="21">
        <v>160</v>
      </c>
      <c r="I1826" s="21">
        <v>25</v>
      </c>
      <c r="J1826" s="21">
        <v>70</v>
      </c>
      <c r="K1826" s="21">
        <v>16</v>
      </c>
      <c r="L1826" s="21">
        <v>204</v>
      </c>
      <c r="M1826" s="21">
        <v>74</v>
      </c>
      <c r="N1826" s="21">
        <v>90</v>
      </c>
      <c r="O1826" s="19">
        <v>264</v>
      </c>
      <c r="P1826" s="22">
        <v>2</v>
      </c>
      <c r="Q1826" s="22">
        <v>1</v>
      </c>
      <c r="R1826" s="20"/>
      <c r="S1826" s="234">
        <f>COUNTIFS(INP_DATA!$R$5:$R$3027,S$4,INP_DATA!$D$5:$D$3027,$D1826,INP_DATA!$B$5:$B$3027,$B1826)</f>
        <v>0</v>
      </c>
      <c r="T1826" s="235">
        <f>COUNTIFS(INP_DATA!$R$5:$R$3027,T$4,INP_DATA!$D$5:$D$3027,$D1826,INP_DATA!$B$5:$B$3027,$B1826)</f>
        <v>0</v>
      </c>
    </row>
    <row r="1827" spans="1:20" x14ac:dyDescent="0.35">
      <c r="A1827" s="3" t="str">
        <f>IF(D1827="","",(VLOOKUP($D1827,KEY!$B$5:$D$74,3,FALSE)))</f>
        <v>Texas</v>
      </c>
      <c r="B1827" s="165">
        <f t="shared" si="17"/>
        <v>45839</v>
      </c>
      <c r="C1827" s="57" t="str">
        <f>IF($B1827="","",YEAR($B1827)&amp;"-"&amp;IFERROR(VLOOKUP(MONTH(B1827),KEY!$AE$5:$AF$16,2,FALSE),""))</f>
        <v>2025-Q3</v>
      </c>
      <c r="D1827" s="3" t="s">
        <v>136</v>
      </c>
      <c r="E1827" s="219">
        <v>52</v>
      </c>
      <c r="F1827" s="166">
        <v>262</v>
      </c>
      <c r="G1827" s="166">
        <v>262</v>
      </c>
      <c r="H1827" s="21">
        <v>465</v>
      </c>
      <c r="I1827" s="21">
        <v>65</v>
      </c>
      <c r="J1827" s="21">
        <v>408</v>
      </c>
      <c r="K1827" s="21">
        <v>43</v>
      </c>
      <c r="L1827" s="21">
        <v>376</v>
      </c>
      <c r="M1827" s="21">
        <v>160</v>
      </c>
      <c r="N1827" s="21">
        <v>271</v>
      </c>
      <c r="O1827" s="19">
        <v>352</v>
      </c>
      <c r="P1827" s="22">
        <v>12</v>
      </c>
      <c r="Q1827" s="22">
        <v>10</v>
      </c>
      <c r="R1827" s="20"/>
      <c r="S1827" s="234">
        <f>COUNTIFS(INP_DATA!$R$5:$R$3027,S$4,INP_DATA!$D$5:$D$3027,$D1827,INP_DATA!$B$5:$B$3027,$B1827)</f>
        <v>0</v>
      </c>
      <c r="T1827" s="235">
        <f>COUNTIFS(INP_DATA!$R$5:$R$3027,T$4,INP_DATA!$D$5:$D$3027,$D1827,INP_DATA!$B$5:$B$3027,$B1827)</f>
        <v>0</v>
      </c>
    </row>
    <row r="1828" spans="1:20" x14ac:dyDescent="0.35">
      <c r="A1828" s="3" t="str">
        <f>IF(D1828="","",(VLOOKUP($D1828,KEY!$B$5:$D$74,3,FALSE)))</f>
        <v>Arizona</v>
      </c>
      <c r="B1828" s="165">
        <f t="shared" si="17"/>
        <v>45839</v>
      </c>
      <c r="C1828" s="57" t="str">
        <f>IF($B1828="","",YEAR($B1828)&amp;"-"&amp;IFERROR(VLOOKUP(MONTH(B1828),KEY!$AE$5:$AF$16,2,FALSE),""))</f>
        <v>2025-Q3</v>
      </c>
      <c r="D1828" s="3" t="s">
        <v>137</v>
      </c>
      <c r="E1828" s="219">
        <v>11</v>
      </c>
      <c r="F1828" s="166">
        <v>98</v>
      </c>
      <c r="G1828" s="166">
        <v>89</v>
      </c>
      <c r="H1828" s="21">
        <v>272</v>
      </c>
      <c r="I1828" s="21">
        <v>25</v>
      </c>
      <c r="J1828" s="21">
        <v>155</v>
      </c>
      <c r="K1828" s="21">
        <v>23</v>
      </c>
      <c r="L1828" s="21">
        <v>136</v>
      </c>
      <c r="M1828" s="21">
        <v>64</v>
      </c>
      <c r="N1828" s="21">
        <v>99</v>
      </c>
      <c r="O1828" s="19">
        <v>132</v>
      </c>
      <c r="P1828" s="22">
        <v>7</v>
      </c>
      <c r="Q1828" s="22">
        <v>3</v>
      </c>
      <c r="R1828" s="20"/>
      <c r="S1828" s="234">
        <f>COUNTIFS(INP_DATA!$R$5:$R$3027,S$4,INP_DATA!$D$5:$D$3027,$D1828,INP_DATA!$B$5:$B$3027,$B1828)</f>
        <v>0</v>
      </c>
      <c r="T1828" s="235">
        <f>COUNTIFS(INP_DATA!$R$5:$R$3027,T$4,INP_DATA!$D$5:$D$3027,$D1828,INP_DATA!$B$5:$B$3027,$B1828)</f>
        <v>0</v>
      </c>
    </row>
    <row r="1829" spans="1:20" x14ac:dyDescent="0.35">
      <c r="A1829" s="3" t="str">
        <f>IF(D1829="","",(VLOOKUP($D1829,KEY!$B$5:$D$74,3,FALSE)))</f>
        <v>Texas</v>
      </c>
      <c r="B1829" s="165">
        <f t="shared" si="17"/>
        <v>45839</v>
      </c>
      <c r="C1829" s="57" t="str">
        <f>IF($B1829="","",YEAR($B1829)&amp;"-"&amp;IFERROR(VLOOKUP(MONTH(B1829),KEY!$AE$5:$AF$16,2,FALSE),""))</f>
        <v>2025-Q3</v>
      </c>
      <c r="D1829" s="3" t="s">
        <v>138</v>
      </c>
      <c r="E1829" s="219">
        <v>33</v>
      </c>
      <c r="F1829" s="166">
        <v>129</v>
      </c>
      <c r="G1829" s="166">
        <v>153</v>
      </c>
      <c r="H1829" s="21">
        <v>162</v>
      </c>
      <c r="I1829" s="21">
        <v>25</v>
      </c>
      <c r="J1829" s="21">
        <v>144</v>
      </c>
      <c r="K1829" s="21">
        <v>37</v>
      </c>
      <c r="L1829" s="21">
        <v>246</v>
      </c>
      <c r="M1829" s="21">
        <v>101</v>
      </c>
      <c r="N1829" s="21">
        <v>129</v>
      </c>
      <c r="O1829" s="19">
        <v>220</v>
      </c>
      <c r="P1829" s="22">
        <v>16</v>
      </c>
      <c r="Q1829" s="22">
        <v>12</v>
      </c>
      <c r="R1829" s="20"/>
      <c r="S1829" s="234">
        <f>COUNTIFS(INP_DATA!$R$5:$R$3027,S$4,INP_DATA!$D$5:$D$3027,$D1829,INP_DATA!$B$5:$B$3027,$B1829)</f>
        <v>0</v>
      </c>
      <c r="T1829" s="235">
        <f>COUNTIFS(INP_DATA!$R$5:$R$3027,T$4,INP_DATA!$D$5:$D$3027,$D1829,INP_DATA!$B$5:$B$3027,$B1829)</f>
        <v>0</v>
      </c>
    </row>
    <row r="1830" spans="1:20" x14ac:dyDescent="0.35">
      <c r="A1830" s="3" t="str">
        <f>IF(D1830="","",(VLOOKUP($D1830,KEY!$B$5:$D$74,3,FALSE)))</f>
        <v>Southern California</v>
      </c>
      <c r="B1830" s="165">
        <f t="shared" si="17"/>
        <v>45839</v>
      </c>
      <c r="C1830" s="57" t="str">
        <f>IF($B1830="","",YEAR($B1830)&amp;"-"&amp;IFERROR(VLOOKUP(MONTH(B1830),KEY!$AE$5:$AF$16,2,FALSE),""))</f>
        <v>2025-Q3</v>
      </c>
      <c r="D1830" s="3" t="s">
        <v>139</v>
      </c>
      <c r="E1830" s="219">
        <v>36</v>
      </c>
      <c r="F1830" s="166">
        <v>230</v>
      </c>
      <c r="G1830" s="166">
        <v>178</v>
      </c>
      <c r="H1830" s="21">
        <v>321</v>
      </c>
      <c r="I1830" s="21">
        <v>62</v>
      </c>
      <c r="J1830" s="21">
        <v>160</v>
      </c>
      <c r="K1830" s="21">
        <v>41</v>
      </c>
      <c r="L1830" s="21">
        <v>555</v>
      </c>
      <c r="M1830" s="21">
        <v>136</v>
      </c>
      <c r="N1830" s="21">
        <v>233</v>
      </c>
      <c r="O1830" s="19">
        <v>264</v>
      </c>
      <c r="P1830" s="22">
        <v>11</v>
      </c>
      <c r="Q1830" s="22">
        <v>8</v>
      </c>
      <c r="R1830" s="20"/>
      <c r="S1830" s="234">
        <f>COUNTIFS(INP_DATA!$R$5:$R$3027,S$4,INP_DATA!$D$5:$D$3027,$D1830,INP_DATA!$B$5:$B$3027,$B1830)</f>
        <v>0</v>
      </c>
      <c r="T1830" s="235">
        <f>COUNTIFS(INP_DATA!$R$5:$R$3027,T$4,INP_DATA!$D$5:$D$3027,$D1830,INP_DATA!$B$5:$B$3027,$B1830)</f>
        <v>0</v>
      </c>
    </row>
    <row r="1831" spans="1:20" x14ac:dyDescent="0.35">
      <c r="A1831" s="3" t="str">
        <f>IF(D1831="","",(VLOOKUP($D1831,KEY!$B$5:$D$74,3,FALSE)))</f>
        <v>Orange County</v>
      </c>
      <c r="B1831" s="165">
        <f t="shared" si="17"/>
        <v>45839</v>
      </c>
      <c r="C1831" s="57" t="str">
        <f>IF($B1831="","",YEAR($B1831)&amp;"-"&amp;IFERROR(VLOOKUP(MONTH(B1831),KEY!$AE$5:$AF$16,2,FALSE),""))</f>
        <v>2025-Q3</v>
      </c>
      <c r="D1831" s="3" t="s">
        <v>140</v>
      </c>
      <c r="E1831" s="219">
        <v>4</v>
      </c>
      <c r="F1831" s="166">
        <v>29</v>
      </c>
      <c r="G1831" s="166">
        <v>31</v>
      </c>
      <c r="H1831" s="21">
        <v>53</v>
      </c>
      <c r="I1831" s="21">
        <v>10</v>
      </c>
      <c r="J1831" s="21">
        <v>35</v>
      </c>
      <c r="K1831" s="21">
        <v>5</v>
      </c>
      <c r="L1831" s="21">
        <v>71</v>
      </c>
      <c r="M1831" s="21">
        <v>23</v>
      </c>
      <c r="N1831" s="21">
        <v>31</v>
      </c>
      <c r="O1831" s="19">
        <v>88</v>
      </c>
      <c r="P1831" s="22">
        <v>1</v>
      </c>
      <c r="Q1831" s="22">
        <v>0</v>
      </c>
      <c r="R1831" s="20"/>
      <c r="S1831" s="234">
        <f>COUNTIFS(INP_DATA!$R$5:$R$3027,S$4,INP_DATA!$D$5:$D$3027,$D1831,INP_DATA!$B$5:$B$3027,$B1831)</f>
        <v>0</v>
      </c>
      <c r="T1831" s="235">
        <f>COUNTIFS(INP_DATA!$R$5:$R$3027,T$4,INP_DATA!$D$5:$D$3027,$D1831,INP_DATA!$B$5:$B$3027,$B1831)</f>
        <v>0</v>
      </c>
    </row>
    <row r="1832" spans="1:20" x14ac:dyDescent="0.35">
      <c r="A1832" s="3" t="str">
        <f>IF(D1832="","",(VLOOKUP($D1832,KEY!$B$5:$D$74,3,FALSE)))</f>
        <v>Southern California</v>
      </c>
      <c r="B1832" s="165">
        <f t="shared" si="17"/>
        <v>45839</v>
      </c>
      <c r="C1832" s="57" t="str">
        <f>IF($B1832="","",YEAR($B1832)&amp;"-"&amp;IFERROR(VLOOKUP(MONTH(B1832),KEY!$AE$5:$AF$16,2,FALSE),""))</f>
        <v>2025-Q3</v>
      </c>
      <c r="D1832" s="3" t="s">
        <v>142</v>
      </c>
      <c r="E1832" s="219">
        <v>12</v>
      </c>
      <c r="F1832" s="166">
        <v>80</v>
      </c>
      <c r="G1832" s="166">
        <v>127</v>
      </c>
      <c r="H1832" s="21">
        <v>140</v>
      </c>
      <c r="I1832" s="21">
        <v>23</v>
      </c>
      <c r="J1832" s="21">
        <v>43</v>
      </c>
      <c r="K1832" s="21">
        <v>15</v>
      </c>
      <c r="L1832" s="21">
        <v>113</v>
      </c>
      <c r="M1832" s="21">
        <v>52</v>
      </c>
      <c r="N1832" s="21">
        <v>81</v>
      </c>
      <c r="O1832" s="19">
        <v>132</v>
      </c>
      <c r="P1832" s="22">
        <v>8</v>
      </c>
      <c r="Q1832" s="22">
        <v>7</v>
      </c>
      <c r="R1832" s="20"/>
      <c r="S1832" s="234">
        <f>COUNTIFS(INP_DATA!$R$5:$R$3027,S$4,INP_DATA!$D$5:$D$3027,$D1832,INP_DATA!$B$5:$B$3027,$B1832)</f>
        <v>0</v>
      </c>
      <c r="T1832" s="235">
        <f>COUNTIFS(INP_DATA!$R$5:$R$3027,T$4,INP_DATA!$D$5:$D$3027,$D1832,INP_DATA!$B$5:$B$3027,$B1832)</f>
        <v>0</v>
      </c>
    </row>
    <row r="1833" spans="1:20" x14ac:dyDescent="0.35">
      <c r="A1833" s="3" t="str">
        <f>IF(D1833="","",(VLOOKUP($D1833,KEY!$B$5:$D$74,3,FALSE)))</f>
        <v>Arizona</v>
      </c>
      <c r="B1833" s="165">
        <f t="shared" si="17"/>
        <v>45839</v>
      </c>
      <c r="C1833" s="57" t="str">
        <f>IF($B1833="","",YEAR($B1833)&amp;"-"&amp;IFERROR(VLOOKUP(MONTH(B1833),KEY!$AE$5:$AF$16,2,FALSE),""))</f>
        <v>2025-Q3</v>
      </c>
      <c r="D1833" s="3" t="s">
        <v>143</v>
      </c>
      <c r="E1833" s="219">
        <v>14</v>
      </c>
      <c r="F1833" s="166">
        <v>81</v>
      </c>
      <c r="G1833" s="166">
        <v>75</v>
      </c>
      <c r="H1833" s="21">
        <v>161</v>
      </c>
      <c r="I1833" s="21">
        <v>25</v>
      </c>
      <c r="J1833" s="21">
        <v>69</v>
      </c>
      <c r="K1833" s="21">
        <v>19</v>
      </c>
      <c r="L1833" s="21">
        <v>118</v>
      </c>
      <c r="M1833" s="21">
        <v>48</v>
      </c>
      <c r="N1833" s="21">
        <v>81</v>
      </c>
      <c r="O1833" s="19">
        <v>176</v>
      </c>
      <c r="P1833" s="22">
        <v>2</v>
      </c>
      <c r="Q1833" s="22">
        <v>1</v>
      </c>
      <c r="R1833" s="20"/>
      <c r="S1833" s="234">
        <f>COUNTIFS(INP_DATA!$R$5:$R$3027,S$4,INP_DATA!$D$5:$D$3027,$D1833,INP_DATA!$B$5:$B$3027,$B1833)</f>
        <v>0</v>
      </c>
      <c r="T1833" s="235">
        <f>COUNTIFS(INP_DATA!$R$5:$R$3027,T$4,INP_DATA!$D$5:$D$3027,$D1833,INP_DATA!$B$5:$B$3027,$B1833)</f>
        <v>0</v>
      </c>
    </row>
    <row r="1834" spans="1:20" x14ac:dyDescent="0.35">
      <c r="A1834" s="3" t="str">
        <f>IF(D1834="","",(VLOOKUP($D1834,KEY!$B$5:$D$74,3,FALSE)))</f>
        <v>Arizona</v>
      </c>
      <c r="B1834" s="165">
        <f t="shared" si="17"/>
        <v>45839</v>
      </c>
      <c r="C1834" s="57" t="str">
        <f>IF($B1834="","",YEAR($B1834)&amp;"-"&amp;IFERROR(VLOOKUP(MONTH(B1834),KEY!$AE$5:$AF$16,2,FALSE),""))</f>
        <v>2025-Q3</v>
      </c>
      <c r="D1834" s="3" t="s">
        <v>144</v>
      </c>
      <c r="E1834" s="219">
        <v>42</v>
      </c>
      <c r="F1834" s="166">
        <v>218</v>
      </c>
      <c r="G1834" s="166">
        <v>196</v>
      </c>
      <c r="H1834" s="21">
        <v>182</v>
      </c>
      <c r="I1834" s="21">
        <v>42</v>
      </c>
      <c r="J1834" s="21">
        <v>176</v>
      </c>
      <c r="K1834" s="21">
        <v>49</v>
      </c>
      <c r="L1834" s="21">
        <v>386</v>
      </c>
      <c r="M1834" s="21">
        <v>123</v>
      </c>
      <c r="N1834" s="21">
        <v>222</v>
      </c>
      <c r="O1834" s="19">
        <v>440</v>
      </c>
      <c r="P1834" s="22">
        <v>11</v>
      </c>
      <c r="Q1834" s="22">
        <v>9</v>
      </c>
      <c r="R1834" s="20"/>
      <c r="S1834" s="234">
        <f>COUNTIFS(INP_DATA!$R$5:$R$3027,S$4,INP_DATA!$D$5:$D$3027,$D1834,INP_DATA!$B$5:$B$3027,$B1834)</f>
        <v>0</v>
      </c>
      <c r="T1834" s="235">
        <f>COUNTIFS(INP_DATA!$R$5:$R$3027,T$4,INP_DATA!$D$5:$D$3027,$D1834,INP_DATA!$B$5:$B$3027,$B1834)</f>
        <v>0</v>
      </c>
    </row>
    <row r="1835" spans="1:20" x14ac:dyDescent="0.35">
      <c r="A1835" s="3" t="str">
        <f>IF(D1835="","",(VLOOKUP($D1835,KEY!$B$5:$D$74,3,FALSE)))</f>
        <v>Southern California</v>
      </c>
      <c r="B1835" s="165">
        <f t="shared" si="17"/>
        <v>45839</v>
      </c>
      <c r="C1835" s="57" t="str">
        <f>IF($B1835="","",YEAR($B1835)&amp;"-"&amp;IFERROR(VLOOKUP(MONTH(B1835),KEY!$AE$5:$AF$16,2,FALSE),""))</f>
        <v>2025-Q3</v>
      </c>
      <c r="D1835" s="3" t="s">
        <v>145</v>
      </c>
      <c r="E1835" s="219">
        <v>47</v>
      </c>
      <c r="F1835" s="166">
        <v>189</v>
      </c>
      <c r="G1835" s="166">
        <v>176</v>
      </c>
      <c r="H1835" s="21">
        <v>320</v>
      </c>
      <c r="I1835" s="21">
        <v>42</v>
      </c>
      <c r="J1835" s="21">
        <v>175</v>
      </c>
      <c r="K1835" s="21">
        <v>39</v>
      </c>
      <c r="L1835" s="21">
        <v>332</v>
      </c>
      <c r="M1835" s="21">
        <v>110</v>
      </c>
      <c r="N1835" s="21">
        <v>188</v>
      </c>
      <c r="O1835" s="19">
        <v>374</v>
      </c>
      <c r="P1835" s="22">
        <v>22</v>
      </c>
      <c r="Q1835" s="22">
        <v>13</v>
      </c>
      <c r="R1835" s="20"/>
      <c r="S1835" s="234">
        <f>COUNTIFS(INP_DATA!$R$5:$R$3027,S$4,INP_DATA!$D$5:$D$3027,$D1835,INP_DATA!$B$5:$B$3027,$B1835)</f>
        <v>0</v>
      </c>
      <c r="T1835" s="235">
        <f>COUNTIFS(INP_DATA!$R$5:$R$3027,T$4,INP_DATA!$D$5:$D$3027,$D1835,INP_DATA!$B$5:$B$3027,$B1835)</f>
        <v>0</v>
      </c>
    </row>
    <row r="1836" spans="1:20" x14ac:dyDescent="0.35">
      <c r="A1836" s="3" t="str">
        <f>IF(D1836="","",(VLOOKUP($D1836,KEY!$B$5:$D$74,3,FALSE)))</f>
        <v>Arizona</v>
      </c>
      <c r="B1836" s="165">
        <f t="shared" si="17"/>
        <v>45839</v>
      </c>
      <c r="C1836" s="57" t="str">
        <f>IF($B1836="","",YEAR($B1836)&amp;"-"&amp;IFERROR(VLOOKUP(MONTH(B1836),KEY!$AE$5:$AF$16,2,FALSE),""))</f>
        <v>2025-Q3</v>
      </c>
      <c r="D1836" s="3" t="s">
        <v>146</v>
      </c>
      <c r="E1836" s="219">
        <v>6</v>
      </c>
      <c r="F1836" s="166">
        <v>37</v>
      </c>
      <c r="G1836" s="166">
        <v>50</v>
      </c>
      <c r="H1836" s="21">
        <v>83</v>
      </c>
      <c r="I1836" s="21">
        <v>12</v>
      </c>
      <c r="J1836" s="21">
        <v>32</v>
      </c>
      <c r="K1836" s="21">
        <v>5</v>
      </c>
      <c r="L1836" s="21">
        <v>72</v>
      </c>
      <c r="M1836" s="21">
        <v>30</v>
      </c>
      <c r="N1836" s="21">
        <v>37</v>
      </c>
      <c r="O1836" s="19">
        <v>88</v>
      </c>
      <c r="P1836" s="22">
        <v>4</v>
      </c>
      <c r="Q1836" s="22">
        <v>1</v>
      </c>
      <c r="R1836" s="20"/>
      <c r="S1836" s="234">
        <f>COUNTIFS(INP_DATA!$R$5:$R$3027,S$4,INP_DATA!$D$5:$D$3027,$D1836,INP_DATA!$B$5:$B$3027,$B1836)</f>
        <v>0</v>
      </c>
      <c r="T1836" s="235">
        <f>COUNTIFS(INP_DATA!$R$5:$R$3027,T$4,INP_DATA!$D$5:$D$3027,$D1836,INP_DATA!$B$5:$B$3027,$B1836)</f>
        <v>0</v>
      </c>
    </row>
    <row r="1837" spans="1:20" x14ac:dyDescent="0.35">
      <c r="A1837" s="3" t="str">
        <f>IF(D1837="","",(VLOOKUP($D1837,KEY!$B$5:$D$74,3,FALSE)))</f>
        <v>Texas</v>
      </c>
      <c r="B1837" s="165">
        <f t="shared" si="17"/>
        <v>45839</v>
      </c>
      <c r="C1837" s="57" t="str">
        <f>IF($B1837="","",YEAR($B1837)&amp;"-"&amp;IFERROR(VLOOKUP(MONTH(B1837),KEY!$AE$5:$AF$16,2,FALSE),""))</f>
        <v>2025-Q3</v>
      </c>
      <c r="D1837" s="3" t="s">
        <v>147</v>
      </c>
      <c r="E1837" s="219">
        <v>2</v>
      </c>
      <c r="F1837" s="166">
        <v>36</v>
      </c>
      <c r="G1837" s="166">
        <v>36</v>
      </c>
      <c r="H1837" s="21">
        <v>66</v>
      </c>
      <c r="I1837" s="21">
        <v>10</v>
      </c>
      <c r="J1837" s="21">
        <v>44</v>
      </c>
      <c r="K1837" s="21">
        <v>9</v>
      </c>
      <c r="L1837" s="21">
        <v>69</v>
      </c>
      <c r="M1837" s="21">
        <v>27</v>
      </c>
      <c r="N1837" s="21">
        <v>35</v>
      </c>
      <c r="O1837" s="19">
        <v>88</v>
      </c>
      <c r="P1837" s="22">
        <v>3</v>
      </c>
      <c r="Q1837" s="22">
        <v>2</v>
      </c>
      <c r="R1837" s="20"/>
      <c r="S1837" s="234">
        <f>COUNTIFS(INP_DATA!$R$5:$R$3027,S$4,INP_DATA!$D$5:$D$3027,$D1837,INP_DATA!$B$5:$B$3027,$B1837)</f>
        <v>0</v>
      </c>
      <c r="T1837" s="235">
        <f>COUNTIFS(INP_DATA!$R$5:$R$3027,T$4,INP_DATA!$D$5:$D$3027,$D1837,INP_DATA!$B$5:$B$3027,$B1837)</f>
        <v>0</v>
      </c>
    </row>
    <row r="1838" spans="1:20" x14ac:dyDescent="0.35">
      <c r="A1838" s="3" t="str">
        <f>IF(D1838="","",(VLOOKUP($D1838,KEY!$B$5:$D$74,3,FALSE)))</f>
        <v>Northern California</v>
      </c>
      <c r="B1838" s="165">
        <f t="shared" si="17"/>
        <v>45839</v>
      </c>
      <c r="C1838" s="57" t="str">
        <f>IF($B1838="","",YEAR($B1838)&amp;"-"&amp;IFERROR(VLOOKUP(MONTH(B1838),KEY!$AE$5:$AF$16,2,FALSE),""))</f>
        <v>2025-Q3</v>
      </c>
      <c r="D1838" s="3" t="s">
        <v>148</v>
      </c>
      <c r="E1838" s="219">
        <v>13</v>
      </c>
      <c r="F1838" s="166">
        <v>43</v>
      </c>
      <c r="G1838" s="166">
        <v>36</v>
      </c>
      <c r="H1838" s="21">
        <v>96</v>
      </c>
      <c r="I1838" s="21">
        <v>12</v>
      </c>
      <c r="J1838" s="21">
        <v>66</v>
      </c>
      <c r="K1838" s="21">
        <v>8</v>
      </c>
      <c r="L1838" s="21">
        <v>64</v>
      </c>
      <c r="M1838" s="21">
        <v>31</v>
      </c>
      <c r="N1838" s="21">
        <v>44</v>
      </c>
      <c r="O1838" s="19">
        <v>88</v>
      </c>
      <c r="P1838" s="22">
        <v>7</v>
      </c>
      <c r="Q1838" s="22">
        <v>4</v>
      </c>
      <c r="R1838" s="20"/>
      <c r="S1838" s="234">
        <f>COUNTIFS(INP_DATA!$R$5:$R$3027,S$4,INP_DATA!$D$5:$D$3027,$D1838,INP_DATA!$B$5:$B$3027,$B1838)</f>
        <v>0</v>
      </c>
      <c r="T1838" s="235">
        <f>COUNTIFS(INP_DATA!$R$5:$R$3027,T$4,INP_DATA!$D$5:$D$3027,$D1838,INP_DATA!$B$5:$B$3027,$B1838)</f>
        <v>0</v>
      </c>
    </row>
    <row r="1839" spans="1:20" x14ac:dyDescent="0.35">
      <c r="A1839" s="3" t="str">
        <f>IF(D1839="","",(VLOOKUP($D1839,KEY!$B$5:$D$74,3,FALSE)))</f>
        <v>Orange County</v>
      </c>
      <c r="B1839" s="165">
        <f t="shared" si="17"/>
        <v>45839</v>
      </c>
      <c r="C1839" s="57" t="str">
        <f>IF($B1839="","",YEAR($B1839)&amp;"-"&amp;IFERROR(VLOOKUP(MONTH(B1839),KEY!$AE$5:$AF$16,2,FALSE),""))</f>
        <v>2025-Q3</v>
      </c>
      <c r="D1839" s="3" t="s">
        <v>149</v>
      </c>
      <c r="E1839" s="219">
        <v>9</v>
      </c>
      <c r="F1839" s="166">
        <v>0</v>
      </c>
      <c r="G1839" s="166">
        <v>0</v>
      </c>
      <c r="H1839" s="21">
        <v>72</v>
      </c>
      <c r="I1839" s="21">
        <v>11</v>
      </c>
      <c r="J1839" s="21">
        <v>24</v>
      </c>
      <c r="K1839" s="21">
        <v>5</v>
      </c>
      <c r="L1839" s="21">
        <v>43</v>
      </c>
      <c r="M1839" s="21">
        <v>14</v>
      </c>
      <c r="N1839" s="21">
        <v>23</v>
      </c>
      <c r="O1839" s="19">
        <v>66</v>
      </c>
      <c r="P1839" s="22">
        <v>0</v>
      </c>
      <c r="Q1839" s="22">
        <v>0</v>
      </c>
      <c r="R1839" s="20"/>
      <c r="S1839" s="234">
        <f>COUNTIFS(INP_DATA!$R$5:$R$3027,S$4,INP_DATA!$D$5:$D$3027,$D1839,INP_DATA!$B$5:$B$3027,$B1839)</f>
        <v>0</v>
      </c>
      <c r="T1839" s="235">
        <f>COUNTIFS(INP_DATA!$R$5:$R$3027,T$4,INP_DATA!$D$5:$D$3027,$D1839,INP_DATA!$B$5:$B$3027,$B1839)</f>
        <v>0</v>
      </c>
    </row>
    <row r="1840" spans="1:20" x14ac:dyDescent="0.35">
      <c r="A1840" s="3" t="str">
        <f>IF(D1840="","",(VLOOKUP($D1840,KEY!$B$5:$D$74,3,FALSE)))</f>
        <v>Southern California</v>
      </c>
      <c r="B1840" s="165">
        <f t="shared" si="17"/>
        <v>45839</v>
      </c>
      <c r="C1840" s="57" t="str">
        <f>IF($B1840="","",YEAR($B1840)&amp;"-"&amp;IFERROR(VLOOKUP(MONTH(B1840),KEY!$AE$5:$AF$16,2,FALSE),""))</f>
        <v>2025-Q3</v>
      </c>
      <c r="D1840" s="3" t="s">
        <v>150</v>
      </c>
      <c r="E1840" s="219">
        <v>7</v>
      </c>
      <c r="F1840" s="166">
        <v>46</v>
      </c>
      <c r="G1840" s="166">
        <v>42</v>
      </c>
      <c r="H1840" s="21">
        <v>48</v>
      </c>
      <c r="I1840" s="21">
        <v>14</v>
      </c>
      <c r="J1840" s="21">
        <v>28</v>
      </c>
      <c r="K1840" s="21">
        <v>4</v>
      </c>
      <c r="L1840" s="21">
        <v>55</v>
      </c>
      <c r="M1840" s="21">
        <v>21</v>
      </c>
      <c r="N1840" s="21">
        <v>47</v>
      </c>
      <c r="O1840" s="19">
        <v>66</v>
      </c>
      <c r="P1840" s="22">
        <v>3</v>
      </c>
      <c r="Q1840" s="22">
        <v>3</v>
      </c>
      <c r="R1840" s="20"/>
      <c r="S1840" s="234">
        <f>COUNTIFS(INP_DATA!$R$5:$R$3027,S$4,INP_DATA!$D$5:$D$3027,$D1840,INP_DATA!$B$5:$B$3027,$B1840)</f>
        <v>0</v>
      </c>
      <c r="T1840" s="235">
        <f>COUNTIFS(INP_DATA!$R$5:$R$3027,T$4,INP_DATA!$D$5:$D$3027,$D1840,INP_DATA!$B$5:$B$3027,$B1840)</f>
        <v>0</v>
      </c>
    </row>
    <row r="1841" spans="1:20" x14ac:dyDescent="0.35">
      <c r="A1841" s="3" t="str">
        <f>IF(D1841="","",(VLOOKUP($D1841,KEY!$B$5:$D$74,3,FALSE)))</f>
        <v>Arizona</v>
      </c>
      <c r="B1841" s="165">
        <f t="shared" si="17"/>
        <v>45839</v>
      </c>
      <c r="C1841" s="57" t="str">
        <f>IF($B1841="","",YEAR($B1841)&amp;"-"&amp;IFERROR(VLOOKUP(MONTH(B1841),KEY!$AE$5:$AF$16,2,FALSE),""))</f>
        <v>2025-Q3</v>
      </c>
      <c r="D1841" s="3" t="s">
        <v>151</v>
      </c>
      <c r="E1841" s="219">
        <v>2</v>
      </c>
      <c r="F1841" s="166">
        <v>27</v>
      </c>
      <c r="G1841" s="166">
        <v>49</v>
      </c>
      <c r="H1841" s="21">
        <v>95</v>
      </c>
      <c r="I1841" s="21">
        <v>11</v>
      </c>
      <c r="J1841" s="21">
        <v>33</v>
      </c>
      <c r="K1841" s="21">
        <v>7</v>
      </c>
      <c r="L1841" s="21">
        <v>57</v>
      </c>
      <c r="M1841" s="21">
        <v>24</v>
      </c>
      <c r="N1841" s="21">
        <v>27</v>
      </c>
      <c r="O1841" s="19">
        <v>88</v>
      </c>
      <c r="P1841" s="22">
        <v>3</v>
      </c>
      <c r="Q1841" s="22">
        <v>1</v>
      </c>
      <c r="R1841" s="20"/>
      <c r="S1841" s="234">
        <f>COUNTIFS(INP_DATA!$R$5:$R$3027,S$4,INP_DATA!$D$5:$D$3027,$D1841,INP_DATA!$B$5:$B$3027,$B1841)</f>
        <v>0</v>
      </c>
      <c r="T1841" s="235">
        <f>COUNTIFS(INP_DATA!$R$5:$R$3027,T$4,INP_DATA!$D$5:$D$3027,$D1841,INP_DATA!$B$5:$B$3027,$B1841)</f>
        <v>0</v>
      </c>
    </row>
    <row r="1842" spans="1:20" x14ac:dyDescent="0.35">
      <c r="A1842" s="3" t="str">
        <f>IF(D1842="","",(VLOOKUP($D1842,KEY!$B$5:$D$74,3,FALSE)))</f>
        <v>Michigan &amp; Minnesota</v>
      </c>
      <c r="B1842" s="165">
        <f t="shared" si="17"/>
        <v>45839</v>
      </c>
      <c r="C1842" s="57" t="str">
        <f>IF($B1842="","",YEAR($B1842)&amp;"-"&amp;IFERROR(VLOOKUP(MONTH(B1842),KEY!$AE$5:$AF$16,2,FALSE),""))</f>
        <v>2025-Q3</v>
      </c>
      <c r="D1842" s="3" t="s">
        <v>206</v>
      </c>
      <c r="E1842" s="219">
        <v>34</v>
      </c>
      <c r="F1842" s="166">
        <v>247</v>
      </c>
      <c r="G1842" s="166">
        <v>233</v>
      </c>
      <c r="H1842" s="21">
        <v>317</v>
      </c>
      <c r="I1842" s="21">
        <v>74</v>
      </c>
      <c r="J1842" s="21">
        <v>136</v>
      </c>
      <c r="K1842" s="21">
        <v>34</v>
      </c>
      <c r="L1842" s="21">
        <v>439</v>
      </c>
      <c r="M1842" s="21">
        <v>163</v>
      </c>
      <c r="N1842" s="21">
        <v>248</v>
      </c>
      <c r="O1842" s="19">
        <v>418</v>
      </c>
      <c r="P1842" s="22">
        <v>20</v>
      </c>
      <c r="Q1842" s="22">
        <v>16</v>
      </c>
      <c r="R1842" s="20"/>
      <c r="S1842" s="234">
        <f>COUNTIFS(INP_DATA!$R$5:$R$3027,S$4,INP_DATA!$D$5:$D$3027,$D1842,INP_DATA!$B$5:$B$3027,$B1842)</f>
        <v>0</v>
      </c>
      <c r="T1842" s="235">
        <f>COUNTIFS(INP_DATA!$R$5:$R$3027,T$4,INP_DATA!$D$5:$D$3027,$D1842,INP_DATA!$B$5:$B$3027,$B1842)</f>
        <v>0</v>
      </c>
    </row>
    <row r="1843" spans="1:20" x14ac:dyDescent="0.35">
      <c r="A1843" s="3" t="str">
        <f>IF(D1843="","",(VLOOKUP($D1843,KEY!$B$5:$D$74,3,FALSE)))</f>
        <v>Michigan &amp; Minnesota</v>
      </c>
      <c r="B1843" s="165">
        <f t="shared" si="17"/>
        <v>45839</v>
      </c>
      <c r="C1843" s="57" t="str">
        <f>IF($B1843="","",YEAR($B1843)&amp;"-"&amp;IFERROR(VLOOKUP(MONTH(B1843),KEY!$AE$5:$AF$16,2,FALSE),""))</f>
        <v>2025-Q3</v>
      </c>
      <c r="D1843" s="3" t="s">
        <v>207</v>
      </c>
      <c r="E1843" s="219">
        <v>4</v>
      </c>
      <c r="F1843" s="166">
        <v>107</v>
      </c>
      <c r="G1843" s="166">
        <v>43</v>
      </c>
      <c r="H1843" s="21">
        <v>172</v>
      </c>
      <c r="I1843" s="21">
        <v>41</v>
      </c>
      <c r="J1843" s="21">
        <v>51</v>
      </c>
      <c r="K1843" s="21">
        <v>19</v>
      </c>
      <c r="L1843" s="21">
        <v>95</v>
      </c>
      <c r="M1843" s="21">
        <v>40</v>
      </c>
      <c r="N1843" s="21">
        <v>108</v>
      </c>
      <c r="O1843" s="19">
        <v>110</v>
      </c>
      <c r="P1843" s="22">
        <v>4</v>
      </c>
      <c r="Q1843" s="22">
        <v>2</v>
      </c>
      <c r="R1843" s="20"/>
      <c r="S1843" s="234">
        <f>COUNTIFS(INP_DATA!$R$5:$R$3027,S$4,INP_DATA!$D$5:$D$3027,$D1843,INP_DATA!$B$5:$B$3027,$B1843)</f>
        <v>0</v>
      </c>
      <c r="T1843" s="235">
        <f>COUNTIFS(INP_DATA!$R$5:$R$3027,T$4,INP_DATA!$D$5:$D$3027,$D1843,INP_DATA!$B$5:$B$3027,$B1843)</f>
        <v>0</v>
      </c>
    </row>
    <row r="1844" spans="1:20" x14ac:dyDescent="0.35">
      <c r="A1844" s="3" t="str">
        <f>IF(D1844="","",(VLOOKUP($D1844,KEY!$B$5:$D$74,3,FALSE)))</f>
        <v>Indiana</v>
      </c>
      <c r="B1844" s="165">
        <f t="shared" si="17"/>
        <v>45839</v>
      </c>
      <c r="C1844" s="57" t="str">
        <f>IF($B1844="","",YEAR($B1844)&amp;"-"&amp;IFERROR(VLOOKUP(MONTH(B1844),KEY!$AE$5:$AF$16,2,FALSE),""))</f>
        <v>2025-Q3</v>
      </c>
      <c r="D1844" s="3" t="s">
        <v>208</v>
      </c>
      <c r="E1844" s="219">
        <v>4</v>
      </c>
      <c r="F1844" s="166">
        <v>115</v>
      </c>
      <c r="G1844" s="166">
        <v>99</v>
      </c>
      <c r="H1844" s="21">
        <v>303</v>
      </c>
      <c r="I1844" s="21">
        <v>48</v>
      </c>
      <c r="J1844" s="21">
        <v>136</v>
      </c>
      <c r="K1844" s="21">
        <v>19</v>
      </c>
      <c r="L1844" s="21">
        <v>179</v>
      </c>
      <c r="M1844" s="21">
        <v>60</v>
      </c>
      <c r="N1844" s="21">
        <v>117</v>
      </c>
      <c r="O1844" s="19">
        <v>242</v>
      </c>
      <c r="P1844" s="22">
        <v>10</v>
      </c>
      <c r="Q1844" s="22">
        <v>5</v>
      </c>
      <c r="R1844" s="20"/>
      <c r="S1844" s="234">
        <f>COUNTIFS(INP_DATA!$R$5:$R$3027,S$4,INP_DATA!$D$5:$D$3027,$D1844,INP_DATA!$B$5:$B$3027,$B1844)</f>
        <v>0</v>
      </c>
      <c r="T1844" s="235">
        <f>COUNTIFS(INP_DATA!$R$5:$R$3027,T$4,INP_DATA!$D$5:$D$3027,$D1844,INP_DATA!$B$5:$B$3027,$B1844)</f>
        <v>0</v>
      </c>
    </row>
    <row r="1845" spans="1:20" x14ac:dyDescent="0.35">
      <c r="A1845" s="3" t="str">
        <f>IF(D1845="","",(VLOOKUP($D1845,KEY!$B$5:$D$74,3,FALSE)))</f>
        <v>Indiana</v>
      </c>
      <c r="B1845" s="165">
        <f t="shared" si="17"/>
        <v>45839</v>
      </c>
      <c r="C1845" s="57" t="str">
        <f>IF($B1845="","",YEAR($B1845)&amp;"-"&amp;IFERROR(VLOOKUP(MONTH(B1845),KEY!$AE$5:$AF$16,2,FALSE),""))</f>
        <v>2025-Q3</v>
      </c>
      <c r="D1845" s="3" t="s">
        <v>209</v>
      </c>
      <c r="E1845" s="219">
        <v>24</v>
      </c>
      <c r="F1845" s="166">
        <v>486</v>
      </c>
      <c r="G1845" s="166">
        <v>501</v>
      </c>
      <c r="H1845" s="21">
        <v>724</v>
      </c>
      <c r="I1845" s="21">
        <v>134</v>
      </c>
      <c r="J1845" s="21">
        <v>244</v>
      </c>
      <c r="K1845" s="21">
        <v>70</v>
      </c>
      <c r="L1845" s="21">
        <v>456</v>
      </c>
      <c r="M1845" s="21">
        <v>202</v>
      </c>
      <c r="N1845" s="21">
        <v>492</v>
      </c>
      <c r="O1845" s="19">
        <v>572</v>
      </c>
      <c r="P1845" s="22">
        <v>52</v>
      </c>
      <c r="Q1845" s="22">
        <v>38</v>
      </c>
      <c r="R1845" s="20"/>
      <c r="S1845" s="234">
        <f>COUNTIFS(INP_DATA!$R$5:$R$3027,S$4,INP_DATA!$D$5:$D$3027,$D1845,INP_DATA!$B$5:$B$3027,$B1845)</f>
        <v>0</v>
      </c>
      <c r="T1845" s="235">
        <f>COUNTIFS(INP_DATA!$R$5:$R$3027,T$4,INP_DATA!$D$5:$D$3027,$D1845,INP_DATA!$B$5:$B$3027,$B1845)</f>
        <v>0</v>
      </c>
    </row>
    <row r="1846" spans="1:20" x14ac:dyDescent="0.35">
      <c r="A1846" s="3" t="str">
        <f>IF(D1846="","",(VLOOKUP($D1846,KEY!$B$5:$D$74,3,FALSE)))</f>
        <v>Northern California</v>
      </c>
      <c r="B1846" s="165">
        <f t="shared" si="17"/>
        <v>45839</v>
      </c>
      <c r="C1846" s="57" t="str">
        <f>IF($B1846="","",YEAR($B1846)&amp;"-"&amp;IFERROR(VLOOKUP(MONTH(B1846),KEY!$AE$5:$AF$16,2,FALSE),""))</f>
        <v>2025-Q3</v>
      </c>
      <c r="D1846" s="3" t="s">
        <v>152</v>
      </c>
      <c r="E1846" s="219">
        <v>51</v>
      </c>
      <c r="F1846" s="166">
        <v>166</v>
      </c>
      <c r="G1846" s="166">
        <v>188</v>
      </c>
      <c r="H1846" s="21">
        <v>380</v>
      </c>
      <c r="I1846" s="21">
        <v>73</v>
      </c>
      <c r="J1846" s="21">
        <v>151</v>
      </c>
      <c r="K1846" s="21">
        <v>39</v>
      </c>
      <c r="L1846" s="21">
        <v>391</v>
      </c>
      <c r="M1846" s="21">
        <v>132</v>
      </c>
      <c r="N1846" s="21">
        <v>190</v>
      </c>
      <c r="O1846" s="19">
        <v>264</v>
      </c>
      <c r="P1846" s="22">
        <v>43</v>
      </c>
      <c r="Q1846" s="22">
        <v>33</v>
      </c>
      <c r="R1846" s="20"/>
      <c r="S1846" s="234">
        <f>COUNTIFS(INP_DATA!$R$5:$R$3027,S$4,INP_DATA!$D$5:$D$3027,$D1846,INP_DATA!$B$5:$B$3027,$B1846)</f>
        <v>0</v>
      </c>
      <c r="T1846" s="235">
        <f>COUNTIFS(INP_DATA!$R$5:$R$3027,T$4,INP_DATA!$D$5:$D$3027,$D1846,INP_DATA!$B$5:$B$3027,$B1846)</f>
        <v>0</v>
      </c>
    </row>
    <row r="1847" spans="1:20" x14ac:dyDescent="0.35">
      <c r="A1847" s="3" t="str">
        <f>IF(D1847="","",(VLOOKUP($D1847,KEY!$B$5:$D$74,3,FALSE)))</f>
        <v>Arizona</v>
      </c>
      <c r="B1847" s="165">
        <f t="shared" si="17"/>
        <v>45839</v>
      </c>
      <c r="C1847" s="57" t="str">
        <f>IF($B1847="","",YEAR($B1847)&amp;"-"&amp;IFERROR(VLOOKUP(MONTH(B1847),KEY!$AE$5:$AF$16,2,FALSE),""))</f>
        <v>2025-Q3</v>
      </c>
      <c r="D1847" s="3" t="s">
        <v>153</v>
      </c>
      <c r="E1847" s="219">
        <v>26</v>
      </c>
      <c r="F1847" s="166">
        <v>86</v>
      </c>
      <c r="G1847" s="166">
        <v>79</v>
      </c>
      <c r="H1847" s="21">
        <v>193</v>
      </c>
      <c r="I1847" s="21">
        <v>23</v>
      </c>
      <c r="J1847" s="21">
        <v>109</v>
      </c>
      <c r="K1847" s="21">
        <v>9</v>
      </c>
      <c r="L1847" s="21">
        <v>325</v>
      </c>
      <c r="M1847" s="21">
        <v>65</v>
      </c>
      <c r="N1847" s="21">
        <v>86</v>
      </c>
      <c r="O1847" s="19">
        <v>308</v>
      </c>
      <c r="P1847" s="22">
        <v>8</v>
      </c>
      <c r="Q1847" s="22">
        <v>2</v>
      </c>
      <c r="R1847" s="20"/>
      <c r="S1847" s="234">
        <f>COUNTIFS(INP_DATA!$R$5:$R$3027,S$4,INP_DATA!$D$5:$D$3027,$D1847,INP_DATA!$B$5:$B$3027,$B1847)</f>
        <v>0</v>
      </c>
      <c r="T1847" s="235">
        <f>COUNTIFS(INP_DATA!$R$5:$R$3027,T$4,INP_DATA!$D$5:$D$3027,$D1847,INP_DATA!$B$5:$B$3027,$B1847)</f>
        <v>0</v>
      </c>
    </row>
    <row r="1848" spans="1:20" x14ac:dyDescent="0.35">
      <c r="A1848" s="3" t="str">
        <f>IF(D1848="","",(VLOOKUP($D1848,KEY!$B$5:$D$74,3,FALSE)))</f>
        <v>Northern California</v>
      </c>
      <c r="B1848" s="165">
        <f t="shared" si="17"/>
        <v>45839</v>
      </c>
      <c r="C1848" s="57" t="str">
        <f>IF($B1848="","",YEAR($B1848)&amp;"-"&amp;IFERROR(VLOOKUP(MONTH(B1848),KEY!$AE$5:$AF$16,2,FALSE),""))</f>
        <v>2025-Q3</v>
      </c>
      <c r="D1848" s="3" t="s">
        <v>154</v>
      </c>
      <c r="E1848" s="219">
        <v>25</v>
      </c>
      <c r="F1848" s="166">
        <v>82</v>
      </c>
      <c r="G1848" s="166">
        <v>72</v>
      </c>
      <c r="H1848" s="21">
        <v>337</v>
      </c>
      <c r="I1848" s="21">
        <v>25</v>
      </c>
      <c r="J1848" s="21">
        <v>155</v>
      </c>
      <c r="K1848" s="21">
        <v>21</v>
      </c>
      <c r="L1848" s="21">
        <v>255</v>
      </c>
      <c r="M1848" s="21">
        <v>50</v>
      </c>
      <c r="N1848" s="21">
        <v>83</v>
      </c>
      <c r="O1848" s="19">
        <v>220</v>
      </c>
      <c r="P1848" s="22">
        <v>12</v>
      </c>
      <c r="Q1848" s="22">
        <v>10</v>
      </c>
      <c r="R1848" s="20"/>
      <c r="S1848" s="234">
        <f>COUNTIFS(INP_DATA!$R$5:$R$3027,S$4,INP_DATA!$D$5:$D$3027,$D1848,INP_DATA!$B$5:$B$3027,$B1848)</f>
        <v>0</v>
      </c>
      <c r="T1848" s="235">
        <f>COUNTIFS(INP_DATA!$R$5:$R$3027,T$4,INP_DATA!$D$5:$D$3027,$D1848,INP_DATA!$B$5:$B$3027,$B1848)</f>
        <v>0</v>
      </c>
    </row>
    <row r="1849" spans="1:20" x14ac:dyDescent="0.35">
      <c r="A1849" s="3" t="str">
        <f>IF(D1849="","",(VLOOKUP($D1849,KEY!$B$5:$D$74,3,FALSE)))</f>
        <v>Texas</v>
      </c>
      <c r="B1849" s="165">
        <f t="shared" si="17"/>
        <v>45839</v>
      </c>
      <c r="C1849" s="57" t="str">
        <f>IF($B1849="","",YEAR($B1849)&amp;"-"&amp;IFERROR(VLOOKUP(MONTH(B1849),KEY!$AE$5:$AF$16,2,FALSE),""))</f>
        <v>2025-Q3</v>
      </c>
      <c r="D1849" s="3" t="s">
        <v>155</v>
      </c>
      <c r="E1849" s="219">
        <v>53</v>
      </c>
      <c r="F1849" s="166">
        <v>290</v>
      </c>
      <c r="G1849" s="166">
        <v>343</v>
      </c>
      <c r="H1849" s="21">
        <v>931</v>
      </c>
      <c r="I1849" s="21">
        <v>99</v>
      </c>
      <c r="J1849" s="21">
        <v>292</v>
      </c>
      <c r="K1849" s="21">
        <v>52</v>
      </c>
      <c r="L1849" s="21">
        <v>556</v>
      </c>
      <c r="M1849" s="21">
        <v>177</v>
      </c>
      <c r="N1849" s="21">
        <v>294</v>
      </c>
      <c r="O1849" s="19">
        <v>528</v>
      </c>
      <c r="P1849" s="22">
        <v>17</v>
      </c>
      <c r="Q1849" s="22">
        <v>12</v>
      </c>
      <c r="R1849" s="20"/>
      <c r="S1849" s="234">
        <f>COUNTIFS(INP_DATA!$R$5:$R$3027,S$4,INP_DATA!$D$5:$D$3027,$D1849,INP_DATA!$B$5:$B$3027,$B1849)</f>
        <v>0</v>
      </c>
      <c r="T1849" s="235">
        <f>COUNTIFS(INP_DATA!$R$5:$R$3027,T$4,INP_DATA!$D$5:$D$3027,$D1849,INP_DATA!$B$5:$B$3027,$B1849)</f>
        <v>0</v>
      </c>
    </row>
    <row r="1850" spans="1:20" x14ac:dyDescent="0.35">
      <c r="A1850" s="3" t="str">
        <f>IF(D1850="","",(VLOOKUP($D1850,KEY!$B$5:$D$74,3,FALSE)))</f>
        <v>Texas</v>
      </c>
      <c r="B1850" s="165">
        <f t="shared" si="17"/>
        <v>45839</v>
      </c>
      <c r="C1850" s="57" t="str">
        <f>IF($B1850="","",YEAR($B1850)&amp;"-"&amp;IFERROR(VLOOKUP(MONTH(B1850),KEY!$AE$5:$AF$16,2,FALSE),""))</f>
        <v>2025-Q3</v>
      </c>
      <c r="D1850" s="3" t="s">
        <v>156</v>
      </c>
      <c r="E1850" s="219">
        <v>46</v>
      </c>
      <c r="F1850" s="166">
        <v>260</v>
      </c>
      <c r="G1850" s="166">
        <v>245</v>
      </c>
      <c r="H1850" s="21">
        <v>513</v>
      </c>
      <c r="I1850" s="21">
        <v>67</v>
      </c>
      <c r="J1850" s="21">
        <v>236</v>
      </c>
      <c r="K1850" s="21">
        <v>58</v>
      </c>
      <c r="L1850" s="21">
        <v>309</v>
      </c>
      <c r="M1850" s="21">
        <v>112</v>
      </c>
      <c r="N1850" s="21">
        <v>261</v>
      </c>
      <c r="O1850" s="19">
        <v>374</v>
      </c>
      <c r="P1850" s="22">
        <v>5</v>
      </c>
      <c r="Q1850" s="22">
        <v>2</v>
      </c>
      <c r="R1850" s="20"/>
      <c r="S1850" s="234">
        <f>COUNTIFS(INP_DATA!$R$5:$R$3027,S$4,INP_DATA!$D$5:$D$3027,$D1850,INP_DATA!$B$5:$B$3027,$B1850)</f>
        <v>0</v>
      </c>
      <c r="T1850" s="235">
        <f>COUNTIFS(INP_DATA!$R$5:$R$3027,T$4,INP_DATA!$D$5:$D$3027,$D1850,INP_DATA!$B$5:$B$3027,$B1850)</f>
        <v>0</v>
      </c>
    </row>
    <row r="1851" spans="1:20" x14ac:dyDescent="0.35">
      <c r="A1851" s="3" t="str">
        <f>IF(D1851="","",(VLOOKUP($D1851,KEY!$B$5:$D$74,3,FALSE)))</f>
        <v>Texas</v>
      </c>
      <c r="B1851" s="165">
        <f t="shared" si="17"/>
        <v>45839</v>
      </c>
      <c r="C1851" s="57" t="str">
        <f>IF($B1851="","",YEAR($B1851)&amp;"-"&amp;IFERROR(VLOOKUP(MONTH(B1851),KEY!$AE$5:$AF$16,2,FALSE),""))</f>
        <v>2025-Q3</v>
      </c>
      <c r="D1851" s="3" t="s">
        <v>157</v>
      </c>
      <c r="E1851" s="219">
        <v>14</v>
      </c>
      <c r="F1851" s="166">
        <v>477</v>
      </c>
      <c r="G1851" s="166">
        <v>420</v>
      </c>
      <c r="H1851" s="21">
        <v>718</v>
      </c>
      <c r="I1851" s="21">
        <v>74</v>
      </c>
      <c r="J1851" s="21">
        <v>483</v>
      </c>
      <c r="K1851" s="21">
        <v>92</v>
      </c>
      <c r="L1851" s="21">
        <v>829</v>
      </c>
      <c r="M1851" s="21">
        <v>199</v>
      </c>
      <c r="N1851" s="21">
        <v>489</v>
      </c>
      <c r="O1851" s="19">
        <v>792</v>
      </c>
      <c r="P1851" s="22">
        <v>6</v>
      </c>
      <c r="Q1851" s="22">
        <v>2</v>
      </c>
      <c r="R1851" s="20"/>
      <c r="S1851" s="234">
        <f>COUNTIFS(INP_DATA!$R$5:$R$3027,S$4,INP_DATA!$D$5:$D$3027,$D1851,INP_DATA!$B$5:$B$3027,$B1851)</f>
        <v>0</v>
      </c>
      <c r="T1851" s="235">
        <f>COUNTIFS(INP_DATA!$R$5:$R$3027,T$4,INP_DATA!$D$5:$D$3027,$D1851,INP_DATA!$B$5:$B$3027,$B1851)</f>
        <v>0</v>
      </c>
    </row>
    <row r="1852" spans="1:20" x14ac:dyDescent="0.35">
      <c r="A1852" s="3" t="str">
        <f>IF(D1852="","",(VLOOKUP($D1852,KEY!$B$5:$D$74,3,FALSE)))</f>
        <v>Arizona</v>
      </c>
      <c r="B1852" s="165">
        <f t="shared" si="17"/>
        <v>45839</v>
      </c>
      <c r="C1852" s="57" t="str">
        <f>IF($B1852="","",YEAR($B1852)&amp;"-"&amp;IFERROR(VLOOKUP(MONTH(B1852),KEY!$AE$5:$AF$16,2,FALSE),""))</f>
        <v>2025-Q3</v>
      </c>
      <c r="D1852" s="3" t="s">
        <v>158</v>
      </c>
      <c r="E1852" s="219">
        <v>3</v>
      </c>
      <c r="F1852" s="166">
        <v>15</v>
      </c>
      <c r="G1852" s="166">
        <v>24</v>
      </c>
      <c r="H1852" s="21">
        <v>75</v>
      </c>
      <c r="I1852" s="21">
        <v>3</v>
      </c>
      <c r="J1852" s="21">
        <v>71</v>
      </c>
      <c r="K1852" s="21">
        <v>4</v>
      </c>
      <c r="L1852" s="21">
        <v>58</v>
      </c>
      <c r="M1852" s="21">
        <v>3</v>
      </c>
      <c r="N1852" s="21">
        <v>15</v>
      </c>
      <c r="O1852" s="19">
        <v>72</v>
      </c>
      <c r="P1852" s="22">
        <v>3</v>
      </c>
      <c r="Q1852" s="22">
        <v>1</v>
      </c>
      <c r="R1852" s="20"/>
      <c r="S1852" s="234">
        <f>COUNTIFS(INP_DATA!$R$5:$R$3027,S$4,INP_DATA!$D$5:$D$3027,$D1852,INP_DATA!$B$5:$B$3027,$B1852)</f>
        <v>0</v>
      </c>
      <c r="T1852" s="235">
        <f>COUNTIFS(INP_DATA!$R$5:$R$3027,T$4,INP_DATA!$D$5:$D$3027,$D1852,INP_DATA!$B$5:$B$3027,$B1852)</f>
        <v>0</v>
      </c>
    </row>
    <row r="1853" spans="1:20" x14ac:dyDescent="0.35">
      <c r="A1853" s="3" t="str">
        <f>IF(D1853="","",(VLOOKUP($D1853,KEY!$B$5:$D$74,3,FALSE)))</f>
        <v>Orange County</v>
      </c>
      <c r="B1853" s="165">
        <f t="shared" si="17"/>
        <v>45839</v>
      </c>
      <c r="C1853" s="57" t="str">
        <f>IF($B1853="","",YEAR($B1853)&amp;"-"&amp;IFERROR(VLOOKUP(MONTH(B1853),KEY!$AE$5:$AF$16,2,FALSE),""))</f>
        <v>2025-Q3</v>
      </c>
      <c r="D1853" s="3" t="s">
        <v>159</v>
      </c>
      <c r="E1853" s="219">
        <v>19</v>
      </c>
      <c r="F1853" s="166">
        <v>68</v>
      </c>
      <c r="G1853" s="166">
        <v>125</v>
      </c>
      <c r="H1853" s="21">
        <v>196</v>
      </c>
      <c r="I1853" s="21">
        <v>29</v>
      </c>
      <c r="J1853" s="21">
        <v>68</v>
      </c>
      <c r="K1853" s="21">
        <v>17</v>
      </c>
      <c r="L1853" s="21">
        <v>140</v>
      </c>
      <c r="M1853" s="21">
        <v>50</v>
      </c>
      <c r="N1853" s="21">
        <v>68</v>
      </c>
      <c r="O1853" s="19">
        <v>198</v>
      </c>
      <c r="P1853" s="22">
        <v>8</v>
      </c>
      <c r="Q1853" s="22">
        <v>6</v>
      </c>
      <c r="R1853" s="20"/>
      <c r="S1853" s="234"/>
      <c r="T1853" s="235"/>
    </row>
    <row r="1854" spans="1:20" x14ac:dyDescent="0.35">
      <c r="A1854" s="3" t="str">
        <f>IF(D1854="","",(VLOOKUP($D1854,KEY!$B$5:$D$74,3,FALSE)))</f>
        <v>Arizona</v>
      </c>
      <c r="B1854" s="165">
        <f t="shared" si="17"/>
        <v>45839</v>
      </c>
      <c r="C1854" s="57" t="str">
        <f>IF($B1854="","",YEAR($B1854)&amp;"-"&amp;IFERROR(VLOOKUP(MONTH(B1854),KEY!$AE$5:$AF$16,2,FALSE),""))</f>
        <v>2025-Q3</v>
      </c>
      <c r="D1854" s="3" t="s">
        <v>160</v>
      </c>
      <c r="E1854" s="219">
        <v>54</v>
      </c>
      <c r="F1854" s="166">
        <v>372</v>
      </c>
      <c r="G1854" s="166">
        <v>354</v>
      </c>
      <c r="H1854" s="21">
        <v>682</v>
      </c>
      <c r="I1854" s="21">
        <v>126</v>
      </c>
      <c r="J1854" s="21">
        <v>197</v>
      </c>
      <c r="K1854" s="21">
        <v>39</v>
      </c>
      <c r="L1854" s="21">
        <v>540</v>
      </c>
      <c r="M1854" s="21">
        <v>243</v>
      </c>
      <c r="N1854" s="21">
        <v>394</v>
      </c>
      <c r="O1854" s="19">
        <v>484</v>
      </c>
      <c r="P1854" s="22">
        <v>15</v>
      </c>
      <c r="Q1854" s="22">
        <v>10</v>
      </c>
      <c r="R1854" s="20"/>
      <c r="S1854" s="234"/>
      <c r="T1854" s="235"/>
    </row>
    <row r="1855" spans="1:20" x14ac:dyDescent="0.35">
      <c r="A1855" s="3" t="str">
        <f>IF(D1855="","",(VLOOKUP($D1855,KEY!$B$5:$D$74,3,FALSE)))</f>
        <v>Northern California</v>
      </c>
      <c r="B1855" s="165">
        <f t="shared" si="17"/>
        <v>45839</v>
      </c>
      <c r="C1855" s="57" t="str">
        <f>IF($B1855="","",YEAR($B1855)&amp;"-"&amp;IFERROR(VLOOKUP(MONTH(B1855),KEY!$AE$5:$AF$16,2,FALSE),""))</f>
        <v>2025-Q3</v>
      </c>
      <c r="D1855" s="3" t="s">
        <v>161</v>
      </c>
      <c r="E1855" s="219">
        <v>37</v>
      </c>
      <c r="F1855" s="166">
        <v>257</v>
      </c>
      <c r="G1855" s="166">
        <v>256</v>
      </c>
      <c r="H1855" s="21">
        <v>360</v>
      </c>
      <c r="I1855" s="21">
        <v>65</v>
      </c>
      <c r="J1855" s="21">
        <v>210</v>
      </c>
      <c r="K1855" s="21">
        <v>47</v>
      </c>
      <c r="L1855" s="21">
        <v>353</v>
      </c>
      <c r="M1855" s="21">
        <v>114</v>
      </c>
      <c r="N1855" s="21">
        <v>271</v>
      </c>
      <c r="O1855" s="19">
        <v>484</v>
      </c>
      <c r="P1855" s="22">
        <v>3</v>
      </c>
      <c r="Q1855" s="22">
        <v>2</v>
      </c>
      <c r="R1855" s="20"/>
      <c r="S1855" s="234"/>
      <c r="T1855" s="235"/>
    </row>
    <row r="1856" spans="1:20" x14ac:dyDescent="0.35">
      <c r="A1856" s="3" t="str">
        <f>IF(D1856="","",(VLOOKUP($D1856,KEY!$B$5:$D$74,3,FALSE)))</f>
        <v>Arizona</v>
      </c>
      <c r="B1856" s="165">
        <f t="shared" si="17"/>
        <v>45839</v>
      </c>
      <c r="C1856" s="57" t="str">
        <f>IF($B1856="","",YEAR($B1856)&amp;"-"&amp;IFERROR(VLOOKUP(MONTH(B1856),KEY!$AE$5:$AF$16,2,FALSE),""))</f>
        <v>2025-Q3</v>
      </c>
      <c r="D1856" s="3" t="s">
        <v>163</v>
      </c>
      <c r="E1856" s="219">
        <v>70</v>
      </c>
      <c r="F1856" s="166">
        <v>303</v>
      </c>
      <c r="G1856" s="166">
        <v>237</v>
      </c>
      <c r="H1856" s="21">
        <v>453</v>
      </c>
      <c r="I1856" s="21">
        <v>85</v>
      </c>
      <c r="J1856" s="21">
        <v>173</v>
      </c>
      <c r="K1856" s="21">
        <v>47</v>
      </c>
      <c r="L1856" s="21">
        <v>357</v>
      </c>
      <c r="M1856" s="21">
        <v>172</v>
      </c>
      <c r="N1856" s="21">
        <v>311</v>
      </c>
      <c r="O1856" s="19">
        <v>396</v>
      </c>
      <c r="P1856" s="22">
        <v>4</v>
      </c>
      <c r="Q1856" s="22">
        <v>2</v>
      </c>
      <c r="R1856" s="20"/>
      <c r="S1856" s="234"/>
      <c r="T1856" s="235"/>
    </row>
    <row r="1857" spans="1:20" x14ac:dyDescent="0.35">
      <c r="A1857" s="3" t="str">
        <f>IF(D1857="","",(VLOOKUP($D1857,KEY!$B$5:$D$74,3,FALSE)))</f>
        <v>Arizona</v>
      </c>
      <c r="B1857" s="165">
        <f t="shared" si="17"/>
        <v>45839</v>
      </c>
      <c r="C1857" s="57" t="str">
        <f>IF($B1857="","",YEAR($B1857)&amp;"-"&amp;IFERROR(VLOOKUP(MONTH(B1857),KEY!$AE$5:$AF$16,2,FALSE),""))</f>
        <v>2025-Q3</v>
      </c>
      <c r="D1857" s="3" t="s">
        <v>164</v>
      </c>
      <c r="E1857" s="219">
        <v>13</v>
      </c>
      <c r="F1857" s="166">
        <v>79</v>
      </c>
      <c r="G1857" s="166">
        <v>76</v>
      </c>
      <c r="H1857" s="21">
        <v>134</v>
      </c>
      <c r="I1857" s="21">
        <v>27</v>
      </c>
      <c r="J1857" s="21">
        <v>43</v>
      </c>
      <c r="K1857" s="21">
        <v>8</v>
      </c>
      <c r="L1857" s="21">
        <v>136</v>
      </c>
      <c r="M1857" s="21">
        <v>57</v>
      </c>
      <c r="N1857" s="21">
        <v>81</v>
      </c>
      <c r="O1857" s="19">
        <v>132</v>
      </c>
      <c r="P1857" s="22">
        <v>11</v>
      </c>
      <c r="Q1857" s="22">
        <v>9</v>
      </c>
      <c r="R1857" s="20"/>
      <c r="S1857" s="234"/>
      <c r="T1857" s="235"/>
    </row>
    <row r="1858" spans="1:20" x14ac:dyDescent="0.35">
      <c r="A1858" s="3" t="str">
        <f>IF(D1858="","",(VLOOKUP($D1858,KEY!$B$5:$D$74,3,FALSE)))</f>
        <v>Orange County</v>
      </c>
      <c r="B1858" s="165">
        <f t="shared" ref="B1858:B1862" si="18">B1857</f>
        <v>45839</v>
      </c>
      <c r="C1858" s="57" t="str">
        <f>IF($B1858="","",YEAR($B1858)&amp;"-"&amp;IFERROR(VLOOKUP(MONTH(B1858),KEY!$AE$5:$AF$16,2,FALSE),""))</f>
        <v>2025-Q3</v>
      </c>
      <c r="D1858" s="3" t="s">
        <v>165</v>
      </c>
      <c r="E1858" s="219">
        <v>15</v>
      </c>
      <c r="F1858" s="166">
        <v>75</v>
      </c>
      <c r="G1858" s="166">
        <v>64</v>
      </c>
      <c r="H1858" s="21">
        <v>242</v>
      </c>
      <c r="I1858" s="21">
        <v>26</v>
      </c>
      <c r="J1858" s="21">
        <v>53</v>
      </c>
      <c r="K1858" s="21">
        <v>17</v>
      </c>
      <c r="L1858" s="21">
        <v>102</v>
      </c>
      <c r="M1858" s="21">
        <v>51</v>
      </c>
      <c r="N1858" s="21">
        <v>76</v>
      </c>
      <c r="O1858" s="19">
        <v>88</v>
      </c>
      <c r="P1858" s="22">
        <v>40</v>
      </c>
      <c r="Q1858" s="22">
        <v>19</v>
      </c>
      <c r="R1858" s="20"/>
      <c r="S1858" s="234"/>
      <c r="T1858" s="235"/>
    </row>
    <row r="1859" spans="1:20" x14ac:dyDescent="0.35">
      <c r="A1859" s="3" t="str">
        <f>IF(D1859="","",(VLOOKUP($D1859,KEY!$B$5:$D$74,3,FALSE)))</f>
        <v/>
      </c>
      <c r="B1859" s="165">
        <f t="shared" si="18"/>
        <v>45839</v>
      </c>
      <c r="C1859" s="57" t="str">
        <f>IF($B1859="","",YEAR($B1859)&amp;"-"&amp;IFERROR(VLOOKUP(MONTH(B1859),KEY!$AE$5:$AF$16,2,FALSE),""))</f>
        <v>2025-Q3</v>
      </c>
      <c r="D1859" s="3"/>
      <c r="E1859" s="219"/>
      <c r="F1859" s="166"/>
      <c r="G1859" s="166"/>
      <c r="H1859" s="21"/>
      <c r="I1859" s="21"/>
      <c r="J1859" s="21"/>
      <c r="K1859" s="21"/>
      <c r="L1859" s="21"/>
      <c r="M1859" s="21"/>
      <c r="N1859" s="21"/>
      <c r="O1859" s="19"/>
      <c r="P1859" s="22"/>
      <c r="Q1859" s="22"/>
      <c r="R1859" s="20"/>
      <c r="S1859" s="234"/>
      <c r="T1859" s="235"/>
    </row>
    <row r="1860" spans="1:20" x14ac:dyDescent="0.35">
      <c r="A1860" s="3" t="str">
        <f>IF(D1860="","",(VLOOKUP($D1860,KEY!$B$5:$D$74,3,FALSE)))</f>
        <v/>
      </c>
      <c r="B1860" s="165">
        <f t="shared" si="18"/>
        <v>45839</v>
      </c>
      <c r="C1860" s="57" t="str">
        <f>IF($B1860="","",YEAR($B1860)&amp;"-"&amp;IFERROR(VLOOKUP(MONTH(B1860),KEY!$AE$5:$AF$16,2,FALSE),""))</f>
        <v>2025-Q3</v>
      </c>
      <c r="D1860" s="3"/>
      <c r="E1860" s="219"/>
      <c r="F1860" s="166"/>
      <c r="G1860" s="166"/>
      <c r="H1860" s="21"/>
      <c r="I1860" s="21"/>
      <c r="J1860" s="21"/>
      <c r="K1860" s="21"/>
      <c r="L1860" s="21"/>
      <c r="M1860" s="21"/>
      <c r="N1860" s="21"/>
      <c r="O1860" s="19"/>
      <c r="P1860" s="22"/>
      <c r="Q1860" s="22"/>
      <c r="R1860" s="20"/>
      <c r="S1860" s="234"/>
      <c r="T1860" s="235"/>
    </row>
    <row r="1861" spans="1:20" x14ac:dyDescent="0.35">
      <c r="A1861" s="3" t="str">
        <f>IF(D1861="","",(VLOOKUP($D1861,KEY!$B$5:$D$74,3,FALSE)))</f>
        <v/>
      </c>
      <c r="B1861" s="165">
        <f t="shared" si="18"/>
        <v>45839</v>
      </c>
      <c r="C1861" s="57" t="str">
        <f>IF($B1861="","",YEAR($B1861)&amp;"-"&amp;IFERROR(VLOOKUP(MONTH(B1861),KEY!$AE$5:$AF$16,2,FALSE),""))</f>
        <v>2025-Q3</v>
      </c>
      <c r="D1861" s="3"/>
      <c r="E1861" s="219"/>
      <c r="F1861" s="166"/>
      <c r="G1861" s="166"/>
      <c r="H1861" s="21"/>
      <c r="I1861" s="21"/>
      <c r="J1861" s="21"/>
      <c r="K1861" s="21"/>
      <c r="L1861" s="21"/>
      <c r="M1861" s="21"/>
      <c r="N1861" s="21"/>
      <c r="O1861" s="19"/>
      <c r="P1861" s="22"/>
      <c r="Q1861" s="22"/>
      <c r="R1861" s="20"/>
      <c r="S1861" s="234"/>
      <c r="T1861" s="235"/>
    </row>
    <row r="1862" spans="1:20" x14ac:dyDescent="0.35">
      <c r="A1862" s="3" t="str">
        <f>IF(D1862="","",(VLOOKUP($D1862,KEY!$B$5:$D$74,3,FALSE)))</f>
        <v/>
      </c>
      <c r="B1862" s="426">
        <f t="shared" si="18"/>
        <v>45839</v>
      </c>
      <c r="C1862" s="427" t="str">
        <f>IF($B1862="","",YEAR($B1862)&amp;"-"&amp;IFERROR(VLOOKUP(MONTH(B1862),KEY!$AE$5:$AF$16,2,FALSE),""))</f>
        <v>2025-Q3</v>
      </c>
      <c r="D1862" s="428"/>
      <c r="E1862" s="429"/>
      <c r="F1862" s="430"/>
      <c r="G1862" s="430"/>
      <c r="H1862" s="431"/>
      <c r="I1862" s="431"/>
      <c r="J1862" s="431"/>
      <c r="K1862" s="431"/>
      <c r="L1862" s="431"/>
      <c r="M1862" s="431"/>
      <c r="N1862" s="431"/>
      <c r="O1862" s="432"/>
      <c r="P1862" s="433"/>
      <c r="Q1862" s="433"/>
      <c r="R1862" s="20"/>
      <c r="S1862" s="234"/>
      <c r="T1862" s="235"/>
    </row>
    <row r="1863" spans="1:20" x14ac:dyDescent="0.35">
      <c r="A1863" s="3" t="str">
        <f>IF(D1863="","",(VLOOKUP($D1863,KEY!$B$5:$D$74,3,FALSE)))</f>
        <v>Arizona</v>
      </c>
      <c r="B1863" s="165">
        <f>DATE(YEAR(B1862+31),MONTH(B1862+31),1)</f>
        <v>45870</v>
      </c>
      <c r="C1863" s="57" t="str">
        <f>IF($B1863="","",YEAR($B1863)&amp;"-"&amp;IFERROR(VLOOKUP(MONTH(B1863),KEY!$AE$5:$AF$16,2,FALSE),""))</f>
        <v>2025-Q3</v>
      </c>
      <c r="D1863" s="3" t="s">
        <v>111</v>
      </c>
      <c r="E1863" s="219">
        <v>11</v>
      </c>
      <c r="F1863" s="166">
        <v>63</v>
      </c>
      <c r="G1863" s="166">
        <v>78</v>
      </c>
      <c r="H1863" s="21">
        <v>132</v>
      </c>
      <c r="I1863" s="21">
        <v>17</v>
      </c>
      <c r="J1863" s="21">
        <v>66</v>
      </c>
      <c r="K1863" s="21">
        <v>16</v>
      </c>
      <c r="L1863" s="21">
        <v>112</v>
      </c>
      <c r="M1863" s="21">
        <v>48</v>
      </c>
      <c r="N1863" s="21">
        <v>62</v>
      </c>
      <c r="O1863" s="19">
        <v>176</v>
      </c>
      <c r="P1863" s="22">
        <v>1</v>
      </c>
      <c r="Q1863" s="22">
        <v>1</v>
      </c>
      <c r="R1863" s="20"/>
      <c r="S1863" s="234"/>
      <c r="T1863" s="235"/>
    </row>
    <row r="1864" spans="1:20" x14ac:dyDescent="0.35">
      <c r="A1864" s="3" t="str">
        <f>IF(D1864="","",(VLOOKUP($D1864,KEY!$B$5:$D$74,3,FALSE)))</f>
        <v>Southern California</v>
      </c>
      <c r="B1864" s="165">
        <f t="shared" ref="B1864:B1927" si="19">B1863</f>
        <v>45870</v>
      </c>
      <c r="C1864" s="57" t="str">
        <f>IF($B1864="","",YEAR($B1864)&amp;"-"&amp;IFERROR(VLOOKUP(MONTH(B1864),KEY!$AE$5:$AF$16,2,FALSE),""))</f>
        <v>2025-Q3</v>
      </c>
      <c r="D1864" s="3" t="s">
        <v>112</v>
      </c>
      <c r="E1864" s="219">
        <v>8</v>
      </c>
      <c r="F1864" s="166">
        <v>50</v>
      </c>
      <c r="G1864" s="166">
        <v>26</v>
      </c>
      <c r="H1864" s="21">
        <v>92</v>
      </c>
      <c r="I1864" s="21">
        <v>14</v>
      </c>
      <c r="J1864" s="21">
        <v>27</v>
      </c>
      <c r="K1864" s="21">
        <v>7</v>
      </c>
      <c r="L1864" s="21">
        <v>103</v>
      </c>
      <c r="M1864" s="21">
        <v>39</v>
      </c>
      <c r="N1864" s="21">
        <v>50</v>
      </c>
      <c r="O1864" s="19">
        <v>88</v>
      </c>
      <c r="P1864" s="22">
        <v>5</v>
      </c>
      <c r="Q1864" s="22">
        <v>3</v>
      </c>
      <c r="R1864" s="20"/>
      <c r="S1864" s="234"/>
      <c r="T1864" s="235"/>
    </row>
    <row r="1865" spans="1:20" x14ac:dyDescent="0.35">
      <c r="A1865" s="3" t="str">
        <f>IF(D1865="","",(VLOOKUP($D1865,KEY!$B$5:$D$74,3,FALSE)))</f>
        <v>Arizona</v>
      </c>
      <c r="B1865" s="165">
        <f t="shared" si="19"/>
        <v>45870</v>
      </c>
      <c r="C1865" s="57" t="str">
        <f>IF($B1865="","",YEAR($B1865)&amp;"-"&amp;IFERROR(VLOOKUP(MONTH(B1865),KEY!$AE$5:$AF$16,2,FALSE),""))</f>
        <v>2025-Q3</v>
      </c>
      <c r="D1865" s="3" t="s">
        <v>113</v>
      </c>
      <c r="E1865" s="219">
        <v>12</v>
      </c>
      <c r="F1865" s="166">
        <v>65</v>
      </c>
      <c r="G1865" s="166">
        <v>66</v>
      </c>
      <c r="H1865" s="21">
        <v>129</v>
      </c>
      <c r="I1865" s="21">
        <v>23</v>
      </c>
      <c r="J1865" s="21">
        <v>51</v>
      </c>
      <c r="K1865" s="21">
        <v>15</v>
      </c>
      <c r="L1865" s="21">
        <v>142</v>
      </c>
      <c r="M1865" s="21">
        <v>47</v>
      </c>
      <c r="N1865" s="21">
        <v>66</v>
      </c>
      <c r="O1865" s="19">
        <v>132</v>
      </c>
      <c r="P1865" s="22">
        <v>5</v>
      </c>
      <c r="Q1865" s="22">
        <v>3</v>
      </c>
      <c r="R1865" s="20"/>
      <c r="S1865" s="234"/>
      <c r="T1865" s="235"/>
    </row>
    <row r="1866" spans="1:20" x14ac:dyDescent="0.35">
      <c r="A1866" s="3" t="str">
        <f>IF(D1866="","",(VLOOKUP($D1866,KEY!$B$5:$D$74,3,FALSE)))</f>
        <v>Southern California</v>
      </c>
      <c r="B1866" s="165">
        <f t="shared" si="19"/>
        <v>45870</v>
      </c>
      <c r="C1866" s="57" t="str">
        <f>IF($B1866="","",YEAR($B1866)&amp;"-"&amp;IFERROR(VLOOKUP(MONTH(B1866),KEY!$AE$5:$AF$16,2,FALSE),""))</f>
        <v>2025-Q3</v>
      </c>
      <c r="D1866" s="3" t="s">
        <v>114</v>
      </c>
      <c r="E1866" s="219">
        <v>18</v>
      </c>
      <c r="F1866" s="166">
        <v>57</v>
      </c>
      <c r="G1866" s="166">
        <v>55</v>
      </c>
      <c r="H1866" s="21">
        <v>112</v>
      </c>
      <c r="I1866" s="21">
        <v>17</v>
      </c>
      <c r="J1866" s="21">
        <v>66</v>
      </c>
      <c r="K1866" s="21">
        <v>17</v>
      </c>
      <c r="L1866" s="21">
        <v>84</v>
      </c>
      <c r="M1866" s="21">
        <v>30</v>
      </c>
      <c r="N1866" s="21">
        <v>62</v>
      </c>
      <c r="O1866" s="19">
        <v>88</v>
      </c>
      <c r="P1866" s="22">
        <v>8</v>
      </c>
      <c r="Q1866" s="22">
        <v>6</v>
      </c>
      <c r="R1866" s="20"/>
      <c r="S1866" s="234"/>
      <c r="T1866" s="235"/>
    </row>
    <row r="1867" spans="1:20" x14ac:dyDescent="0.35">
      <c r="A1867" s="3" t="str">
        <f>IF(D1867="","",(VLOOKUP($D1867,KEY!$B$5:$D$74,3,FALSE)))</f>
        <v>Orange County</v>
      </c>
      <c r="B1867" s="165">
        <f t="shared" si="19"/>
        <v>45870</v>
      </c>
      <c r="C1867" s="57" t="str">
        <f>IF($B1867="","",YEAR($B1867)&amp;"-"&amp;IFERROR(VLOOKUP(MONTH(B1867),KEY!$AE$5:$AF$16,2,FALSE),""))</f>
        <v>2025-Q3</v>
      </c>
      <c r="D1867" s="3" t="s">
        <v>115</v>
      </c>
      <c r="E1867" s="219">
        <v>9</v>
      </c>
      <c r="F1867" s="166">
        <v>71</v>
      </c>
      <c r="G1867" s="166">
        <v>56</v>
      </c>
      <c r="H1867" s="21">
        <v>134</v>
      </c>
      <c r="I1867" s="21">
        <v>32</v>
      </c>
      <c r="J1867" s="21">
        <v>52</v>
      </c>
      <c r="K1867" s="21">
        <v>13</v>
      </c>
      <c r="L1867" s="21">
        <v>126</v>
      </c>
      <c r="M1867" s="21">
        <v>59</v>
      </c>
      <c r="N1867" s="21">
        <v>72</v>
      </c>
      <c r="O1867" s="19">
        <v>88</v>
      </c>
      <c r="P1867" s="22">
        <v>13</v>
      </c>
      <c r="Q1867" s="22">
        <v>3</v>
      </c>
      <c r="R1867" s="20"/>
      <c r="S1867" s="234"/>
      <c r="T1867" s="235"/>
    </row>
    <row r="1868" spans="1:20" x14ac:dyDescent="0.35">
      <c r="A1868" s="3" t="str">
        <f>IF(D1868="","",(VLOOKUP($D1868,KEY!$B$5:$D$74,3,FALSE)))</f>
        <v>Arizona</v>
      </c>
      <c r="B1868" s="165">
        <f t="shared" si="19"/>
        <v>45870</v>
      </c>
      <c r="C1868" s="57" t="str">
        <f>IF($B1868="","",YEAR($B1868)&amp;"-"&amp;IFERROR(VLOOKUP(MONTH(B1868),KEY!$AE$5:$AF$16,2,FALSE),""))</f>
        <v>2025-Q3</v>
      </c>
      <c r="D1868" s="3" t="s">
        <v>116</v>
      </c>
      <c r="E1868" s="219">
        <v>27</v>
      </c>
      <c r="F1868" s="166">
        <v>140</v>
      </c>
      <c r="G1868" s="166">
        <v>139</v>
      </c>
      <c r="H1868" s="21">
        <v>273</v>
      </c>
      <c r="I1868" s="21">
        <v>40</v>
      </c>
      <c r="J1868" s="21">
        <v>123</v>
      </c>
      <c r="K1868" s="21">
        <v>24</v>
      </c>
      <c r="L1868" s="21">
        <v>244</v>
      </c>
      <c r="M1868" s="21">
        <v>91</v>
      </c>
      <c r="N1868" s="21">
        <v>142</v>
      </c>
      <c r="O1868" s="19">
        <v>242</v>
      </c>
      <c r="P1868" s="22">
        <v>12</v>
      </c>
      <c r="Q1868" s="22">
        <v>1</v>
      </c>
      <c r="R1868" s="20"/>
      <c r="S1868" s="234"/>
      <c r="T1868" s="235"/>
    </row>
    <row r="1869" spans="1:20" x14ac:dyDescent="0.35">
      <c r="A1869" s="3" t="str">
        <f>IF(D1869="","",(VLOOKUP($D1869,KEY!$B$5:$D$74,3,FALSE)))</f>
        <v>Northern California</v>
      </c>
      <c r="B1869" s="165">
        <f t="shared" si="19"/>
        <v>45870</v>
      </c>
      <c r="C1869" s="57" t="str">
        <f>IF($B1869="","",YEAR($B1869)&amp;"-"&amp;IFERROR(VLOOKUP(MONTH(B1869),KEY!$AE$5:$AF$16,2,FALSE),""))</f>
        <v>2025-Q3</v>
      </c>
      <c r="D1869" s="3" t="s">
        <v>118</v>
      </c>
      <c r="E1869" s="219">
        <v>29</v>
      </c>
      <c r="F1869" s="166">
        <v>262</v>
      </c>
      <c r="G1869" s="166">
        <v>178</v>
      </c>
      <c r="H1869" s="21">
        <v>468</v>
      </c>
      <c r="I1869" s="21">
        <v>85</v>
      </c>
      <c r="J1869" s="21">
        <v>236</v>
      </c>
      <c r="K1869" s="21">
        <v>50</v>
      </c>
      <c r="L1869" s="21">
        <v>451</v>
      </c>
      <c r="M1869" s="21">
        <v>161</v>
      </c>
      <c r="N1869" s="21">
        <v>267</v>
      </c>
      <c r="O1869" s="19">
        <v>286</v>
      </c>
      <c r="P1869" s="22">
        <v>35</v>
      </c>
      <c r="Q1869" s="22">
        <v>22</v>
      </c>
      <c r="R1869" s="20"/>
      <c r="S1869" s="234"/>
      <c r="T1869" s="235"/>
    </row>
    <row r="1870" spans="1:20" x14ac:dyDescent="0.35">
      <c r="A1870" s="3" t="str">
        <f>IF(D1870="","",(VLOOKUP($D1870,KEY!$B$5:$D$74,3,FALSE)))</f>
        <v>Orange County</v>
      </c>
      <c r="B1870" s="165">
        <f t="shared" si="19"/>
        <v>45870</v>
      </c>
      <c r="C1870" s="57" t="str">
        <f>IF($B1870="","",YEAR($B1870)&amp;"-"&amp;IFERROR(VLOOKUP(MONTH(B1870),KEY!$AE$5:$AF$16,2,FALSE),""))</f>
        <v>2025-Q3</v>
      </c>
      <c r="D1870" s="3" t="s">
        <v>117</v>
      </c>
      <c r="E1870" s="219">
        <v>25</v>
      </c>
      <c r="F1870" s="166">
        <v>120</v>
      </c>
      <c r="G1870" s="166">
        <v>81</v>
      </c>
      <c r="H1870" s="21">
        <v>190</v>
      </c>
      <c r="I1870" s="21">
        <v>26</v>
      </c>
      <c r="J1870" s="21">
        <v>87</v>
      </c>
      <c r="K1870" s="21">
        <v>21</v>
      </c>
      <c r="L1870" s="21">
        <v>201</v>
      </c>
      <c r="M1870" s="21">
        <v>79</v>
      </c>
      <c r="N1870" s="21">
        <v>122</v>
      </c>
      <c r="O1870" s="19">
        <v>132</v>
      </c>
      <c r="P1870" s="22">
        <v>21</v>
      </c>
      <c r="Q1870" s="22">
        <v>11</v>
      </c>
      <c r="R1870" s="20"/>
      <c r="S1870" s="234"/>
      <c r="T1870" s="235"/>
    </row>
    <row r="1871" spans="1:20" x14ac:dyDescent="0.35">
      <c r="A1871" s="3" t="str">
        <f>IF(D1871="","",(VLOOKUP($D1871,KEY!$B$5:$D$74,3,FALSE)))</f>
        <v>Arizona</v>
      </c>
      <c r="B1871" s="165">
        <f t="shared" si="19"/>
        <v>45870</v>
      </c>
      <c r="C1871" s="57" t="str">
        <f>IF($B1871="","",YEAR($B1871)&amp;"-"&amp;IFERROR(VLOOKUP(MONTH(B1871),KEY!$AE$5:$AF$16,2,FALSE),""))</f>
        <v>2025-Q3</v>
      </c>
      <c r="D1871" s="3" t="s">
        <v>119</v>
      </c>
      <c r="E1871" s="219">
        <v>9</v>
      </c>
      <c r="F1871" s="166">
        <v>26</v>
      </c>
      <c r="G1871" s="166">
        <v>9</v>
      </c>
      <c r="H1871" s="21">
        <v>19</v>
      </c>
      <c r="I1871" s="21">
        <v>8</v>
      </c>
      <c r="J1871" s="21">
        <v>19</v>
      </c>
      <c r="K1871" s="21">
        <v>9</v>
      </c>
      <c r="L1871" s="21">
        <v>119</v>
      </c>
      <c r="M1871" s="21">
        <v>13</v>
      </c>
      <c r="N1871" s="21">
        <v>26</v>
      </c>
      <c r="O1871" s="19">
        <v>48</v>
      </c>
      <c r="P1871" s="22">
        <v>0</v>
      </c>
      <c r="Q1871" s="22">
        <v>0</v>
      </c>
      <c r="R1871" s="20"/>
      <c r="S1871" s="234"/>
      <c r="T1871" s="235"/>
    </row>
    <row r="1872" spans="1:20" x14ac:dyDescent="0.35">
      <c r="A1872" s="3" t="str">
        <f>IF(D1872="","",(VLOOKUP($D1872,KEY!$B$5:$D$74,3,FALSE)))</f>
        <v/>
      </c>
      <c r="B1872" s="165">
        <f t="shared" si="19"/>
        <v>45870</v>
      </c>
      <c r="C1872" s="57" t="str">
        <f>IF($B1872="","",YEAR($B1872)&amp;"-"&amp;IFERROR(VLOOKUP(MONTH(B1872),KEY!$AE$5:$AF$16,2,FALSE),""))</f>
        <v>2025-Q3</v>
      </c>
      <c r="D1872" s="3"/>
      <c r="E1872" s="219"/>
      <c r="F1872" s="166"/>
      <c r="G1872" s="166"/>
      <c r="H1872" s="21"/>
      <c r="I1872" s="21"/>
      <c r="J1872" s="21"/>
      <c r="K1872" s="21"/>
      <c r="L1872" s="21"/>
      <c r="M1872" s="21"/>
      <c r="N1872" s="21"/>
      <c r="O1872" s="19"/>
      <c r="P1872" s="22"/>
      <c r="Q1872" s="22"/>
      <c r="R1872" s="20"/>
      <c r="S1872" s="234"/>
      <c r="T1872" s="235"/>
    </row>
    <row r="1873" spans="1:20" x14ac:dyDescent="0.35">
      <c r="A1873" s="3" t="str">
        <f>IF(D1873="","",(VLOOKUP($D1873,KEY!$B$5:$D$74,3,FALSE)))</f>
        <v>Arizona</v>
      </c>
      <c r="B1873" s="165">
        <f t="shared" si="19"/>
        <v>45870</v>
      </c>
      <c r="C1873" s="57" t="str">
        <f>IF($B1873="","",YEAR($B1873)&amp;"-"&amp;IFERROR(VLOOKUP(MONTH(B1873),KEY!$AE$5:$AF$16,2,FALSE),""))</f>
        <v>2025-Q3</v>
      </c>
      <c r="D1873" s="3" t="s">
        <v>120</v>
      </c>
      <c r="E1873" s="219">
        <v>51</v>
      </c>
      <c r="F1873" s="166">
        <v>333</v>
      </c>
      <c r="G1873" s="166">
        <v>319</v>
      </c>
      <c r="H1873" s="21">
        <v>705</v>
      </c>
      <c r="I1873" s="21">
        <v>78</v>
      </c>
      <c r="J1873" s="21">
        <v>288</v>
      </c>
      <c r="K1873" s="21">
        <v>41</v>
      </c>
      <c r="L1873" s="21">
        <v>584</v>
      </c>
      <c r="M1873" s="21">
        <v>212</v>
      </c>
      <c r="N1873" s="21">
        <v>335</v>
      </c>
      <c r="O1873" s="19">
        <v>528</v>
      </c>
      <c r="P1873" s="22">
        <v>38</v>
      </c>
      <c r="Q1873" s="22">
        <v>24</v>
      </c>
      <c r="R1873" s="20"/>
      <c r="S1873" s="234"/>
      <c r="T1873" s="235"/>
    </row>
    <row r="1874" spans="1:20" x14ac:dyDescent="0.35">
      <c r="A1874" s="3" t="str">
        <f>IF(D1874="","",(VLOOKUP($D1874,KEY!$B$5:$D$74,3,FALSE)))</f>
        <v>Texas</v>
      </c>
      <c r="B1874" s="165">
        <f t="shared" si="19"/>
        <v>45870</v>
      </c>
      <c r="C1874" s="57" t="str">
        <f>IF($B1874="","",YEAR($B1874)&amp;"-"&amp;IFERROR(VLOOKUP(MONTH(B1874),KEY!$AE$5:$AF$16,2,FALSE),""))</f>
        <v>2025-Q3</v>
      </c>
      <c r="D1874" s="3" t="s">
        <v>121</v>
      </c>
      <c r="E1874" s="219">
        <v>58</v>
      </c>
      <c r="F1874" s="166">
        <v>272</v>
      </c>
      <c r="G1874" s="166">
        <v>196</v>
      </c>
      <c r="H1874" s="21">
        <v>535</v>
      </c>
      <c r="I1874" s="21">
        <v>91</v>
      </c>
      <c r="J1874" s="21">
        <v>191</v>
      </c>
      <c r="K1874" s="21">
        <v>42</v>
      </c>
      <c r="L1874" s="21">
        <v>471</v>
      </c>
      <c r="M1874" s="21">
        <v>167</v>
      </c>
      <c r="N1874" s="21">
        <v>274</v>
      </c>
      <c r="O1874" s="19">
        <v>506</v>
      </c>
      <c r="P1874" s="22">
        <v>20</v>
      </c>
      <c r="Q1874" s="22">
        <v>18</v>
      </c>
      <c r="R1874" s="20"/>
      <c r="S1874" s="234"/>
      <c r="T1874" s="235"/>
    </row>
    <row r="1875" spans="1:20" x14ac:dyDescent="0.35">
      <c r="A1875" s="3" t="str">
        <f>IF(D1875="","",(VLOOKUP($D1875,KEY!$B$5:$D$74,3,FALSE)))</f>
        <v>Michigan &amp; Minnesota</v>
      </c>
      <c r="B1875" s="165">
        <f t="shared" si="19"/>
        <v>45870</v>
      </c>
      <c r="C1875" s="57" t="str">
        <f>IF($B1875="","",YEAR($B1875)&amp;"-"&amp;IFERROR(VLOOKUP(MONTH(B1875),KEY!$AE$5:$AF$16,2,FALSE),""))</f>
        <v>2025-Q3</v>
      </c>
      <c r="D1875" s="3" t="s">
        <v>200</v>
      </c>
      <c r="E1875" s="219">
        <v>10</v>
      </c>
      <c r="F1875" s="166">
        <v>141</v>
      </c>
      <c r="G1875" s="166">
        <v>124</v>
      </c>
      <c r="H1875" s="21">
        <v>408</v>
      </c>
      <c r="I1875" s="21">
        <v>26</v>
      </c>
      <c r="J1875" s="21">
        <v>203</v>
      </c>
      <c r="K1875" s="21">
        <v>24</v>
      </c>
      <c r="L1875" s="21">
        <v>255</v>
      </c>
      <c r="M1875" s="21">
        <v>71</v>
      </c>
      <c r="N1875" s="21">
        <v>142</v>
      </c>
      <c r="O1875" s="19">
        <v>242</v>
      </c>
      <c r="P1875" s="22">
        <v>20</v>
      </c>
      <c r="Q1875" s="22">
        <v>5</v>
      </c>
      <c r="R1875" s="20"/>
      <c r="S1875" s="234"/>
      <c r="T1875" s="235"/>
    </row>
    <row r="1876" spans="1:20" x14ac:dyDescent="0.35">
      <c r="A1876" s="3" t="str">
        <f>IF(D1876="","",(VLOOKUP($D1876,KEY!$B$5:$D$74,3,FALSE)))</f>
        <v>Southern California</v>
      </c>
      <c r="B1876" s="165">
        <f t="shared" si="19"/>
        <v>45870</v>
      </c>
      <c r="C1876" s="57" t="str">
        <f>IF($B1876="","",YEAR($B1876)&amp;"-"&amp;IFERROR(VLOOKUP(MONTH(B1876),KEY!$AE$5:$AF$16,2,FALSE),""))</f>
        <v>2025-Q3</v>
      </c>
      <c r="D1876" s="3" t="s">
        <v>122</v>
      </c>
      <c r="E1876" s="219">
        <v>24</v>
      </c>
      <c r="F1876" s="166">
        <v>90</v>
      </c>
      <c r="G1876" s="166">
        <v>60</v>
      </c>
      <c r="H1876" s="21">
        <v>295</v>
      </c>
      <c r="I1876" s="21">
        <v>27</v>
      </c>
      <c r="J1876" s="21">
        <v>128</v>
      </c>
      <c r="K1876" s="21">
        <v>9</v>
      </c>
      <c r="L1876" s="21">
        <v>187</v>
      </c>
      <c r="M1876" s="21">
        <v>57</v>
      </c>
      <c r="N1876" s="21">
        <v>92</v>
      </c>
      <c r="O1876" s="19">
        <v>198</v>
      </c>
      <c r="P1876" s="22">
        <v>15</v>
      </c>
      <c r="Q1876" s="22">
        <v>9</v>
      </c>
      <c r="R1876" s="20"/>
      <c r="S1876" s="234"/>
      <c r="T1876" s="235"/>
    </row>
    <row r="1877" spans="1:20" x14ac:dyDescent="0.35">
      <c r="A1877" s="3" t="str">
        <f>IF(D1877="","",(VLOOKUP($D1877,KEY!$B$5:$D$74,3,FALSE)))</f>
        <v>Orange County</v>
      </c>
      <c r="B1877" s="165">
        <f t="shared" si="19"/>
        <v>45870</v>
      </c>
      <c r="C1877" s="57" t="str">
        <f>IF($B1877="","",YEAR($B1877)&amp;"-"&amp;IFERROR(VLOOKUP(MONTH(B1877),KEY!$AE$5:$AF$16,2,FALSE),""))</f>
        <v>2025-Q3</v>
      </c>
      <c r="D1877" s="3" t="s">
        <v>123</v>
      </c>
      <c r="E1877" s="219">
        <v>61</v>
      </c>
      <c r="F1877" s="166">
        <v>317</v>
      </c>
      <c r="G1877" s="166">
        <v>222</v>
      </c>
      <c r="H1877" s="21">
        <v>430</v>
      </c>
      <c r="I1877" s="21">
        <v>74</v>
      </c>
      <c r="J1877" s="21">
        <v>254</v>
      </c>
      <c r="K1877" s="21">
        <v>49</v>
      </c>
      <c r="L1877" s="21">
        <v>498</v>
      </c>
      <c r="M1877" s="21">
        <v>222</v>
      </c>
      <c r="N1877" s="21">
        <v>279</v>
      </c>
      <c r="O1877" s="19">
        <v>418</v>
      </c>
      <c r="P1877" s="22">
        <v>28</v>
      </c>
      <c r="Q1877" s="22">
        <v>19</v>
      </c>
      <c r="R1877" s="20"/>
      <c r="S1877" s="234"/>
      <c r="T1877" s="235"/>
    </row>
    <row r="1878" spans="1:20" x14ac:dyDescent="0.35">
      <c r="A1878" s="3" t="str">
        <f>IF(D1878="","",(VLOOKUP($D1878,KEY!$B$5:$D$74,3,FALSE)))</f>
        <v>Southern California</v>
      </c>
      <c r="B1878" s="165">
        <f t="shared" si="19"/>
        <v>45870</v>
      </c>
      <c r="C1878" s="57" t="str">
        <f>IF($B1878="","",YEAR($B1878)&amp;"-"&amp;IFERROR(VLOOKUP(MONTH(B1878),KEY!$AE$5:$AF$16,2,FALSE),""))</f>
        <v>2025-Q3</v>
      </c>
      <c r="D1878" s="3" t="s">
        <v>124</v>
      </c>
      <c r="E1878" s="219">
        <v>27</v>
      </c>
      <c r="F1878" s="166">
        <v>256</v>
      </c>
      <c r="G1878" s="166">
        <v>200</v>
      </c>
      <c r="H1878" s="21">
        <v>404</v>
      </c>
      <c r="I1878" s="21">
        <v>67</v>
      </c>
      <c r="J1878" s="21">
        <v>339</v>
      </c>
      <c r="K1878" s="21">
        <v>72</v>
      </c>
      <c r="L1878" s="21">
        <v>419</v>
      </c>
      <c r="M1878" s="21">
        <v>147</v>
      </c>
      <c r="N1878" s="21">
        <v>256</v>
      </c>
      <c r="O1878" s="19">
        <v>462</v>
      </c>
      <c r="P1878" s="22">
        <v>26</v>
      </c>
      <c r="Q1878" s="22">
        <v>19</v>
      </c>
      <c r="R1878" s="20"/>
      <c r="S1878" s="234"/>
      <c r="T1878" s="235"/>
    </row>
    <row r="1879" spans="1:20" x14ac:dyDescent="0.35">
      <c r="A1879" s="3" t="str">
        <f>IF(D1879="","",(VLOOKUP($D1879,KEY!$B$5:$D$74,3,FALSE)))</f>
        <v>Northern California</v>
      </c>
      <c r="B1879" s="165">
        <f t="shared" si="19"/>
        <v>45870</v>
      </c>
      <c r="C1879" s="57" t="str">
        <f>IF($B1879="","",YEAR($B1879)&amp;"-"&amp;IFERROR(VLOOKUP(MONTH(B1879),KEY!$AE$5:$AF$16,2,FALSE),""))</f>
        <v>2025-Q3</v>
      </c>
      <c r="D1879" s="3" t="s">
        <v>195</v>
      </c>
      <c r="E1879" s="219">
        <v>4</v>
      </c>
      <c r="F1879" s="166">
        <v>38</v>
      </c>
      <c r="G1879" s="166">
        <v>49</v>
      </c>
      <c r="H1879" s="21">
        <v>118</v>
      </c>
      <c r="I1879" s="21">
        <v>16</v>
      </c>
      <c r="J1879" s="21">
        <v>40</v>
      </c>
      <c r="K1879" s="21">
        <v>8</v>
      </c>
      <c r="L1879" s="21">
        <v>100</v>
      </c>
      <c r="M1879" s="21">
        <v>28</v>
      </c>
      <c r="N1879" s="21">
        <v>38</v>
      </c>
      <c r="O1879" s="19">
        <v>110</v>
      </c>
      <c r="P1879" s="22">
        <v>5</v>
      </c>
      <c r="Q1879" s="22">
        <v>5</v>
      </c>
      <c r="R1879" s="20"/>
      <c r="S1879" s="234"/>
      <c r="T1879" s="235"/>
    </row>
    <row r="1880" spans="1:20" x14ac:dyDescent="0.35">
      <c r="A1880" s="3" t="str">
        <f>IF(D1880="","",(VLOOKUP($D1880,KEY!$B$5:$D$74,3,FALSE)))</f>
        <v>Northern California</v>
      </c>
      <c r="B1880" s="165">
        <f t="shared" si="19"/>
        <v>45870</v>
      </c>
      <c r="C1880" s="57" t="str">
        <f>IF($B1880="","",YEAR($B1880)&amp;"-"&amp;IFERROR(VLOOKUP(MONTH(B1880),KEY!$AE$5:$AF$16,2,FALSE),""))</f>
        <v>2025-Q3</v>
      </c>
      <c r="D1880" s="3" t="s">
        <v>125</v>
      </c>
      <c r="E1880" s="219">
        <v>24</v>
      </c>
      <c r="F1880" s="166">
        <v>297</v>
      </c>
      <c r="G1880" s="166">
        <v>270</v>
      </c>
      <c r="H1880" s="21">
        <v>533</v>
      </c>
      <c r="I1880" s="21">
        <v>49</v>
      </c>
      <c r="J1880" s="21">
        <v>256</v>
      </c>
      <c r="K1880" s="21">
        <v>29</v>
      </c>
      <c r="L1880" s="21">
        <v>421</v>
      </c>
      <c r="M1880" s="21">
        <v>120</v>
      </c>
      <c r="N1880" s="21">
        <v>302</v>
      </c>
      <c r="O1880" s="19">
        <v>484</v>
      </c>
      <c r="P1880" s="22">
        <v>28</v>
      </c>
      <c r="Q1880" s="22">
        <v>17</v>
      </c>
      <c r="R1880" s="20"/>
      <c r="S1880" s="234"/>
      <c r="T1880" s="235"/>
    </row>
    <row r="1881" spans="1:20" x14ac:dyDescent="0.35">
      <c r="A1881" s="3" t="str">
        <f>IF(D1881="","",(VLOOKUP($D1881,KEY!$B$5:$D$74,3,FALSE)))</f>
        <v>Orange County</v>
      </c>
      <c r="B1881" s="165">
        <f t="shared" si="19"/>
        <v>45870</v>
      </c>
      <c r="C1881" s="57" t="str">
        <f>IF($B1881="","",YEAR($B1881)&amp;"-"&amp;IFERROR(VLOOKUP(MONTH(B1881),KEY!$AE$5:$AF$16,2,FALSE),""))</f>
        <v>2025-Q3</v>
      </c>
      <c r="D1881" s="3" t="s">
        <v>126</v>
      </c>
      <c r="E1881" s="219">
        <v>72</v>
      </c>
      <c r="F1881" s="166">
        <v>490</v>
      </c>
      <c r="G1881" s="166">
        <v>358</v>
      </c>
      <c r="H1881" s="21">
        <v>724</v>
      </c>
      <c r="I1881" s="21">
        <v>109</v>
      </c>
      <c r="J1881" s="21">
        <v>437</v>
      </c>
      <c r="K1881" s="21">
        <v>114</v>
      </c>
      <c r="L1881" s="21">
        <v>812</v>
      </c>
      <c r="M1881" s="21">
        <v>296</v>
      </c>
      <c r="N1881" s="21">
        <v>491</v>
      </c>
      <c r="O1881" s="19">
        <v>616</v>
      </c>
      <c r="P1881" s="22">
        <v>91</v>
      </c>
      <c r="Q1881" s="22">
        <v>55</v>
      </c>
      <c r="R1881" s="20"/>
      <c r="S1881" s="234"/>
      <c r="T1881" s="235"/>
    </row>
    <row r="1882" spans="1:20" x14ac:dyDescent="0.35">
      <c r="A1882" s="3" t="str">
        <f>IF(D1882="","",(VLOOKUP($D1882,KEY!$B$5:$D$74,3,FALSE)))</f>
        <v>Orange County</v>
      </c>
      <c r="B1882" s="165">
        <f t="shared" si="19"/>
        <v>45870</v>
      </c>
      <c r="C1882" s="57" t="str">
        <f>IF($B1882="","",YEAR($B1882)&amp;"-"&amp;IFERROR(VLOOKUP(MONTH(B1882),KEY!$AE$5:$AF$16,2,FALSE),""))</f>
        <v>2025-Q3</v>
      </c>
      <c r="D1882" s="3" t="s">
        <v>127</v>
      </c>
      <c r="E1882" s="219">
        <v>2</v>
      </c>
      <c r="F1882" s="166">
        <v>51</v>
      </c>
      <c r="G1882" s="166">
        <v>38</v>
      </c>
      <c r="H1882" s="21">
        <v>92</v>
      </c>
      <c r="I1882" s="21">
        <v>21</v>
      </c>
      <c r="J1882" s="21">
        <v>34</v>
      </c>
      <c r="K1882" s="21">
        <v>5</v>
      </c>
      <c r="L1882" s="21">
        <v>78</v>
      </c>
      <c r="M1882" s="21">
        <v>40</v>
      </c>
      <c r="N1882" s="21">
        <v>51</v>
      </c>
      <c r="O1882" s="19">
        <v>55</v>
      </c>
      <c r="P1882" s="22">
        <v>8</v>
      </c>
      <c r="Q1882" s="22">
        <v>5</v>
      </c>
      <c r="R1882" s="20"/>
      <c r="S1882" s="234"/>
      <c r="T1882" s="235"/>
    </row>
    <row r="1883" spans="1:20" x14ac:dyDescent="0.35">
      <c r="A1883" s="3" t="str">
        <f>IF(D1883="","",(VLOOKUP($D1883,KEY!$B$5:$D$74,3,FALSE)))</f>
        <v>Wisconsin</v>
      </c>
      <c r="B1883" s="165">
        <f t="shared" si="19"/>
        <v>45870</v>
      </c>
      <c r="C1883" s="57" t="str">
        <f>IF($B1883="","",YEAR($B1883)&amp;"-"&amp;IFERROR(VLOOKUP(MONTH(B1883),KEY!$AE$5:$AF$16,2,FALSE),""))</f>
        <v>2025-Q3</v>
      </c>
      <c r="D1883" s="3" t="s">
        <v>201</v>
      </c>
      <c r="E1883" s="219">
        <v>30</v>
      </c>
      <c r="F1883" s="166">
        <v>251</v>
      </c>
      <c r="G1883" s="166">
        <v>210</v>
      </c>
      <c r="H1883" s="21">
        <v>403</v>
      </c>
      <c r="I1883" s="21">
        <v>62</v>
      </c>
      <c r="J1883" s="21">
        <v>169</v>
      </c>
      <c r="K1883" s="21">
        <v>45</v>
      </c>
      <c r="L1883" s="21">
        <v>260</v>
      </c>
      <c r="M1883" s="21">
        <v>107</v>
      </c>
      <c r="N1883" s="21">
        <v>253</v>
      </c>
      <c r="O1883" s="19">
        <v>308</v>
      </c>
      <c r="P1883" s="22">
        <v>6</v>
      </c>
      <c r="Q1883" s="22">
        <v>5</v>
      </c>
      <c r="R1883" s="20"/>
      <c r="S1883" s="234"/>
      <c r="T1883" s="235"/>
    </row>
    <row r="1884" spans="1:20" x14ac:dyDescent="0.35">
      <c r="A1884" s="3" t="e">
        <f>IF(D1884="","",(VLOOKUP($D1884,KEY!$B$5:$D$74,3,FALSE)))</f>
        <v>#N/A</v>
      </c>
      <c r="B1884" s="165">
        <f t="shared" si="19"/>
        <v>45870</v>
      </c>
      <c r="C1884" s="57" t="str">
        <f>IF($B1884="","",YEAR($B1884)&amp;"-"&amp;IFERROR(VLOOKUP(MONTH(B1884),KEY!$AE$5:$AF$16,2,FALSE),""))</f>
        <v>2025-Q3</v>
      </c>
      <c r="D1884" s="3" t="s">
        <v>202</v>
      </c>
      <c r="E1884" s="219">
        <v>3</v>
      </c>
      <c r="F1884" s="166">
        <v>37</v>
      </c>
      <c r="G1884" s="166">
        <v>47</v>
      </c>
      <c r="H1884" s="21">
        <v>77</v>
      </c>
      <c r="I1884" s="21">
        <v>12</v>
      </c>
      <c r="J1884" s="21">
        <v>25</v>
      </c>
      <c r="K1884" s="21">
        <v>2</v>
      </c>
      <c r="L1884" s="21">
        <v>38</v>
      </c>
      <c r="M1884" s="21">
        <v>24</v>
      </c>
      <c r="N1884" s="21">
        <v>37</v>
      </c>
      <c r="O1884" s="19">
        <v>66</v>
      </c>
      <c r="P1884" s="22">
        <v>3</v>
      </c>
      <c r="Q1884" s="22">
        <v>1</v>
      </c>
      <c r="R1884" s="20"/>
      <c r="S1884" s="234"/>
      <c r="T1884" s="235"/>
    </row>
    <row r="1885" spans="1:20" x14ac:dyDescent="0.35">
      <c r="A1885" s="3" t="str">
        <f>IF(D1885="","",(VLOOKUP($D1885,KEY!$B$5:$D$74,3,FALSE)))</f>
        <v>Texas</v>
      </c>
      <c r="B1885" s="165">
        <f t="shared" si="19"/>
        <v>45870</v>
      </c>
      <c r="C1885" s="57" t="str">
        <f>IF($B1885="","",YEAR($B1885)&amp;"-"&amp;IFERROR(VLOOKUP(MONTH(B1885),KEY!$AE$5:$AF$16,2,FALSE),""))</f>
        <v>2025-Q3</v>
      </c>
      <c r="D1885" s="3" t="s">
        <v>198</v>
      </c>
      <c r="E1885" s="219">
        <v>2</v>
      </c>
      <c r="F1885" s="166">
        <v>64</v>
      </c>
      <c r="G1885" s="166">
        <v>69</v>
      </c>
      <c r="H1885" s="21">
        <v>164</v>
      </c>
      <c r="I1885" s="21">
        <v>14</v>
      </c>
      <c r="J1885" s="21">
        <v>94</v>
      </c>
      <c r="K1885" s="21">
        <v>17</v>
      </c>
      <c r="L1885" s="21">
        <v>66</v>
      </c>
      <c r="M1885" s="21">
        <v>20</v>
      </c>
      <c r="N1885" s="21">
        <v>65</v>
      </c>
      <c r="O1885" s="19">
        <v>154</v>
      </c>
      <c r="P1885" s="22">
        <v>4</v>
      </c>
      <c r="Q1885" s="22">
        <v>0</v>
      </c>
      <c r="R1885" s="20"/>
      <c r="S1885" s="234"/>
      <c r="T1885" s="235"/>
    </row>
    <row r="1886" spans="1:20" x14ac:dyDescent="0.35">
      <c r="A1886" s="3" t="str">
        <f>IF(D1886="","",(VLOOKUP($D1886,KEY!$B$5:$D$74,3,FALSE)))</f>
        <v>Texas</v>
      </c>
      <c r="B1886" s="165">
        <f t="shared" si="19"/>
        <v>45870</v>
      </c>
      <c r="C1886" s="57" t="str">
        <f>IF($B1886="","",YEAR($B1886)&amp;"-"&amp;IFERROR(VLOOKUP(MONTH(B1886),KEY!$AE$5:$AF$16,2,FALSE),""))</f>
        <v>2025-Q3</v>
      </c>
      <c r="D1886" s="3" t="s">
        <v>128</v>
      </c>
      <c r="E1886" s="219">
        <v>51</v>
      </c>
      <c r="F1886" s="166">
        <v>276</v>
      </c>
      <c r="G1886" s="166">
        <v>254</v>
      </c>
      <c r="H1886" s="21">
        <v>772</v>
      </c>
      <c r="I1886" s="21">
        <v>106</v>
      </c>
      <c r="J1886" s="21">
        <v>267</v>
      </c>
      <c r="K1886" s="21">
        <v>59</v>
      </c>
      <c r="L1886" s="21">
        <v>434</v>
      </c>
      <c r="M1886" s="21">
        <v>141</v>
      </c>
      <c r="N1886" s="21">
        <v>278</v>
      </c>
      <c r="O1886" s="19">
        <v>286</v>
      </c>
      <c r="P1886" s="22">
        <v>11</v>
      </c>
      <c r="Q1886" s="22">
        <v>6</v>
      </c>
      <c r="R1886" s="20"/>
      <c r="S1886" s="234"/>
      <c r="T1886" s="235"/>
    </row>
    <row r="1887" spans="1:20" x14ac:dyDescent="0.35">
      <c r="A1887" s="3" t="str">
        <f>IF(D1887="","",(VLOOKUP($D1887,KEY!$B$5:$D$74,3,FALSE)))</f>
        <v>Northern California</v>
      </c>
      <c r="B1887" s="165">
        <f t="shared" si="19"/>
        <v>45870</v>
      </c>
      <c r="C1887" s="57" t="str">
        <f>IF($B1887="","",YEAR($B1887)&amp;"-"&amp;IFERROR(VLOOKUP(MONTH(B1887),KEY!$AE$5:$AF$16,2,FALSE),""))</f>
        <v>2025-Q3</v>
      </c>
      <c r="D1887" s="3" t="s">
        <v>129</v>
      </c>
      <c r="E1887" s="219">
        <v>27</v>
      </c>
      <c r="F1887" s="166">
        <v>239</v>
      </c>
      <c r="G1887" s="166">
        <v>181</v>
      </c>
      <c r="H1887" s="21">
        <v>285</v>
      </c>
      <c r="I1887" s="21">
        <v>50</v>
      </c>
      <c r="J1887" s="21">
        <v>263</v>
      </c>
      <c r="K1887" s="21">
        <v>42</v>
      </c>
      <c r="L1887" s="21">
        <v>320</v>
      </c>
      <c r="M1887" s="21">
        <v>95</v>
      </c>
      <c r="N1887" s="21">
        <v>240</v>
      </c>
      <c r="O1887" s="19">
        <v>352</v>
      </c>
      <c r="P1887" s="22">
        <v>12</v>
      </c>
      <c r="Q1887" s="22">
        <v>11</v>
      </c>
      <c r="R1887" s="20"/>
      <c r="S1887" s="234"/>
      <c r="T1887" s="235"/>
    </row>
    <row r="1888" spans="1:20" x14ac:dyDescent="0.35">
      <c r="A1888" s="3" t="str">
        <f>IF(D1888="","",(VLOOKUP($D1888,KEY!$B$5:$D$74,3,FALSE)))</f>
        <v>Southern California</v>
      </c>
      <c r="B1888" s="165">
        <f t="shared" si="19"/>
        <v>45870</v>
      </c>
      <c r="C1888" s="57" t="str">
        <f>IF($B1888="","",YEAR($B1888)&amp;"-"&amp;IFERROR(VLOOKUP(MONTH(B1888),KEY!$AE$5:$AF$16,2,FALSE),""))</f>
        <v>2025-Q3</v>
      </c>
      <c r="D1888" s="3" t="s">
        <v>130</v>
      </c>
      <c r="E1888" s="219">
        <v>17</v>
      </c>
      <c r="F1888" s="166">
        <v>189</v>
      </c>
      <c r="G1888" s="166">
        <v>177</v>
      </c>
      <c r="H1888" s="21">
        <v>452</v>
      </c>
      <c r="I1888" s="21">
        <v>48</v>
      </c>
      <c r="J1888" s="21">
        <v>285</v>
      </c>
      <c r="K1888" s="21">
        <v>38</v>
      </c>
      <c r="L1888" s="21">
        <v>226</v>
      </c>
      <c r="M1888" s="21">
        <v>81</v>
      </c>
      <c r="N1888" s="21">
        <v>192</v>
      </c>
      <c r="O1888" s="19">
        <v>242</v>
      </c>
      <c r="P1888" s="22">
        <v>15</v>
      </c>
      <c r="Q1888" s="22">
        <v>10</v>
      </c>
      <c r="R1888" s="20"/>
      <c r="S1888" s="234"/>
      <c r="T1888" s="235"/>
    </row>
    <row r="1889" spans="1:20" x14ac:dyDescent="0.35">
      <c r="A1889" s="3" t="str">
        <f>IF(D1889="","",(VLOOKUP($D1889,KEY!$B$5:$D$74,3,FALSE)))</f>
        <v>Texas</v>
      </c>
      <c r="B1889" s="165">
        <f t="shared" si="19"/>
        <v>45870</v>
      </c>
      <c r="C1889" s="57" t="str">
        <f>IF($B1889="","",YEAR($B1889)&amp;"-"&amp;IFERROR(VLOOKUP(MONTH(B1889),KEY!$AE$5:$AF$16,2,FALSE),""))</f>
        <v>2025-Q3</v>
      </c>
      <c r="D1889" s="3" t="s">
        <v>210</v>
      </c>
      <c r="E1889" s="219">
        <v>0</v>
      </c>
      <c r="F1889" s="166">
        <v>0</v>
      </c>
      <c r="G1889" s="166">
        <v>0</v>
      </c>
      <c r="H1889" s="21">
        <v>424</v>
      </c>
      <c r="I1889" s="21">
        <v>37</v>
      </c>
      <c r="J1889" s="21">
        <v>177</v>
      </c>
      <c r="K1889" s="21">
        <v>19</v>
      </c>
      <c r="L1889" s="21">
        <v>149</v>
      </c>
      <c r="M1889" s="21">
        <v>35</v>
      </c>
      <c r="N1889" s="21">
        <v>143</v>
      </c>
      <c r="O1889" s="19">
        <v>198</v>
      </c>
      <c r="P1889" s="22">
        <v>0</v>
      </c>
      <c r="Q1889" s="22">
        <v>0</v>
      </c>
      <c r="R1889" s="20"/>
      <c r="S1889" s="234"/>
      <c r="T1889" s="235"/>
    </row>
    <row r="1890" spans="1:20" x14ac:dyDescent="0.35">
      <c r="A1890" s="3" t="e">
        <f>IF(D1890="","",(VLOOKUP($D1890,KEY!$B$5:$D$74,3,FALSE)))</f>
        <v>#N/A</v>
      </c>
      <c r="B1890" s="165">
        <f t="shared" si="19"/>
        <v>45870</v>
      </c>
      <c r="C1890" s="57" t="str">
        <f>IF($B1890="","",YEAR($B1890)&amp;"-"&amp;IFERROR(VLOOKUP(MONTH(B1890),KEY!$AE$5:$AF$16,2,FALSE),""))</f>
        <v>2025-Q3</v>
      </c>
      <c r="D1890" s="3" t="s">
        <v>203</v>
      </c>
      <c r="E1890" s="219">
        <v>7</v>
      </c>
      <c r="F1890" s="166">
        <v>114</v>
      </c>
      <c r="G1890" s="166">
        <v>119</v>
      </c>
      <c r="H1890" s="21">
        <v>197</v>
      </c>
      <c r="I1890" s="21">
        <v>31</v>
      </c>
      <c r="J1890" s="21">
        <v>65</v>
      </c>
      <c r="K1890" s="21">
        <v>16</v>
      </c>
      <c r="L1890" s="21">
        <v>106</v>
      </c>
      <c r="M1890" s="21">
        <v>62</v>
      </c>
      <c r="N1890" s="21">
        <v>114</v>
      </c>
      <c r="O1890" s="19">
        <v>198</v>
      </c>
      <c r="P1890" s="22">
        <v>5</v>
      </c>
      <c r="Q1890" s="22">
        <v>5</v>
      </c>
      <c r="R1890" s="20"/>
      <c r="S1890" s="234"/>
      <c r="T1890" s="235"/>
    </row>
    <row r="1891" spans="1:20" x14ac:dyDescent="0.35">
      <c r="A1891" s="3">
        <f>IF(D1891="","",(VLOOKUP($D1891,KEY!$B$5:$D$74,3,FALSE)))</f>
        <v>0</v>
      </c>
      <c r="B1891" s="165">
        <f t="shared" si="19"/>
        <v>45870</v>
      </c>
      <c r="C1891" s="57" t="str">
        <f>IF($B1891="","",YEAR($B1891)&amp;"-"&amp;IFERROR(VLOOKUP(MONTH(B1891),KEY!$AE$5:$AF$16,2,FALSE),""))</f>
        <v>2025-Q3</v>
      </c>
      <c r="D1891" s="3" t="s">
        <v>131</v>
      </c>
      <c r="E1891" s="219">
        <v>62</v>
      </c>
      <c r="F1891" s="166">
        <v>141</v>
      </c>
      <c r="G1891" s="166">
        <v>186</v>
      </c>
      <c r="H1891" s="21">
        <v>145</v>
      </c>
      <c r="I1891" s="21">
        <v>22</v>
      </c>
      <c r="J1891" s="21">
        <v>85</v>
      </c>
      <c r="K1891" s="21">
        <v>9</v>
      </c>
      <c r="L1891" s="21">
        <v>236</v>
      </c>
      <c r="M1891" s="21">
        <v>110</v>
      </c>
      <c r="N1891" s="21">
        <v>151</v>
      </c>
      <c r="O1891" s="19">
        <v>220</v>
      </c>
      <c r="P1891" s="22">
        <v>3</v>
      </c>
      <c r="Q1891" s="22">
        <v>3</v>
      </c>
      <c r="R1891" s="20"/>
      <c r="S1891" s="234"/>
      <c r="T1891" s="235"/>
    </row>
    <row r="1892" spans="1:20" x14ac:dyDescent="0.35">
      <c r="A1892" s="3" t="e">
        <f>IF(D1892="","",(VLOOKUP($D1892,KEY!$B$5:$D$74,3,FALSE)))</f>
        <v>#N/A</v>
      </c>
      <c r="B1892" s="165">
        <f t="shared" si="19"/>
        <v>45870</v>
      </c>
      <c r="C1892" s="57" t="str">
        <f>IF($B1892="","",YEAR($B1892)&amp;"-"&amp;IFERROR(VLOOKUP(MONTH(B1892),KEY!$AE$5:$AF$16,2,FALSE),""))</f>
        <v>2025-Q3</v>
      </c>
      <c r="D1892" s="3" t="s">
        <v>134</v>
      </c>
      <c r="E1892" s="219">
        <v>6</v>
      </c>
      <c r="F1892" s="166">
        <v>33</v>
      </c>
      <c r="G1892" s="166">
        <v>36</v>
      </c>
      <c r="H1892" s="21">
        <v>59</v>
      </c>
      <c r="I1892" s="21">
        <v>9</v>
      </c>
      <c r="J1892" s="21">
        <v>49</v>
      </c>
      <c r="K1892" s="21">
        <v>10</v>
      </c>
      <c r="L1892" s="21">
        <v>47</v>
      </c>
      <c r="M1892" s="21">
        <v>14</v>
      </c>
      <c r="N1892" s="21">
        <v>35</v>
      </c>
      <c r="O1892" s="19">
        <v>110</v>
      </c>
      <c r="P1892" s="22">
        <v>7</v>
      </c>
      <c r="Q1892" s="22">
        <v>5</v>
      </c>
      <c r="R1892" s="20"/>
      <c r="S1892" s="234"/>
      <c r="T1892" s="235"/>
    </row>
    <row r="1893" spans="1:20" x14ac:dyDescent="0.35">
      <c r="A1893" s="3" t="str">
        <f>IF(D1893="","",(VLOOKUP($D1893,KEY!$B$5:$D$74,3,FALSE)))</f>
        <v>Southern California</v>
      </c>
      <c r="B1893" s="165">
        <f t="shared" si="19"/>
        <v>45870</v>
      </c>
      <c r="C1893" s="57" t="str">
        <f>IF($B1893="","",YEAR($B1893)&amp;"-"&amp;IFERROR(VLOOKUP(MONTH(B1893),KEY!$AE$5:$AF$16,2,FALSE),""))</f>
        <v>2025-Q3</v>
      </c>
      <c r="D1893" s="3" t="s">
        <v>135</v>
      </c>
      <c r="E1893" s="219">
        <v>38</v>
      </c>
      <c r="F1893" s="166">
        <v>300</v>
      </c>
      <c r="G1893" s="166">
        <v>251</v>
      </c>
      <c r="H1893" s="21">
        <v>608</v>
      </c>
      <c r="I1893" s="21">
        <v>105</v>
      </c>
      <c r="J1893" s="21">
        <v>330</v>
      </c>
      <c r="K1893" s="21">
        <v>74</v>
      </c>
      <c r="L1893" s="21">
        <v>514</v>
      </c>
      <c r="M1893" s="21">
        <v>145</v>
      </c>
      <c r="N1893" s="21">
        <v>302</v>
      </c>
      <c r="O1893" s="19">
        <v>330</v>
      </c>
      <c r="P1893" s="22">
        <v>5</v>
      </c>
      <c r="Q1893" s="22">
        <v>4</v>
      </c>
      <c r="R1893" s="20"/>
      <c r="S1893" s="234"/>
      <c r="T1893" s="235"/>
    </row>
    <row r="1894" spans="1:20" x14ac:dyDescent="0.35">
      <c r="A1894" s="3" t="str">
        <f>IF(D1894="","",(VLOOKUP($D1894,KEY!$B$5:$D$74,3,FALSE)))</f>
        <v>Arizona</v>
      </c>
      <c r="B1894" s="165">
        <f t="shared" si="19"/>
        <v>45870</v>
      </c>
      <c r="C1894" s="57" t="str">
        <f>IF($B1894="","",YEAR($B1894)&amp;"-"&amp;IFERROR(VLOOKUP(MONTH(B1894),KEY!$AE$5:$AF$16,2,FALSE),""))</f>
        <v>2025-Q3</v>
      </c>
      <c r="D1894" s="3" t="s">
        <v>204</v>
      </c>
      <c r="E1894" s="219">
        <v>7</v>
      </c>
      <c r="F1894" s="166">
        <v>19</v>
      </c>
      <c r="G1894" s="166">
        <v>17</v>
      </c>
      <c r="H1894" s="21">
        <v>13</v>
      </c>
      <c r="I1894" s="21">
        <v>4</v>
      </c>
      <c r="J1894" s="21">
        <v>13</v>
      </c>
      <c r="K1894" s="21">
        <v>5</v>
      </c>
      <c r="L1894" s="21">
        <v>37</v>
      </c>
      <c r="M1894" s="21">
        <v>7</v>
      </c>
      <c r="N1894" s="21">
        <v>19</v>
      </c>
      <c r="O1894" s="19">
        <v>12</v>
      </c>
      <c r="P1894" s="22">
        <v>0</v>
      </c>
      <c r="Q1894" s="22">
        <v>0</v>
      </c>
      <c r="R1894" s="20"/>
      <c r="S1894" s="234"/>
      <c r="T1894" s="235"/>
    </row>
    <row r="1895" spans="1:20" x14ac:dyDescent="0.35">
      <c r="A1895" s="3" t="str">
        <f>IF(D1895="","",(VLOOKUP($D1895,KEY!$B$5:$D$74,3,FALSE)))</f>
        <v>Arizona</v>
      </c>
      <c r="B1895" s="165">
        <f t="shared" si="19"/>
        <v>45870</v>
      </c>
      <c r="C1895" s="57" t="str">
        <f>IF($B1895="","",YEAR($B1895)&amp;"-"&amp;IFERROR(VLOOKUP(MONTH(B1895),KEY!$AE$5:$AF$16,2,FALSE),""))</f>
        <v>2025-Q3</v>
      </c>
      <c r="D1895" s="3" t="s">
        <v>196</v>
      </c>
      <c r="E1895" s="219">
        <v>17</v>
      </c>
      <c r="F1895" s="166">
        <v>59</v>
      </c>
      <c r="G1895" s="166">
        <v>35</v>
      </c>
      <c r="H1895" s="21">
        <v>98</v>
      </c>
      <c r="I1895" s="21">
        <v>19</v>
      </c>
      <c r="J1895" s="21">
        <v>72</v>
      </c>
      <c r="K1895" s="21">
        <v>15</v>
      </c>
      <c r="L1895" s="21">
        <v>143</v>
      </c>
      <c r="M1895" s="21">
        <v>50</v>
      </c>
      <c r="N1895" s="21">
        <v>59</v>
      </c>
      <c r="O1895" s="19">
        <v>110</v>
      </c>
      <c r="P1895" s="22">
        <v>0</v>
      </c>
      <c r="Q1895" s="22">
        <v>0</v>
      </c>
      <c r="R1895" s="20"/>
      <c r="S1895" s="234"/>
      <c r="T1895" s="235"/>
    </row>
    <row r="1896" spans="1:20" x14ac:dyDescent="0.35">
      <c r="A1896" s="3" t="str">
        <f>IF(D1896="","",(VLOOKUP($D1896,KEY!$B$5:$D$74,3,FALSE)))</f>
        <v>Arizona</v>
      </c>
      <c r="B1896" s="165">
        <f t="shared" si="19"/>
        <v>45870</v>
      </c>
      <c r="C1896" s="57" t="str">
        <f>IF($B1896="","",YEAR($B1896)&amp;"-"&amp;IFERROR(VLOOKUP(MONTH(B1896),KEY!$AE$5:$AF$16,2,FALSE),""))</f>
        <v>2025-Q3</v>
      </c>
      <c r="D1896" s="3" t="s">
        <v>197</v>
      </c>
      <c r="E1896" s="219">
        <v>20</v>
      </c>
      <c r="F1896" s="166">
        <v>101</v>
      </c>
      <c r="G1896" s="166">
        <v>96</v>
      </c>
      <c r="H1896" s="21">
        <v>123</v>
      </c>
      <c r="I1896" s="21">
        <v>16</v>
      </c>
      <c r="J1896" s="21">
        <v>107</v>
      </c>
      <c r="K1896" s="21">
        <v>29</v>
      </c>
      <c r="L1896" s="21">
        <v>247</v>
      </c>
      <c r="M1896" s="21">
        <v>77</v>
      </c>
      <c r="N1896" s="21">
        <v>106</v>
      </c>
      <c r="O1896" s="19">
        <v>264</v>
      </c>
      <c r="P1896" s="22">
        <v>5</v>
      </c>
      <c r="Q1896" s="22">
        <v>4</v>
      </c>
      <c r="R1896" s="20"/>
      <c r="S1896" s="234"/>
      <c r="T1896" s="235"/>
    </row>
    <row r="1897" spans="1:20" x14ac:dyDescent="0.35">
      <c r="A1897" s="3" t="str">
        <f>IF(D1897="","",(VLOOKUP($D1897,KEY!$B$5:$D$74,3,FALSE)))</f>
        <v>Texas</v>
      </c>
      <c r="B1897" s="165">
        <f t="shared" si="19"/>
        <v>45870</v>
      </c>
      <c r="C1897" s="57" t="str">
        <f>IF($B1897="","",YEAR($B1897)&amp;"-"&amp;IFERROR(VLOOKUP(MONTH(B1897),KEY!$AE$5:$AF$16,2,FALSE),""))</f>
        <v>2025-Q3</v>
      </c>
      <c r="D1897" s="3" t="s">
        <v>136</v>
      </c>
      <c r="E1897" s="219">
        <v>67</v>
      </c>
      <c r="F1897" s="166">
        <v>256</v>
      </c>
      <c r="G1897" s="166">
        <v>298</v>
      </c>
      <c r="H1897" s="21">
        <v>472</v>
      </c>
      <c r="I1897" s="21">
        <v>47</v>
      </c>
      <c r="J1897" s="21">
        <v>339</v>
      </c>
      <c r="K1897" s="21">
        <v>42</v>
      </c>
      <c r="L1897" s="21">
        <v>444</v>
      </c>
      <c r="M1897" s="21">
        <v>165</v>
      </c>
      <c r="N1897" s="21">
        <v>256</v>
      </c>
      <c r="O1897" s="19">
        <v>352</v>
      </c>
      <c r="P1897" s="22">
        <v>12</v>
      </c>
      <c r="Q1897" s="22">
        <v>9</v>
      </c>
      <c r="R1897" s="20"/>
      <c r="S1897" s="234"/>
      <c r="T1897" s="235"/>
    </row>
    <row r="1898" spans="1:20" x14ac:dyDescent="0.35">
      <c r="A1898" s="3" t="str">
        <f>IF(D1898="","",(VLOOKUP($D1898,KEY!$B$5:$D$74,3,FALSE)))</f>
        <v>Arizona</v>
      </c>
      <c r="B1898" s="165">
        <f t="shared" si="19"/>
        <v>45870</v>
      </c>
      <c r="C1898" s="57" t="str">
        <f>IF($B1898="","",YEAR($B1898)&amp;"-"&amp;IFERROR(VLOOKUP(MONTH(B1898),KEY!$AE$5:$AF$16,2,FALSE),""))</f>
        <v>2025-Q3</v>
      </c>
      <c r="D1898" s="3" t="s">
        <v>137</v>
      </c>
      <c r="E1898" s="219">
        <v>9</v>
      </c>
      <c r="F1898" s="166">
        <v>108</v>
      </c>
      <c r="G1898" s="166">
        <v>73</v>
      </c>
      <c r="H1898" s="21">
        <v>254</v>
      </c>
      <c r="I1898" s="21">
        <v>33</v>
      </c>
      <c r="J1898" s="21">
        <v>166</v>
      </c>
      <c r="K1898" s="21">
        <v>24</v>
      </c>
      <c r="L1898" s="21">
        <v>161</v>
      </c>
      <c r="M1898" s="21">
        <v>82</v>
      </c>
      <c r="N1898" s="21">
        <v>109</v>
      </c>
      <c r="O1898" s="19">
        <v>176</v>
      </c>
      <c r="P1898" s="22">
        <v>2</v>
      </c>
      <c r="Q1898" s="22">
        <v>1</v>
      </c>
      <c r="R1898" s="20"/>
      <c r="S1898" s="234"/>
      <c r="T1898" s="235"/>
    </row>
    <row r="1899" spans="1:20" x14ac:dyDescent="0.35">
      <c r="A1899" s="3" t="str">
        <f>IF(D1899="","",(VLOOKUP($D1899,KEY!$B$5:$D$74,3,FALSE)))</f>
        <v>Texas</v>
      </c>
      <c r="B1899" s="165">
        <f t="shared" si="19"/>
        <v>45870</v>
      </c>
      <c r="C1899" s="57" t="str">
        <f>IF($B1899="","",YEAR($B1899)&amp;"-"&amp;IFERROR(VLOOKUP(MONTH(B1899),KEY!$AE$5:$AF$16,2,FALSE),""))</f>
        <v>2025-Q3</v>
      </c>
      <c r="D1899" s="3" t="s">
        <v>138</v>
      </c>
      <c r="E1899" s="219">
        <v>32</v>
      </c>
      <c r="F1899" s="166">
        <v>153</v>
      </c>
      <c r="G1899" s="166">
        <v>145</v>
      </c>
      <c r="H1899" s="21">
        <v>217</v>
      </c>
      <c r="I1899" s="21">
        <v>42</v>
      </c>
      <c r="J1899" s="21">
        <v>154</v>
      </c>
      <c r="K1899" s="21">
        <v>36</v>
      </c>
      <c r="L1899" s="21">
        <v>288</v>
      </c>
      <c r="M1899" s="21">
        <v>108</v>
      </c>
      <c r="N1899" s="21">
        <v>153</v>
      </c>
      <c r="O1899" s="19">
        <v>220</v>
      </c>
      <c r="P1899" s="22">
        <v>4</v>
      </c>
      <c r="Q1899" s="22">
        <v>2</v>
      </c>
      <c r="R1899" s="20"/>
      <c r="S1899" s="234"/>
      <c r="T1899" s="235"/>
    </row>
    <row r="1900" spans="1:20" x14ac:dyDescent="0.35">
      <c r="A1900" s="3" t="str">
        <f>IF(D1900="","",(VLOOKUP($D1900,KEY!$B$5:$D$74,3,FALSE)))</f>
        <v>Southern California</v>
      </c>
      <c r="B1900" s="165">
        <f t="shared" si="19"/>
        <v>45870</v>
      </c>
      <c r="C1900" s="57" t="str">
        <f>IF($B1900="","",YEAR($B1900)&amp;"-"&amp;IFERROR(VLOOKUP(MONTH(B1900),KEY!$AE$5:$AF$16,2,FALSE),""))</f>
        <v>2025-Q3</v>
      </c>
      <c r="D1900" s="3" t="s">
        <v>139</v>
      </c>
      <c r="E1900" s="219">
        <v>39</v>
      </c>
      <c r="F1900" s="166">
        <v>238</v>
      </c>
      <c r="G1900" s="166">
        <v>175</v>
      </c>
      <c r="H1900" s="21">
        <v>381</v>
      </c>
      <c r="I1900" s="21">
        <v>61</v>
      </c>
      <c r="J1900" s="21">
        <v>197</v>
      </c>
      <c r="K1900" s="21">
        <v>48</v>
      </c>
      <c r="L1900" s="21">
        <v>513</v>
      </c>
      <c r="M1900" s="21">
        <v>144</v>
      </c>
      <c r="N1900" s="21">
        <v>241</v>
      </c>
      <c r="O1900" s="19">
        <v>308</v>
      </c>
      <c r="P1900" s="22">
        <v>16</v>
      </c>
      <c r="Q1900" s="22">
        <v>12</v>
      </c>
      <c r="R1900" s="20"/>
      <c r="S1900" s="234"/>
      <c r="T1900" s="235"/>
    </row>
    <row r="1901" spans="1:20" x14ac:dyDescent="0.35">
      <c r="A1901" s="3" t="str">
        <f>IF(D1901="","",(VLOOKUP($D1901,KEY!$B$5:$D$74,3,FALSE)))</f>
        <v>Orange County</v>
      </c>
      <c r="B1901" s="165">
        <f t="shared" si="19"/>
        <v>45870</v>
      </c>
      <c r="C1901" s="57" t="str">
        <f>IF($B1901="","",YEAR($B1901)&amp;"-"&amp;IFERROR(VLOOKUP(MONTH(B1901),KEY!$AE$5:$AF$16,2,FALSE),""))</f>
        <v>2025-Q3</v>
      </c>
      <c r="D1901" s="3" t="s">
        <v>140</v>
      </c>
      <c r="E1901" s="219">
        <v>1</v>
      </c>
      <c r="F1901" s="166">
        <v>23</v>
      </c>
      <c r="G1901" s="166">
        <v>31</v>
      </c>
      <c r="H1901" s="21">
        <v>53</v>
      </c>
      <c r="I1901" s="21">
        <v>13</v>
      </c>
      <c r="J1901" s="21">
        <v>19</v>
      </c>
      <c r="K1901" s="21">
        <v>5</v>
      </c>
      <c r="L1901" s="21">
        <v>64</v>
      </c>
      <c r="M1901" s="21">
        <v>19</v>
      </c>
      <c r="N1901" s="21">
        <v>24</v>
      </c>
      <c r="O1901" s="19">
        <v>88</v>
      </c>
      <c r="P1901" s="22">
        <v>1</v>
      </c>
      <c r="Q1901" s="22">
        <v>0</v>
      </c>
      <c r="R1901" s="20"/>
      <c r="S1901" s="234"/>
      <c r="T1901" s="235"/>
    </row>
    <row r="1902" spans="1:20" x14ac:dyDescent="0.35">
      <c r="A1902" s="3" t="str">
        <f>IF(D1902="","",(VLOOKUP($D1902,KEY!$B$5:$D$74,3,FALSE)))</f>
        <v>Southern California</v>
      </c>
      <c r="B1902" s="165">
        <f t="shared" si="19"/>
        <v>45870</v>
      </c>
      <c r="C1902" s="57" t="str">
        <f>IF($B1902="","",YEAR($B1902)&amp;"-"&amp;IFERROR(VLOOKUP(MONTH(B1902),KEY!$AE$5:$AF$16,2,FALSE),""))</f>
        <v>2025-Q3</v>
      </c>
      <c r="D1902" s="3" t="s">
        <v>142</v>
      </c>
      <c r="E1902" s="219">
        <v>19</v>
      </c>
      <c r="F1902" s="166">
        <v>74</v>
      </c>
      <c r="G1902" s="166">
        <v>124</v>
      </c>
      <c r="H1902" s="21">
        <v>189</v>
      </c>
      <c r="I1902" s="21">
        <v>22</v>
      </c>
      <c r="J1902" s="21">
        <v>59</v>
      </c>
      <c r="K1902" s="21">
        <v>6</v>
      </c>
      <c r="L1902" s="21">
        <v>105</v>
      </c>
      <c r="M1902" s="21">
        <v>41</v>
      </c>
      <c r="N1902" s="21">
        <v>74</v>
      </c>
      <c r="O1902" s="19">
        <v>132</v>
      </c>
      <c r="P1902" s="22">
        <v>16</v>
      </c>
      <c r="Q1902" s="22">
        <v>9</v>
      </c>
      <c r="R1902" s="20"/>
      <c r="S1902" s="234"/>
      <c r="T1902" s="235"/>
    </row>
    <row r="1903" spans="1:20" x14ac:dyDescent="0.35">
      <c r="A1903" s="3" t="str">
        <f>IF(D1903="","",(VLOOKUP($D1903,KEY!$B$5:$D$74,3,FALSE)))</f>
        <v>Arizona</v>
      </c>
      <c r="B1903" s="165">
        <f t="shared" si="19"/>
        <v>45870</v>
      </c>
      <c r="C1903" s="57" t="str">
        <f>IF($B1903="","",YEAR($B1903)&amp;"-"&amp;IFERROR(VLOOKUP(MONTH(B1903),KEY!$AE$5:$AF$16,2,FALSE),""))</f>
        <v>2025-Q3</v>
      </c>
      <c r="D1903" s="3" t="s">
        <v>143</v>
      </c>
      <c r="E1903" s="219">
        <v>2</v>
      </c>
      <c r="F1903" s="166">
        <v>84</v>
      </c>
      <c r="G1903" s="166">
        <v>78</v>
      </c>
      <c r="H1903" s="21">
        <v>268</v>
      </c>
      <c r="I1903" s="21">
        <v>4</v>
      </c>
      <c r="J1903" s="21">
        <v>137</v>
      </c>
      <c r="K1903" s="21">
        <v>13</v>
      </c>
      <c r="L1903" s="21">
        <v>156</v>
      </c>
      <c r="M1903" s="21">
        <v>54</v>
      </c>
      <c r="N1903" s="21">
        <v>84</v>
      </c>
      <c r="O1903" s="19">
        <v>198</v>
      </c>
      <c r="P1903" s="22">
        <v>7</v>
      </c>
      <c r="Q1903" s="22">
        <v>3</v>
      </c>
      <c r="R1903" s="20"/>
      <c r="S1903" s="234"/>
      <c r="T1903" s="235"/>
    </row>
    <row r="1904" spans="1:20" x14ac:dyDescent="0.35">
      <c r="A1904" s="3" t="str">
        <f>IF(D1904="","",(VLOOKUP($D1904,KEY!$B$5:$D$74,3,FALSE)))</f>
        <v>Arizona</v>
      </c>
      <c r="B1904" s="165">
        <f t="shared" si="19"/>
        <v>45870</v>
      </c>
      <c r="C1904" s="57" t="str">
        <f>IF($B1904="","",YEAR($B1904)&amp;"-"&amp;IFERROR(VLOOKUP(MONTH(B1904),KEY!$AE$5:$AF$16,2,FALSE),""))</f>
        <v>2025-Q3</v>
      </c>
      <c r="D1904" s="3" t="s">
        <v>144</v>
      </c>
      <c r="E1904" s="219">
        <v>5</v>
      </c>
      <c r="F1904" s="166">
        <v>187</v>
      </c>
      <c r="G1904" s="166">
        <v>207</v>
      </c>
      <c r="H1904" s="21">
        <v>396</v>
      </c>
      <c r="I1904" s="21">
        <v>34</v>
      </c>
      <c r="J1904" s="21">
        <v>173</v>
      </c>
      <c r="K1904" s="21">
        <v>22</v>
      </c>
      <c r="L1904" s="21">
        <v>274</v>
      </c>
      <c r="M1904" s="21">
        <v>92</v>
      </c>
      <c r="N1904" s="21">
        <v>191</v>
      </c>
      <c r="O1904" s="19">
        <v>418</v>
      </c>
      <c r="P1904" s="22">
        <v>13</v>
      </c>
      <c r="Q1904" s="22">
        <v>9</v>
      </c>
      <c r="R1904" s="20"/>
      <c r="S1904" s="234"/>
      <c r="T1904" s="235"/>
    </row>
    <row r="1905" spans="1:20" x14ac:dyDescent="0.35">
      <c r="A1905" s="3" t="str">
        <f>IF(D1905="","",(VLOOKUP($D1905,KEY!$B$5:$D$74,3,FALSE)))</f>
        <v>Southern California</v>
      </c>
      <c r="B1905" s="165">
        <f t="shared" si="19"/>
        <v>45870</v>
      </c>
      <c r="C1905" s="57" t="str">
        <f>IF($B1905="","",YEAR($B1905)&amp;"-"&amp;IFERROR(VLOOKUP(MONTH(B1905),KEY!$AE$5:$AF$16,2,FALSE),""))</f>
        <v>2025-Q3</v>
      </c>
      <c r="D1905" s="3" t="s">
        <v>145</v>
      </c>
      <c r="E1905" s="219">
        <v>8</v>
      </c>
      <c r="F1905" s="166">
        <v>191</v>
      </c>
      <c r="G1905" s="166">
        <v>170</v>
      </c>
      <c r="H1905" s="21">
        <v>456</v>
      </c>
      <c r="I1905" s="21">
        <v>38</v>
      </c>
      <c r="J1905" s="21">
        <v>171</v>
      </c>
      <c r="K1905" s="21">
        <v>22</v>
      </c>
      <c r="L1905" s="21">
        <v>349</v>
      </c>
      <c r="M1905" s="21">
        <v>108</v>
      </c>
      <c r="N1905" s="21">
        <v>196</v>
      </c>
      <c r="O1905" s="19">
        <v>374</v>
      </c>
      <c r="P1905" s="22">
        <v>30</v>
      </c>
      <c r="Q1905" s="22">
        <v>22</v>
      </c>
      <c r="R1905" s="20"/>
      <c r="S1905" s="234"/>
      <c r="T1905" s="235"/>
    </row>
    <row r="1906" spans="1:20" x14ac:dyDescent="0.35">
      <c r="A1906" s="3" t="str">
        <f>IF(D1906="","",(VLOOKUP($D1906,KEY!$B$5:$D$74,3,FALSE)))</f>
        <v>Arizona</v>
      </c>
      <c r="B1906" s="165">
        <f t="shared" si="19"/>
        <v>45870</v>
      </c>
      <c r="C1906" s="57" t="str">
        <f>IF($B1906="","",YEAR($B1906)&amp;"-"&amp;IFERROR(VLOOKUP(MONTH(B1906),KEY!$AE$5:$AF$16,2,FALSE),""))</f>
        <v>2025-Q3</v>
      </c>
      <c r="D1906" s="3" t="s">
        <v>146</v>
      </c>
      <c r="E1906" s="219">
        <v>1</v>
      </c>
      <c r="F1906" s="166">
        <v>42</v>
      </c>
      <c r="G1906" s="166">
        <v>18</v>
      </c>
      <c r="H1906" s="21">
        <v>115</v>
      </c>
      <c r="I1906" s="21">
        <v>13</v>
      </c>
      <c r="J1906" s="21">
        <v>32</v>
      </c>
      <c r="K1906" s="21">
        <v>2</v>
      </c>
      <c r="L1906" s="21">
        <v>92</v>
      </c>
      <c r="M1906" s="21">
        <v>29</v>
      </c>
      <c r="N1906" s="21">
        <v>43</v>
      </c>
      <c r="O1906" s="19">
        <v>88</v>
      </c>
      <c r="P1906" s="22">
        <v>4</v>
      </c>
      <c r="Q1906" s="22">
        <v>1</v>
      </c>
      <c r="R1906" s="20"/>
      <c r="S1906" s="234"/>
      <c r="T1906" s="235"/>
    </row>
    <row r="1907" spans="1:20" x14ac:dyDescent="0.35">
      <c r="A1907" s="3" t="str">
        <f>IF(D1907="","",(VLOOKUP($D1907,KEY!$B$5:$D$74,3,FALSE)))</f>
        <v>Texas</v>
      </c>
      <c r="B1907" s="165">
        <f t="shared" si="19"/>
        <v>45870</v>
      </c>
      <c r="C1907" s="57" t="str">
        <f>IF($B1907="","",YEAR($B1907)&amp;"-"&amp;IFERROR(VLOOKUP(MONTH(B1907),KEY!$AE$5:$AF$16,2,FALSE),""))</f>
        <v>2025-Q3</v>
      </c>
      <c r="D1907" s="3" t="s">
        <v>147</v>
      </c>
      <c r="E1907" s="219">
        <v>4</v>
      </c>
      <c r="F1907" s="166">
        <v>47</v>
      </c>
      <c r="G1907" s="166">
        <v>28</v>
      </c>
      <c r="H1907" s="21">
        <v>144</v>
      </c>
      <c r="I1907" s="21">
        <v>7</v>
      </c>
      <c r="J1907" s="21">
        <v>45</v>
      </c>
      <c r="K1907" s="21">
        <v>9</v>
      </c>
      <c r="L1907" s="21">
        <v>93</v>
      </c>
      <c r="M1907" s="21">
        <v>44</v>
      </c>
      <c r="N1907" s="21">
        <v>48</v>
      </c>
      <c r="O1907" s="19">
        <v>88</v>
      </c>
      <c r="P1907" s="22">
        <v>7</v>
      </c>
      <c r="Q1907" s="22">
        <v>3</v>
      </c>
      <c r="R1907" s="20"/>
      <c r="S1907" s="234"/>
      <c r="T1907" s="235"/>
    </row>
    <row r="1908" spans="1:20" x14ac:dyDescent="0.35">
      <c r="A1908" s="3" t="str">
        <f>IF(D1908="","",(VLOOKUP($D1908,KEY!$B$5:$D$74,3,FALSE)))</f>
        <v>Northern California</v>
      </c>
      <c r="B1908" s="165">
        <f t="shared" si="19"/>
        <v>45870</v>
      </c>
      <c r="C1908" s="57" t="str">
        <f>IF($B1908="","",YEAR($B1908)&amp;"-"&amp;IFERROR(VLOOKUP(MONTH(B1908),KEY!$AE$5:$AF$16,2,FALSE),""))</f>
        <v>2025-Q3</v>
      </c>
      <c r="D1908" s="3" t="s">
        <v>148</v>
      </c>
      <c r="E1908" s="219">
        <v>2</v>
      </c>
      <c r="F1908" s="166">
        <v>45</v>
      </c>
      <c r="G1908" s="166">
        <v>24</v>
      </c>
      <c r="H1908" s="21">
        <v>109</v>
      </c>
      <c r="I1908" s="21">
        <v>6</v>
      </c>
      <c r="J1908" s="21">
        <v>49</v>
      </c>
      <c r="K1908" s="21">
        <v>11</v>
      </c>
      <c r="L1908" s="21">
        <v>73</v>
      </c>
      <c r="M1908" s="21">
        <v>33</v>
      </c>
      <c r="N1908" s="21">
        <v>46</v>
      </c>
      <c r="O1908" s="19">
        <v>88</v>
      </c>
      <c r="P1908" s="22">
        <v>6</v>
      </c>
      <c r="Q1908" s="22">
        <v>2</v>
      </c>
      <c r="R1908" s="20"/>
      <c r="S1908" s="234"/>
      <c r="T1908" s="235"/>
    </row>
    <row r="1909" spans="1:20" x14ac:dyDescent="0.35">
      <c r="A1909" s="3" t="str">
        <f>IF(D1909="","",(VLOOKUP($D1909,KEY!$B$5:$D$74,3,FALSE)))</f>
        <v>Orange County</v>
      </c>
      <c r="B1909" s="165">
        <f t="shared" si="19"/>
        <v>45870</v>
      </c>
      <c r="C1909" s="57" t="str">
        <f>IF($B1909="","",YEAR($B1909)&amp;"-"&amp;IFERROR(VLOOKUP(MONTH(B1909),KEY!$AE$5:$AF$16,2,FALSE),""))</f>
        <v>2025-Q3</v>
      </c>
      <c r="D1909" s="3" t="s">
        <v>149</v>
      </c>
      <c r="E1909" s="219">
        <v>1</v>
      </c>
      <c r="F1909" s="166">
        <v>0</v>
      </c>
      <c r="G1909" s="166">
        <v>0</v>
      </c>
      <c r="H1909" s="21">
        <v>78</v>
      </c>
      <c r="I1909" s="21">
        <v>8</v>
      </c>
      <c r="J1909" s="21">
        <v>44</v>
      </c>
      <c r="K1909" s="21">
        <v>5</v>
      </c>
      <c r="L1909" s="21">
        <v>60</v>
      </c>
      <c r="M1909" s="21">
        <v>23</v>
      </c>
      <c r="N1909" s="21">
        <v>34</v>
      </c>
      <c r="O1909" s="19">
        <v>66</v>
      </c>
      <c r="P1909" s="22">
        <v>0</v>
      </c>
      <c r="Q1909" s="22">
        <v>0</v>
      </c>
      <c r="R1909" s="20"/>
      <c r="S1909" s="234"/>
      <c r="T1909" s="235"/>
    </row>
    <row r="1910" spans="1:20" x14ac:dyDescent="0.35">
      <c r="A1910" s="3" t="str">
        <f>IF(D1910="","",(VLOOKUP($D1910,KEY!$B$5:$D$74,3,FALSE)))</f>
        <v>Southern California</v>
      </c>
      <c r="B1910" s="165">
        <f t="shared" si="19"/>
        <v>45870</v>
      </c>
      <c r="C1910" s="57" t="str">
        <f>IF($B1910="","",YEAR($B1910)&amp;"-"&amp;IFERROR(VLOOKUP(MONTH(B1910),KEY!$AE$5:$AF$16,2,FALSE),""))</f>
        <v>2025-Q3</v>
      </c>
      <c r="D1910" s="3" t="s">
        <v>150</v>
      </c>
      <c r="E1910" s="219">
        <v>6</v>
      </c>
      <c r="F1910" s="166">
        <v>58</v>
      </c>
      <c r="G1910" s="166">
        <v>40</v>
      </c>
      <c r="H1910" s="21">
        <v>95</v>
      </c>
      <c r="I1910" s="21">
        <v>10</v>
      </c>
      <c r="J1910" s="21">
        <v>78</v>
      </c>
      <c r="K1910" s="21">
        <v>9</v>
      </c>
      <c r="L1910" s="21">
        <v>95</v>
      </c>
      <c r="M1910" s="21">
        <v>20</v>
      </c>
      <c r="N1910" s="21">
        <v>59</v>
      </c>
      <c r="O1910" s="19">
        <v>88</v>
      </c>
      <c r="P1910" s="22">
        <v>4</v>
      </c>
      <c r="Q1910" s="22">
        <v>2</v>
      </c>
      <c r="R1910" s="20"/>
      <c r="S1910" s="234"/>
      <c r="T1910" s="235"/>
    </row>
    <row r="1911" spans="1:20" x14ac:dyDescent="0.35">
      <c r="A1911" s="3" t="str">
        <f>IF(D1911="","",(VLOOKUP($D1911,KEY!$B$5:$D$74,3,FALSE)))</f>
        <v>Arizona</v>
      </c>
      <c r="B1911" s="165">
        <f t="shared" si="19"/>
        <v>45870</v>
      </c>
      <c r="C1911" s="57" t="str">
        <f>IF($B1911="","",YEAR($B1911)&amp;"-"&amp;IFERROR(VLOOKUP(MONTH(B1911),KEY!$AE$5:$AF$16,2,FALSE),""))</f>
        <v>2025-Q3</v>
      </c>
      <c r="D1911" s="3" t="s">
        <v>151</v>
      </c>
      <c r="E1911" s="219">
        <v>1</v>
      </c>
      <c r="F1911" s="166">
        <v>36</v>
      </c>
      <c r="G1911" s="166">
        <v>24</v>
      </c>
      <c r="H1911" s="21">
        <v>119</v>
      </c>
      <c r="I1911" s="21">
        <v>16</v>
      </c>
      <c r="J1911" s="21">
        <v>28</v>
      </c>
      <c r="K1911" s="21">
        <v>1</v>
      </c>
      <c r="L1911" s="21">
        <v>72</v>
      </c>
      <c r="M1911" s="21">
        <v>23</v>
      </c>
      <c r="N1911" s="21">
        <v>34</v>
      </c>
      <c r="O1911" s="19">
        <v>88</v>
      </c>
      <c r="P1911" s="22">
        <v>2</v>
      </c>
      <c r="Q1911" s="22">
        <v>1</v>
      </c>
      <c r="R1911" s="20"/>
      <c r="S1911" s="234"/>
      <c r="T1911" s="235"/>
    </row>
    <row r="1912" spans="1:20" x14ac:dyDescent="0.35">
      <c r="A1912" s="3" t="str">
        <f>IF(D1912="","",(VLOOKUP($D1912,KEY!$B$5:$D$74,3,FALSE)))</f>
        <v>Michigan &amp; Minnesota</v>
      </c>
      <c r="B1912" s="165">
        <f t="shared" si="19"/>
        <v>45870</v>
      </c>
      <c r="C1912" s="57" t="str">
        <f>IF($B1912="","",YEAR($B1912)&amp;"-"&amp;IFERROR(VLOOKUP(MONTH(B1912),KEY!$AE$5:$AF$16,2,FALSE),""))</f>
        <v>2025-Q3</v>
      </c>
      <c r="D1912" s="3" t="s">
        <v>206</v>
      </c>
      <c r="E1912" s="219">
        <v>56</v>
      </c>
      <c r="F1912" s="166">
        <v>268</v>
      </c>
      <c r="G1912" s="166">
        <v>200</v>
      </c>
      <c r="H1912" s="21">
        <v>307</v>
      </c>
      <c r="I1912" s="21">
        <v>69</v>
      </c>
      <c r="J1912" s="21">
        <v>119</v>
      </c>
      <c r="K1912" s="21">
        <v>35</v>
      </c>
      <c r="L1912" s="21">
        <v>481</v>
      </c>
      <c r="M1912" s="21">
        <v>159</v>
      </c>
      <c r="N1912" s="21">
        <v>269</v>
      </c>
      <c r="O1912" s="19">
        <v>418</v>
      </c>
      <c r="P1912" s="22">
        <v>13</v>
      </c>
      <c r="Q1912" s="22">
        <v>7</v>
      </c>
      <c r="R1912" s="20"/>
      <c r="S1912" s="234"/>
      <c r="T1912" s="235"/>
    </row>
    <row r="1913" spans="1:20" x14ac:dyDescent="0.35">
      <c r="A1913" s="3" t="str">
        <f>IF(D1913="","",(VLOOKUP($D1913,KEY!$B$5:$D$74,3,FALSE)))</f>
        <v>Michigan &amp; Minnesota</v>
      </c>
      <c r="B1913" s="165">
        <f t="shared" si="19"/>
        <v>45870</v>
      </c>
      <c r="C1913" s="57" t="str">
        <f>IF($B1913="","",YEAR($B1913)&amp;"-"&amp;IFERROR(VLOOKUP(MONTH(B1913),KEY!$AE$5:$AF$16,2,FALSE),""))</f>
        <v>2025-Q3</v>
      </c>
      <c r="D1913" s="3" t="s">
        <v>207</v>
      </c>
      <c r="E1913" s="219">
        <v>0</v>
      </c>
      <c r="F1913" s="166">
        <v>88</v>
      </c>
      <c r="G1913" s="166">
        <v>49</v>
      </c>
      <c r="H1913" s="21">
        <v>147</v>
      </c>
      <c r="I1913" s="21">
        <v>18</v>
      </c>
      <c r="J1913" s="21">
        <v>47</v>
      </c>
      <c r="K1913" s="21">
        <v>11</v>
      </c>
      <c r="L1913" s="21">
        <v>97</v>
      </c>
      <c r="M1913" s="21">
        <v>36</v>
      </c>
      <c r="N1913" s="21">
        <v>88</v>
      </c>
      <c r="O1913" s="19">
        <v>132</v>
      </c>
      <c r="P1913" s="22">
        <v>7</v>
      </c>
      <c r="Q1913" s="22">
        <v>3</v>
      </c>
      <c r="R1913" s="20"/>
      <c r="S1913" s="234"/>
      <c r="T1913" s="235"/>
    </row>
    <row r="1914" spans="1:20" x14ac:dyDescent="0.35">
      <c r="A1914" s="3" t="str">
        <f>IF(D1914="","",(VLOOKUP($D1914,KEY!$B$5:$D$74,3,FALSE)))</f>
        <v>Indiana</v>
      </c>
      <c r="B1914" s="165">
        <f t="shared" si="19"/>
        <v>45870</v>
      </c>
      <c r="C1914" s="57" t="str">
        <f>IF($B1914="","",YEAR($B1914)&amp;"-"&amp;IFERROR(VLOOKUP(MONTH(B1914),KEY!$AE$5:$AF$16,2,FALSE),""))</f>
        <v>2025-Q3</v>
      </c>
      <c r="D1914" s="3" t="s">
        <v>208</v>
      </c>
      <c r="E1914" s="219">
        <v>2</v>
      </c>
      <c r="F1914" s="166">
        <v>139</v>
      </c>
      <c r="G1914" s="166">
        <v>98</v>
      </c>
      <c r="H1914" s="21">
        <v>299</v>
      </c>
      <c r="I1914" s="21">
        <v>44</v>
      </c>
      <c r="J1914" s="21">
        <v>126</v>
      </c>
      <c r="K1914" s="21">
        <v>27</v>
      </c>
      <c r="L1914" s="21">
        <v>158</v>
      </c>
      <c r="M1914" s="21">
        <v>69</v>
      </c>
      <c r="N1914" s="21">
        <v>141</v>
      </c>
      <c r="O1914" s="19">
        <v>242</v>
      </c>
      <c r="P1914" s="22">
        <v>15</v>
      </c>
      <c r="Q1914" s="22">
        <v>8</v>
      </c>
      <c r="R1914" s="20"/>
      <c r="S1914" s="234"/>
      <c r="T1914" s="235"/>
    </row>
    <row r="1915" spans="1:20" x14ac:dyDescent="0.35">
      <c r="A1915" s="3" t="str">
        <f>IF(D1915="","",(VLOOKUP($D1915,KEY!$B$5:$D$74,3,FALSE)))</f>
        <v>Indiana</v>
      </c>
      <c r="B1915" s="165">
        <f t="shared" si="19"/>
        <v>45870</v>
      </c>
      <c r="C1915" s="57" t="str">
        <f>IF($B1915="","",YEAR($B1915)&amp;"-"&amp;IFERROR(VLOOKUP(MONTH(B1915),KEY!$AE$5:$AF$16,2,FALSE),""))</f>
        <v>2025-Q3</v>
      </c>
      <c r="D1915" s="3" t="s">
        <v>209</v>
      </c>
      <c r="E1915" s="219">
        <v>20</v>
      </c>
      <c r="F1915" s="166">
        <v>517</v>
      </c>
      <c r="G1915" s="166">
        <v>516</v>
      </c>
      <c r="H1915" s="21">
        <v>770</v>
      </c>
      <c r="I1915" s="21">
        <v>160</v>
      </c>
      <c r="J1915" s="21">
        <v>274</v>
      </c>
      <c r="K1915" s="21">
        <v>74</v>
      </c>
      <c r="L1915" s="21">
        <v>471</v>
      </c>
      <c r="M1915" s="21">
        <v>216</v>
      </c>
      <c r="N1915" s="21">
        <v>518</v>
      </c>
      <c r="O1915" s="19">
        <v>572</v>
      </c>
      <c r="P1915" s="22">
        <v>74</v>
      </c>
      <c r="Q1915" s="22">
        <v>50</v>
      </c>
      <c r="R1915" s="20"/>
      <c r="S1915" s="234"/>
      <c r="T1915" s="235"/>
    </row>
    <row r="1916" spans="1:20" x14ac:dyDescent="0.35">
      <c r="A1916" s="3" t="str">
        <f>IF(D1916="","",(VLOOKUP($D1916,KEY!$B$5:$D$74,3,FALSE)))</f>
        <v>Northern California</v>
      </c>
      <c r="B1916" s="165">
        <f t="shared" si="19"/>
        <v>45870</v>
      </c>
      <c r="C1916" s="57" t="str">
        <f>IF($B1916="","",YEAR($B1916)&amp;"-"&amp;IFERROR(VLOOKUP(MONTH(B1916),KEY!$AE$5:$AF$16,2,FALSE),""))</f>
        <v>2025-Q3</v>
      </c>
      <c r="D1916" s="3" t="s">
        <v>152</v>
      </c>
      <c r="E1916" s="219">
        <v>46</v>
      </c>
      <c r="F1916" s="166">
        <v>202</v>
      </c>
      <c r="G1916" s="166">
        <v>170</v>
      </c>
      <c r="H1916" s="21">
        <v>495</v>
      </c>
      <c r="I1916" s="21">
        <v>76</v>
      </c>
      <c r="J1916" s="21">
        <v>179</v>
      </c>
      <c r="K1916" s="21">
        <v>38</v>
      </c>
      <c r="L1916" s="21">
        <v>444</v>
      </c>
      <c r="M1916" s="21">
        <v>156</v>
      </c>
      <c r="N1916" s="21">
        <v>200</v>
      </c>
      <c r="O1916" s="19">
        <v>286</v>
      </c>
      <c r="P1916" s="22">
        <v>29</v>
      </c>
      <c r="Q1916" s="22">
        <v>19</v>
      </c>
      <c r="R1916" s="20"/>
      <c r="S1916" s="234"/>
      <c r="T1916" s="235"/>
    </row>
    <row r="1917" spans="1:20" x14ac:dyDescent="0.35">
      <c r="A1917" s="3" t="str">
        <f>IF(D1917="","",(VLOOKUP($D1917,KEY!$B$5:$D$74,3,FALSE)))</f>
        <v>Arizona</v>
      </c>
      <c r="B1917" s="165">
        <f t="shared" si="19"/>
        <v>45870</v>
      </c>
      <c r="C1917" s="57" t="str">
        <f>IF($B1917="","",YEAR($B1917)&amp;"-"&amp;IFERROR(VLOOKUP(MONTH(B1917),KEY!$AE$5:$AF$16,2,FALSE),""))</f>
        <v>2025-Q3</v>
      </c>
      <c r="D1917" s="3" t="s">
        <v>153</v>
      </c>
      <c r="E1917" s="219">
        <v>28</v>
      </c>
      <c r="F1917" s="166">
        <v>87</v>
      </c>
      <c r="G1917" s="166">
        <v>91</v>
      </c>
      <c r="H1917" s="21">
        <v>238</v>
      </c>
      <c r="I1917" s="21">
        <v>17</v>
      </c>
      <c r="J1917" s="21">
        <v>115</v>
      </c>
      <c r="K1917" s="21">
        <v>15</v>
      </c>
      <c r="L1917" s="21">
        <v>358</v>
      </c>
      <c r="M1917" s="21">
        <v>54</v>
      </c>
      <c r="N1917" s="21">
        <v>87</v>
      </c>
      <c r="O1917" s="19">
        <v>308</v>
      </c>
      <c r="P1917" s="22">
        <v>3</v>
      </c>
      <c r="Q1917" s="22">
        <v>3</v>
      </c>
      <c r="R1917" s="20"/>
      <c r="S1917" s="234"/>
      <c r="T1917" s="235"/>
    </row>
    <row r="1918" spans="1:20" x14ac:dyDescent="0.35">
      <c r="A1918" s="3" t="str">
        <f>IF(D1918="","",(VLOOKUP($D1918,KEY!$B$5:$D$74,3,FALSE)))</f>
        <v>Northern California</v>
      </c>
      <c r="B1918" s="165">
        <f t="shared" si="19"/>
        <v>45870</v>
      </c>
      <c r="C1918" s="57" t="str">
        <f>IF($B1918="","",YEAR($B1918)&amp;"-"&amp;IFERROR(VLOOKUP(MONTH(B1918),KEY!$AE$5:$AF$16,2,FALSE),""))</f>
        <v>2025-Q3</v>
      </c>
      <c r="D1918" s="3" t="s">
        <v>154</v>
      </c>
      <c r="E1918" s="219">
        <v>22</v>
      </c>
      <c r="F1918" s="166">
        <v>96</v>
      </c>
      <c r="G1918" s="166">
        <v>101</v>
      </c>
      <c r="H1918" s="21">
        <v>482</v>
      </c>
      <c r="I1918" s="21">
        <v>41</v>
      </c>
      <c r="J1918" s="21">
        <v>207</v>
      </c>
      <c r="K1918" s="21">
        <v>23</v>
      </c>
      <c r="L1918" s="21">
        <v>301</v>
      </c>
      <c r="M1918" s="21">
        <v>58</v>
      </c>
      <c r="N1918" s="21">
        <v>97</v>
      </c>
      <c r="O1918" s="19">
        <v>198</v>
      </c>
      <c r="P1918" s="22">
        <v>2</v>
      </c>
      <c r="Q1918" s="22">
        <v>1</v>
      </c>
      <c r="R1918" s="20"/>
      <c r="S1918" s="234"/>
      <c r="T1918" s="235"/>
    </row>
    <row r="1919" spans="1:20" x14ac:dyDescent="0.35">
      <c r="A1919" s="3" t="str">
        <f>IF(D1919="","",(VLOOKUP($D1919,KEY!$B$5:$D$74,3,FALSE)))</f>
        <v>Texas</v>
      </c>
      <c r="B1919" s="165">
        <f t="shared" si="19"/>
        <v>45870</v>
      </c>
      <c r="C1919" s="57" t="str">
        <f>IF($B1919="","",YEAR($B1919)&amp;"-"&amp;IFERROR(VLOOKUP(MONTH(B1919),KEY!$AE$5:$AF$16,2,FALSE),""))</f>
        <v>2025-Q3</v>
      </c>
      <c r="D1919" s="3" t="s">
        <v>155</v>
      </c>
      <c r="E1919" s="219">
        <v>53</v>
      </c>
      <c r="F1919" s="166">
        <v>327</v>
      </c>
      <c r="G1919" s="166">
        <v>365</v>
      </c>
      <c r="H1919" s="21">
        <v>817</v>
      </c>
      <c r="I1919" s="21">
        <v>113</v>
      </c>
      <c r="J1919" s="21">
        <v>276</v>
      </c>
      <c r="K1919" s="21">
        <v>66</v>
      </c>
      <c r="L1919" s="21">
        <v>541</v>
      </c>
      <c r="M1919" s="21">
        <v>157</v>
      </c>
      <c r="N1919" s="21">
        <v>327</v>
      </c>
      <c r="O1919" s="19">
        <v>484</v>
      </c>
      <c r="P1919" s="22">
        <v>11</v>
      </c>
      <c r="Q1919" s="22">
        <v>8</v>
      </c>
      <c r="R1919" s="20"/>
      <c r="S1919" s="234"/>
      <c r="T1919" s="235"/>
    </row>
    <row r="1920" spans="1:20" x14ac:dyDescent="0.35">
      <c r="A1920" s="3" t="str">
        <f>IF(D1920="","",(VLOOKUP($D1920,KEY!$B$5:$D$74,3,FALSE)))</f>
        <v>Texas</v>
      </c>
      <c r="B1920" s="165">
        <f t="shared" si="19"/>
        <v>45870</v>
      </c>
      <c r="C1920" s="57" t="str">
        <f>IF($B1920="","",YEAR($B1920)&amp;"-"&amp;IFERROR(VLOOKUP(MONTH(B1920),KEY!$AE$5:$AF$16,2,FALSE),""))</f>
        <v>2025-Q3</v>
      </c>
      <c r="D1920" s="3" t="s">
        <v>156</v>
      </c>
      <c r="E1920" s="219">
        <v>40</v>
      </c>
      <c r="F1920" s="166">
        <v>239</v>
      </c>
      <c r="G1920" s="166">
        <v>276</v>
      </c>
      <c r="H1920" s="21">
        <v>436</v>
      </c>
      <c r="I1920" s="21">
        <v>70</v>
      </c>
      <c r="J1920" s="21">
        <v>233</v>
      </c>
      <c r="K1920" s="21">
        <v>51</v>
      </c>
      <c r="L1920" s="21">
        <v>277</v>
      </c>
      <c r="M1920" s="21">
        <v>89</v>
      </c>
      <c r="N1920" s="21">
        <v>239</v>
      </c>
      <c r="O1920" s="19">
        <v>330</v>
      </c>
      <c r="P1920" s="22">
        <v>10</v>
      </c>
      <c r="Q1920" s="22">
        <v>6</v>
      </c>
      <c r="R1920" s="20"/>
      <c r="S1920" s="234"/>
      <c r="T1920" s="235"/>
    </row>
    <row r="1921" spans="1:20" x14ac:dyDescent="0.35">
      <c r="A1921" s="3" t="str">
        <f>IF(D1921="","",(VLOOKUP($D1921,KEY!$B$5:$D$74,3,FALSE)))</f>
        <v>Texas</v>
      </c>
      <c r="B1921" s="165">
        <f t="shared" si="19"/>
        <v>45870</v>
      </c>
      <c r="C1921" s="57" t="str">
        <f>IF($B1921="","",YEAR($B1921)&amp;"-"&amp;IFERROR(VLOOKUP(MONTH(B1921),KEY!$AE$5:$AF$16,2,FALSE),""))</f>
        <v>2025-Q3</v>
      </c>
      <c r="D1921" s="3" t="s">
        <v>157</v>
      </c>
      <c r="E1921" s="219">
        <v>17</v>
      </c>
      <c r="F1921" s="166">
        <v>570</v>
      </c>
      <c r="G1921" s="166">
        <v>435</v>
      </c>
      <c r="H1921" s="21">
        <v>1062</v>
      </c>
      <c r="I1921" s="21">
        <v>127</v>
      </c>
      <c r="J1921" s="21">
        <v>531</v>
      </c>
      <c r="K1921" s="21">
        <v>81</v>
      </c>
      <c r="L1921" s="21">
        <v>987</v>
      </c>
      <c r="M1921" s="21">
        <v>240</v>
      </c>
      <c r="N1921" s="21">
        <v>576</v>
      </c>
      <c r="O1921" s="19">
        <v>792</v>
      </c>
      <c r="P1921" s="22">
        <v>9</v>
      </c>
      <c r="Q1921" s="22">
        <v>6</v>
      </c>
      <c r="R1921" s="20"/>
      <c r="S1921" s="234"/>
      <c r="T1921" s="235"/>
    </row>
    <row r="1922" spans="1:20" x14ac:dyDescent="0.35">
      <c r="A1922" s="3" t="str">
        <f>IF(D1922="","",(VLOOKUP($D1922,KEY!$B$5:$D$74,3,FALSE)))</f>
        <v>Arizona</v>
      </c>
      <c r="B1922" s="165">
        <f t="shared" si="19"/>
        <v>45870</v>
      </c>
      <c r="C1922" s="57" t="str">
        <f>IF($B1922="","",YEAR($B1922)&amp;"-"&amp;IFERROR(VLOOKUP(MONTH(B1922),KEY!$AE$5:$AF$16,2,FALSE),""))</f>
        <v>2025-Q3</v>
      </c>
      <c r="D1922" s="3" t="s">
        <v>158</v>
      </c>
      <c r="E1922" s="219">
        <v>3</v>
      </c>
      <c r="F1922" s="166">
        <v>22</v>
      </c>
      <c r="G1922" s="166">
        <v>26</v>
      </c>
      <c r="H1922" s="21">
        <v>71</v>
      </c>
      <c r="I1922" s="21">
        <v>3</v>
      </c>
      <c r="J1922" s="21">
        <v>59</v>
      </c>
      <c r="K1922" s="21">
        <v>1</v>
      </c>
      <c r="L1922" s="21">
        <v>47</v>
      </c>
      <c r="M1922" s="21">
        <v>5</v>
      </c>
      <c r="N1922" s="21">
        <v>22</v>
      </c>
      <c r="O1922" s="19">
        <v>72</v>
      </c>
      <c r="P1922" s="22">
        <v>0</v>
      </c>
      <c r="Q1922" s="22">
        <v>0</v>
      </c>
      <c r="R1922" s="20"/>
      <c r="S1922" s="234"/>
      <c r="T1922" s="235"/>
    </row>
    <row r="1923" spans="1:20" x14ac:dyDescent="0.35">
      <c r="A1923" s="3" t="str">
        <f>IF(D1923="","",(VLOOKUP($D1923,KEY!$B$5:$D$74,3,FALSE)))</f>
        <v>Orange County</v>
      </c>
      <c r="B1923" s="165">
        <f t="shared" si="19"/>
        <v>45870</v>
      </c>
      <c r="C1923" s="57" t="str">
        <f>IF($B1923="","",YEAR($B1923)&amp;"-"&amp;IFERROR(VLOOKUP(MONTH(B1923),KEY!$AE$5:$AF$16,2,FALSE),""))</f>
        <v>2025-Q3</v>
      </c>
      <c r="D1923" s="3" t="s">
        <v>159</v>
      </c>
      <c r="E1923" s="219">
        <v>21</v>
      </c>
      <c r="F1923" s="166">
        <v>93</v>
      </c>
      <c r="G1923" s="166">
        <v>137</v>
      </c>
      <c r="H1923" s="21">
        <v>249</v>
      </c>
      <c r="I1923" s="21">
        <v>39</v>
      </c>
      <c r="J1923" s="21">
        <v>79</v>
      </c>
      <c r="K1923" s="21">
        <v>22</v>
      </c>
      <c r="L1923" s="21">
        <v>177</v>
      </c>
      <c r="M1923" s="21">
        <v>65</v>
      </c>
      <c r="N1923" s="21">
        <v>94</v>
      </c>
      <c r="O1923" s="19">
        <v>176</v>
      </c>
      <c r="P1923" s="22">
        <v>12</v>
      </c>
      <c r="Q1923" s="22">
        <v>8</v>
      </c>
      <c r="R1923" s="20"/>
      <c r="S1923" s="234"/>
      <c r="T1923" s="235"/>
    </row>
    <row r="1924" spans="1:20" x14ac:dyDescent="0.35">
      <c r="A1924" s="3" t="str">
        <f>IF(D1924="","",(VLOOKUP($D1924,KEY!$B$5:$D$74,3,FALSE)))</f>
        <v>Arizona</v>
      </c>
      <c r="B1924" s="165">
        <f t="shared" si="19"/>
        <v>45870</v>
      </c>
      <c r="C1924" s="57" t="str">
        <f>IF($B1924="","",YEAR($B1924)&amp;"-"&amp;IFERROR(VLOOKUP(MONTH(B1924),KEY!$AE$5:$AF$16,2,FALSE),""))</f>
        <v>2025-Q3</v>
      </c>
      <c r="D1924" s="3" t="s">
        <v>160</v>
      </c>
      <c r="E1924" s="219">
        <v>48</v>
      </c>
      <c r="F1924" s="166">
        <v>384</v>
      </c>
      <c r="G1924" s="166">
        <v>380</v>
      </c>
      <c r="H1924" s="21">
        <v>678</v>
      </c>
      <c r="I1924" s="21">
        <v>144</v>
      </c>
      <c r="J1924" s="21">
        <v>240</v>
      </c>
      <c r="K1924" s="21">
        <v>53</v>
      </c>
      <c r="L1924" s="21">
        <v>514</v>
      </c>
      <c r="M1924" s="21">
        <v>249</v>
      </c>
      <c r="N1924" s="21">
        <v>390</v>
      </c>
      <c r="O1924" s="19">
        <v>484</v>
      </c>
      <c r="P1924" s="22">
        <v>9</v>
      </c>
      <c r="Q1924" s="22">
        <v>5</v>
      </c>
      <c r="R1924" s="20"/>
      <c r="S1924" s="234"/>
      <c r="T1924" s="235"/>
    </row>
    <row r="1925" spans="1:20" x14ac:dyDescent="0.35">
      <c r="A1925" s="3" t="str">
        <f>IF(D1925="","",(VLOOKUP($D1925,KEY!$B$5:$D$74,3,FALSE)))</f>
        <v>Northern California</v>
      </c>
      <c r="B1925" s="165">
        <f t="shared" si="19"/>
        <v>45870</v>
      </c>
      <c r="C1925" s="57" t="str">
        <f>IF($B1925="","",YEAR($B1925)&amp;"-"&amp;IFERROR(VLOOKUP(MONTH(B1925),KEY!$AE$5:$AF$16,2,FALSE),""))</f>
        <v>2025-Q3</v>
      </c>
      <c r="D1925" s="3" t="s">
        <v>161</v>
      </c>
      <c r="E1925" s="219">
        <v>31</v>
      </c>
      <c r="F1925" s="166">
        <v>298</v>
      </c>
      <c r="G1925" s="166">
        <v>278</v>
      </c>
      <c r="H1925" s="21">
        <v>441</v>
      </c>
      <c r="I1925" s="21">
        <v>69</v>
      </c>
      <c r="J1925" s="21">
        <v>268</v>
      </c>
      <c r="K1925" s="21">
        <v>49</v>
      </c>
      <c r="L1925" s="21">
        <v>421</v>
      </c>
      <c r="M1925" s="21">
        <v>120</v>
      </c>
      <c r="N1925" s="21">
        <v>308</v>
      </c>
      <c r="O1925" s="19">
        <v>440</v>
      </c>
      <c r="P1925" s="22">
        <v>0</v>
      </c>
      <c r="Q1925" s="22">
        <v>0</v>
      </c>
      <c r="R1925" s="20"/>
      <c r="S1925" s="234"/>
      <c r="T1925" s="235"/>
    </row>
    <row r="1926" spans="1:20" x14ac:dyDescent="0.35">
      <c r="A1926" s="3" t="str">
        <f>IF(D1926="","",(VLOOKUP($D1926,KEY!$B$5:$D$74,3,FALSE)))</f>
        <v>Arizona</v>
      </c>
      <c r="B1926" s="165">
        <f t="shared" si="19"/>
        <v>45870</v>
      </c>
      <c r="C1926" s="57" t="str">
        <f>IF($B1926="","",YEAR($B1926)&amp;"-"&amp;IFERROR(VLOOKUP(MONTH(B1926),KEY!$AE$5:$AF$16,2,FALSE),""))</f>
        <v>2025-Q3</v>
      </c>
      <c r="D1926" s="3" t="s">
        <v>163</v>
      </c>
      <c r="E1926" s="219">
        <v>61</v>
      </c>
      <c r="F1926" s="166">
        <v>311</v>
      </c>
      <c r="G1926" s="166">
        <v>245</v>
      </c>
      <c r="H1926" s="21">
        <v>516</v>
      </c>
      <c r="I1926" s="21">
        <v>86</v>
      </c>
      <c r="J1926" s="21">
        <v>179</v>
      </c>
      <c r="K1926" s="21">
        <v>45</v>
      </c>
      <c r="L1926" s="21">
        <v>405</v>
      </c>
      <c r="M1926" s="21">
        <v>178</v>
      </c>
      <c r="N1926" s="21">
        <v>314</v>
      </c>
      <c r="O1926" s="19">
        <v>418</v>
      </c>
      <c r="P1926" s="22">
        <v>2</v>
      </c>
      <c r="Q1926" s="22">
        <v>0</v>
      </c>
      <c r="R1926" s="20"/>
      <c r="S1926" s="234"/>
      <c r="T1926" s="235"/>
    </row>
    <row r="1927" spans="1:20" x14ac:dyDescent="0.35">
      <c r="A1927" s="3" t="str">
        <f>IF(D1927="","",(VLOOKUP($D1927,KEY!$B$5:$D$74,3,FALSE)))</f>
        <v>Arizona</v>
      </c>
      <c r="B1927" s="165">
        <f t="shared" si="19"/>
        <v>45870</v>
      </c>
      <c r="C1927" s="57" t="str">
        <f>IF($B1927="","",YEAR($B1927)&amp;"-"&amp;IFERROR(VLOOKUP(MONTH(B1927),KEY!$AE$5:$AF$16,2,FALSE),""))</f>
        <v>2025-Q3</v>
      </c>
      <c r="D1927" s="3" t="s">
        <v>164</v>
      </c>
      <c r="E1927" s="219">
        <v>7</v>
      </c>
      <c r="F1927" s="166">
        <v>64</v>
      </c>
      <c r="G1927" s="166">
        <v>86</v>
      </c>
      <c r="H1927" s="21">
        <v>142</v>
      </c>
      <c r="I1927" s="21">
        <v>28</v>
      </c>
      <c r="J1927" s="21">
        <v>28</v>
      </c>
      <c r="K1927" s="21">
        <v>3</v>
      </c>
      <c r="L1927" s="21">
        <v>107</v>
      </c>
      <c r="M1927" s="21">
        <v>38</v>
      </c>
      <c r="N1927" s="21">
        <v>67</v>
      </c>
      <c r="O1927" s="19">
        <v>154</v>
      </c>
      <c r="P1927" s="22">
        <v>8</v>
      </c>
      <c r="Q1927" s="22">
        <v>6</v>
      </c>
      <c r="R1927" s="20"/>
      <c r="S1927" s="234"/>
      <c r="T1927" s="235"/>
    </row>
    <row r="1928" spans="1:20" x14ac:dyDescent="0.35">
      <c r="A1928" s="3" t="str">
        <f>IF(D1928="","",(VLOOKUP($D1928,KEY!$B$5:$D$74,3,FALSE)))</f>
        <v>Orange County</v>
      </c>
      <c r="B1928" s="165">
        <f t="shared" ref="B1928:B1932" si="20">B1927</f>
        <v>45870</v>
      </c>
      <c r="C1928" s="57" t="str">
        <f>IF($B1928="","",YEAR($B1928)&amp;"-"&amp;IFERROR(VLOOKUP(MONTH(B1928),KEY!$AE$5:$AF$16,2,FALSE),""))</f>
        <v>2025-Q3</v>
      </c>
      <c r="D1928" s="3" t="s">
        <v>165</v>
      </c>
      <c r="E1928" s="219">
        <v>14</v>
      </c>
      <c r="F1928" s="166">
        <v>61</v>
      </c>
      <c r="G1928" s="166">
        <v>81</v>
      </c>
      <c r="H1928" s="21">
        <v>182</v>
      </c>
      <c r="I1928" s="21">
        <v>17</v>
      </c>
      <c r="J1928" s="21">
        <v>49</v>
      </c>
      <c r="K1928" s="21">
        <v>16</v>
      </c>
      <c r="L1928" s="21">
        <v>87</v>
      </c>
      <c r="M1928" s="21">
        <v>39</v>
      </c>
      <c r="N1928" s="21">
        <v>64</v>
      </c>
      <c r="O1928" s="19">
        <v>110</v>
      </c>
      <c r="P1928" s="22">
        <v>34</v>
      </c>
      <c r="Q1928" s="22">
        <v>13</v>
      </c>
      <c r="R1928" s="20"/>
      <c r="S1928" s="234"/>
      <c r="T1928" s="235"/>
    </row>
    <row r="1929" spans="1:20" x14ac:dyDescent="0.35">
      <c r="A1929" s="3" t="str">
        <f>IF(D1929="","",(VLOOKUP($D1929,KEY!$B$5:$D$74,3,FALSE)))</f>
        <v/>
      </c>
      <c r="B1929" s="165">
        <f t="shared" si="20"/>
        <v>45870</v>
      </c>
      <c r="C1929" s="57" t="str">
        <f>IF($B1929="","",YEAR($B1929)&amp;"-"&amp;IFERROR(VLOOKUP(MONTH(B1929),KEY!$AE$5:$AF$16,2,FALSE),""))</f>
        <v>2025-Q3</v>
      </c>
      <c r="D1929" s="3"/>
      <c r="E1929" s="219"/>
      <c r="F1929" s="166"/>
      <c r="G1929" s="166"/>
      <c r="H1929" s="21"/>
      <c r="I1929" s="21"/>
      <c r="J1929" s="21"/>
      <c r="K1929" s="21"/>
      <c r="L1929" s="21"/>
      <c r="M1929" s="21"/>
      <c r="N1929" s="21"/>
      <c r="O1929" s="19"/>
      <c r="P1929" s="22"/>
      <c r="Q1929" s="22"/>
      <c r="R1929" s="20"/>
      <c r="S1929" s="234"/>
      <c r="T1929" s="235"/>
    </row>
    <row r="1930" spans="1:20" x14ac:dyDescent="0.35">
      <c r="A1930" s="3" t="str">
        <f>IF(D1930="","",(VLOOKUP($D1930,KEY!$B$5:$D$74,3,FALSE)))</f>
        <v/>
      </c>
      <c r="B1930" s="165">
        <f t="shared" si="20"/>
        <v>45870</v>
      </c>
      <c r="C1930" s="57" t="str">
        <f>IF($B1930="","",YEAR($B1930)&amp;"-"&amp;IFERROR(VLOOKUP(MONTH(B1930),KEY!$AE$5:$AF$16,2,FALSE),""))</f>
        <v>2025-Q3</v>
      </c>
      <c r="D1930" s="3"/>
      <c r="E1930" s="219"/>
      <c r="F1930" s="166"/>
      <c r="G1930" s="166"/>
      <c r="H1930" s="21"/>
      <c r="I1930" s="21"/>
      <c r="J1930" s="21"/>
      <c r="K1930" s="21"/>
      <c r="L1930" s="21"/>
      <c r="M1930" s="21"/>
      <c r="N1930" s="21"/>
      <c r="O1930" s="19"/>
      <c r="P1930" s="22"/>
      <c r="Q1930" s="22"/>
      <c r="R1930" s="20"/>
      <c r="S1930" s="234"/>
      <c r="T1930" s="235"/>
    </row>
    <row r="1931" spans="1:20" x14ac:dyDescent="0.35">
      <c r="A1931" s="3" t="str">
        <f>IF(D1931="","",(VLOOKUP($D1931,KEY!$B$5:$D$74,3,FALSE)))</f>
        <v/>
      </c>
      <c r="B1931" s="165">
        <f t="shared" si="20"/>
        <v>45870</v>
      </c>
      <c r="C1931" s="57" t="str">
        <f>IF($B1931="","",YEAR($B1931)&amp;"-"&amp;IFERROR(VLOOKUP(MONTH(B1931),KEY!$AE$5:$AF$16,2,FALSE),""))</f>
        <v>2025-Q3</v>
      </c>
      <c r="D1931" s="3"/>
      <c r="E1931" s="219"/>
      <c r="F1931" s="166"/>
      <c r="G1931" s="166"/>
      <c r="H1931" s="21"/>
      <c r="I1931" s="21"/>
      <c r="J1931" s="21"/>
      <c r="K1931" s="21"/>
      <c r="L1931" s="21"/>
      <c r="M1931" s="21"/>
      <c r="N1931" s="21"/>
      <c r="O1931" s="19"/>
      <c r="P1931" s="22"/>
      <c r="Q1931" s="22"/>
      <c r="R1931" s="20"/>
      <c r="S1931" s="234"/>
      <c r="T1931" s="235"/>
    </row>
    <row r="1932" spans="1:20" x14ac:dyDescent="0.35">
      <c r="A1932" s="3" t="str">
        <f>IF(D1932="","",(VLOOKUP($D1932,KEY!$B$5:$D$74,3,FALSE)))</f>
        <v/>
      </c>
      <c r="B1932" s="426">
        <f t="shared" si="20"/>
        <v>45870</v>
      </c>
      <c r="C1932" s="427" t="str">
        <f>IF($B1932="","",YEAR($B1932)&amp;"-"&amp;IFERROR(VLOOKUP(MONTH(B1932),KEY!$AE$5:$AF$16,2,FALSE),""))</f>
        <v>2025-Q3</v>
      </c>
      <c r="D1932" s="428"/>
      <c r="E1932" s="429"/>
      <c r="F1932" s="430"/>
      <c r="G1932" s="430"/>
      <c r="H1932" s="431"/>
      <c r="I1932" s="431"/>
      <c r="J1932" s="431"/>
      <c r="K1932" s="431"/>
      <c r="L1932" s="431"/>
      <c r="M1932" s="431"/>
      <c r="N1932" s="431"/>
      <c r="O1932" s="432"/>
      <c r="P1932" s="433"/>
      <c r="Q1932" s="433"/>
      <c r="R1932" s="20"/>
      <c r="S1932" s="234"/>
      <c r="T1932" s="235"/>
    </row>
    <row r="1933" spans="1:20" x14ac:dyDescent="0.35">
      <c r="A1933" s="3" t="str">
        <f>IF(D1933="","",(VLOOKUP($D1933,KEY!$B$5:$D$74,3,FALSE)))</f>
        <v>Arizona</v>
      </c>
      <c r="B1933" s="165">
        <f>DATE(YEAR(B1932+31),MONTH(B1932+31),1)</f>
        <v>45901</v>
      </c>
      <c r="C1933" s="57" t="str">
        <f>IF($B1933="","",YEAR($B1933)&amp;"-"&amp;IFERROR(VLOOKUP(MONTH(B1933),KEY!$AE$5:$AF$16,2,FALSE),""))</f>
        <v>2025-Q3</v>
      </c>
      <c r="D1933" s="3" t="s">
        <v>111</v>
      </c>
      <c r="E1933" s="219">
        <v>12</v>
      </c>
      <c r="F1933" s="166">
        <v>59</v>
      </c>
      <c r="G1933" s="166">
        <v>70</v>
      </c>
      <c r="H1933" s="21">
        <v>106</v>
      </c>
      <c r="I1933" s="21">
        <v>17</v>
      </c>
      <c r="J1933" s="21">
        <v>64</v>
      </c>
      <c r="K1933" s="21">
        <v>14</v>
      </c>
      <c r="L1933" s="21">
        <v>131</v>
      </c>
      <c r="M1933" s="21">
        <v>49</v>
      </c>
      <c r="N1933" s="21">
        <v>58</v>
      </c>
      <c r="O1933" s="19">
        <v>176</v>
      </c>
      <c r="P1933" s="22">
        <v>1</v>
      </c>
      <c r="Q1933" s="22">
        <v>1</v>
      </c>
      <c r="R1933" s="20"/>
      <c r="S1933" s="234"/>
      <c r="T1933" s="235"/>
    </row>
    <row r="1934" spans="1:20" x14ac:dyDescent="0.35">
      <c r="A1934" s="3" t="str">
        <f>IF(D1934="","",(VLOOKUP($D1934,KEY!$B$5:$D$74,3,FALSE)))</f>
        <v>Southern California</v>
      </c>
      <c r="B1934" s="165">
        <f t="shared" ref="B1934:B1997" si="21">B1933</f>
        <v>45901</v>
      </c>
      <c r="C1934" s="57" t="str">
        <f>IF($B1934="","",YEAR($B1934)&amp;"-"&amp;IFERROR(VLOOKUP(MONTH(B1934),KEY!$AE$5:$AF$16,2,FALSE),""))</f>
        <v>2025-Q3</v>
      </c>
      <c r="D1934" s="3" t="s">
        <v>112</v>
      </c>
      <c r="E1934" s="219">
        <v>3</v>
      </c>
      <c r="F1934" s="166">
        <v>38</v>
      </c>
      <c r="G1934" s="166">
        <v>33</v>
      </c>
      <c r="H1934" s="21">
        <v>58</v>
      </c>
      <c r="I1934" s="21">
        <v>8</v>
      </c>
      <c r="J1934" s="21">
        <v>38</v>
      </c>
      <c r="K1934" s="21">
        <v>10</v>
      </c>
      <c r="L1934" s="21">
        <v>68</v>
      </c>
      <c r="M1934" s="21">
        <v>22</v>
      </c>
      <c r="N1934" s="21">
        <v>38</v>
      </c>
      <c r="O1934" s="19">
        <v>88</v>
      </c>
      <c r="P1934" s="22">
        <v>5</v>
      </c>
      <c r="Q1934" s="22">
        <v>4</v>
      </c>
      <c r="R1934" s="20"/>
      <c r="S1934" s="234"/>
      <c r="T1934" s="235"/>
    </row>
    <row r="1935" spans="1:20" x14ac:dyDescent="0.35">
      <c r="A1935" s="3" t="str">
        <f>IF(D1935="","",(VLOOKUP($D1935,KEY!$B$5:$D$74,3,FALSE)))</f>
        <v>Arizona</v>
      </c>
      <c r="B1935" s="165">
        <f t="shared" si="21"/>
        <v>45901</v>
      </c>
      <c r="C1935" s="57" t="str">
        <f>IF($B1935="","",YEAR($B1935)&amp;"-"&amp;IFERROR(VLOOKUP(MONTH(B1935),KEY!$AE$5:$AF$16,2,FALSE),""))</f>
        <v>2025-Q3</v>
      </c>
      <c r="D1935" s="3" t="s">
        <v>113</v>
      </c>
      <c r="E1935" s="219">
        <v>12</v>
      </c>
      <c r="F1935" s="166">
        <v>58</v>
      </c>
      <c r="G1935" s="166">
        <v>66</v>
      </c>
      <c r="H1935" s="21">
        <v>112</v>
      </c>
      <c r="I1935" s="21">
        <v>14</v>
      </c>
      <c r="J1935" s="21">
        <v>44</v>
      </c>
      <c r="K1935" s="21">
        <v>13</v>
      </c>
      <c r="L1935" s="21">
        <v>115</v>
      </c>
      <c r="M1935" s="21">
        <v>38</v>
      </c>
      <c r="N1935" s="21">
        <v>58</v>
      </c>
      <c r="O1935" s="19">
        <v>132</v>
      </c>
      <c r="P1935" s="22">
        <v>8</v>
      </c>
      <c r="Q1935" s="22">
        <v>2</v>
      </c>
      <c r="R1935" s="20"/>
      <c r="S1935" s="234"/>
      <c r="T1935" s="235"/>
    </row>
    <row r="1936" spans="1:20" x14ac:dyDescent="0.35">
      <c r="A1936" s="3" t="str">
        <f>IF(D1936="","",(VLOOKUP($D1936,KEY!$B$5:$D$74,3,FALSE)))</f>
        <v>Southern California</v>
      </c>
      <c r="B1936" s="165">
        <f t="shared" si="21"/>
        <v>45901</v>
      </c>
      <c r="C1936" s="57" t="str">
        <f>IF($B1936="","",YEAR($B1936)&amp;"-"&amp;IFERROR(VLOOKUP(MONTH(B1936),KEY!$AE$5:$AF$16,2,FALSE),""))</f>
        <v>2025-Q3</v>
      </c>
      <c r="D1936" s="3" t="s">
        <v>114</v>
      </c>
      <c r="E1936" s="219">
        <v>15</v>
      </c>
      <c r="F1936" s="166">
        <v>54</v>
      </c>
      <c r="G1936" s="166">
        <v>50</v>
      </c>
      <c r="H1936" s="21">
        <v>101</v>
      </c>
      <c r="I1936" s="21">
        <v>17</v>
      </c>
      <c r="J1936" s="21">
        <v>44</v>
      </c>
      <c r="K1936" s="21">
        <v>13</v>
      </c>
      <c r="L1936" s="21">
        <v>61</v>
      </c>
      <c r="M1936" s="21">
        <v>27</v>
      </c>
      <c r="N1936" s="21">
        <v>56</v>
      </c>
      <c r="O1936" s="19">
        <v>110</v>
      </c>
      <c r="P1936" s="22">
        <v>7</v>
      </c>
      <c r="Q1936" s="22">
        <v>6</v>
      </c>
      <c r="R1936" s="20"/>
      <c r="S1936" s="234"/>
      <c r="T1936" s="235"/>
    </row>
    <row r="1937" spans="1:20" x14ac:dyDescent="0.35">
      <c r="A1937" s="3" t="str">
        <f>IF(D1937="","",(VLOOKUP($D1937,KEY!$B$5:$D$74,3,FALSE)))</f>
        <v>Orange County</v>
      </c>
      <c r="B1937" s="165">
        <f t="shared" si="21"/>
        <v>45901</v>
      </c>
      <c r="C1937" s="57" t="str">
        <f>IF($B1937="","",YEAR($B1937)&amp;"-"&amp;IFERROR(VLOOKUP(MONTH(B1937),KEY!$AE$5:$AF$16,2,FALSE),""))</f>
        <v>2025-Q3</v>
      </c>
      <c r="D1937" s="3" t="s">
        <v>115</v>
      </c>
      <c r="E1937" s="219">
        <v>5</v>
      </c>
      <c r="F1937" s="166">
        <v>55</v>
      </c>
      <c r="G1937" s="166">
        <v>45</v>
      </c>
      <c r="H1937" s="21">
        <v>90</v>
      </c>
      <c r="I1937" s="21">
        <v>20</v>
      </c>
      <c r="J1937" s="21">
        <v>42</v>
      </c>
      <c r="K1937" s="21">
        <v>14</v>
      </c>
      <c r="L1937" s="21">
        <v>108</v>
      </c>
      <c r="M1937" s="21">
        <v>43</v>
      </c>
      <c r="N1937" s="21">
        <v>58</v>
      </c>
      <c r="O1937" s="19">
        <v>110</v>
      </c>
      <c r="P1937" s="22">
        <v>5</v>
      </c>
      <c r="Q1937" s="22">
        <v>2</v>
      </c>
      <c r="R1937" s="20"/>
      <c r="S1937" s="234"/>
      <c r="T1937" s="235"/>
    </row>
    <row r="1938" spans="1:20" x14ac:dyDescent="0.35">
      <c r="A1938" s="3" t="str">
        <f>IF(D1938="","",(VLOOKUP($D1938,KEY!$B$5:$D$74,3,FALSE)))</f>
        <v>Arizona</v>
      </c>
      <c r="B1938" s="165">
        <f t="shared" si="21"/>
        <v>45901</v>
      </c>
      <c r="C1938" s="57" t="str">
        <f>IF($B1938="","",YEAR($B1938)&amp;"-"&amp;IFERROR(VLOOKUP(MONTH(B1938),KEY!$AE$5:$AF$16,2,FALSE),""))</f>
        <v>2025-Q3</v>
      </c>
      <c r="D1938" s="3" t="s">
        <v>116</v>
      </c>
      <c r="E1938" s="219">
        <v>17</v>
      </c>
      <c r="F1938" s="166">
        <v>101</v>
      </c>
      <c r="G1938" s="166">
        <v>100</v>
      </c>
      <c r="H1938" s="21">
        <v>181</v>
      </c>
      <c r="I1938" s="21">
        <v>23</v>
      </c>
      <c r="J1938" s="21">
        <v>100</v>
      </c>
      <c r="K1938" s="21">
        <v>16</v>
      </c>
      <c r="L1938" s="21">
        <v>168</v>
      </c>
      <c r="M1938" s="21">
        <v>67</v>
      </c>
      <c r="N1938" s="21">
        <v>109</v>
      </c>
      <c r="O1938" s="19">
        <v>220</v>
      </c>
      <c r="P1938" s="22">
        <v>7</v>
      </c>
      <c r="Q1938" s="22">
        <v>0</v>
      </c>
      <c r="R1938" s="20"/>
      <c r="S1938" s="234"/>
      <c r="T1938" s="235"/>
    </row>
    <row r="1939" spans="1:20" x14ac:dyDescent="0.35">
      <c r="A1939" s="3" t="str">
        <f>IF(D1939="","",(VLOOKUP($D1939,KEY!$B$5:$D$74,3,FALSE)))</f>
        <v>Northern California</v>
      </c>
      <c r="B1939" s="165">
        <f t="shared" si="21"/>
        <v>45901</v>
      </c>
      <c r="C1939" s="57" t="str">
        <f>IF($B1939="","",YEAR($B1939)&amp;"-"&amp;IFERROR(VLOOKUP(MONTH(B1939),KEY!$AE$5:$AF$16,2,FALSE),""))</f>
        <v>2025-Q3</v>
      </c>
      <c r="D1939" s="3" t="s">
        <v>118</v>
      </c>
      <c r="E1939" s="219">
        <v>23</v>
      </c>
      <c r="F1939" s="166">
        <v>194</v>
      </c>
      <c r="G1939" s="166">
        <v>184</v>
      </c>
      <c r="H1939" s="21">
        <v>333</v>
      </c>
      <c r="I1939" s="21">
        <v>46</v>
      </c>
      <c r="J1939" s="21">
        <v>249</v>
      </c>
      <c r="K1939" s="21">
        <v>53</v>
      </c>
      <c r="L1939" s="21">
        <v>339</v>
      </c>
      <c r="M1939" s="21">
        <v>118</v>
      </c>
      <c r="N1939" s="21">
        <v>197</v>
      </c>
      <c r="O1939" s="19">
        <v>242</v>
      </c>
      <c r="P1939" s="22">
        <v>31</v>
      </c>
      <c r="Q1939" s="22">
        <v>20</v>
      </c>
      <c r="R1939" s="20"/>
      <c r="S1939" s="234"/>
      <c r="T1939" s="235"/>
    </row>
    <row r="1940" spans="1:20" x14ac:dyDescent="0.35">
      <c r="A1940" s="3" t="str">
        <f>IF(D1940="","",(VLOOKUP($D1940,KEY!$B$5:$D$74,3,FALSE)))</f>
        <v>Orange County</v>
      </c>
      <c r="B1940" s="165">
        <f t="shared" si="21"/>
        <v>45901</v>
      </c>
      <c r="C1940" s="57" t="str">
        <f>IF($B1940="","",YEAR($B1940)&amp;"-"&amp;IFERROR(VLOOKUP(MONTH(B1940),KEY!$AE$5:$AF$16,2,FALSE),""))</f>
        <v>2025-Q3</v>
      </c>
      <c r="D1940" s="3" t="s">
        <v>117</v>
      </c>
      <c r="E1940" s="219">
        <v>15</v>
      </c>
      <c r="F1940" s="166">
        <v>74</v>
      </c>
      <c r="G1940" s="166">
        <v>84</v>
      </c>
      <c r="H1940" s="21">
        <v>100</v>
      </c>
      <c r="I1940" s="21">
        <v>17</v>
      </c>
      <c r="J1940" s="21">
        <v>74</v>
      </c>
      <c r="K1940" s="21">
        <v>16</v>
      </c>
      <c r="L1940" s="21">
        <v>131</v>
      </c>
      <c r="M1940" s="21">
        <v>50</v>
      </c>
      <c r="N1940" s="21">
        <v>74</v>
      </c>
      <c r="O1940" s="19">
        <v>132</v>
      </c>
      <c r="P1940" s="22">
        <v>26</v>
      </c>
      <c r="Q1940" s="22">
        <v>13</v>
      </c>
      <c r="R1940" s="20"/>
      <c r="S1940" s="234"/>
      <c r="T1940" s="235"/>
    </row>
    <row r="1941" spans="1:20" x14ac:dyDescent="0.35">
      <c r="A1941" s="3" t="str">
        <f>IF(D1941="","",(VLOOKUP($D1941,KEY!$B$5:$D$74,3,FALSE)))</f>
        <v>Arizona</v>
      </c>
      <c r="B1941" s="165">
        <f t="shared" si="21"/>
        <v>45901</v>
      </c>
      <c r="C1941" s="57" t="str">
        <f>IF($B1941="","",YEAR($B1941)&amp;"-"&amp;IFERROR(VLOOKUP(MONTH(B1941),KEY!$AE$5:$AF$16,2,FALSE),""))</f>
        <v>2025-Q3</v>
      </c>
      <c r="D1941" s="3" t="s">
        <v>119</v>
      </c>
      <c r="E1941" s="219">
        <v>8</v>
      </c>
      <c r="F1941" s="166">
        <v>21</v>
      </c>
      <c r="G1941" s="166">
        <v>19</v>
      </c>
      <c r="H1941" s="21">
        <v>16</v>
      </c>
      <c r="I1941" s="21">
        <v>6</v>
      </c>
      <c r="J1941" s="21">
        <v>11</v>
      </c>
      <c r="K1941" s="21">
        <v>5</v>
      </c>
      <c r="L1941" s="21">
        <v>120</v>
      </c>
      <c r="M1941" s="21">
        <v>13</v>
      </c>
      <c r="N1941" s="21">
        <v>20</v>
      </c>
      <c r="O1941" s="19">
        <v>48</v>
      </c>
      <c r="P1941" s="22">
        <v>0</v>
      </c>
      <c r="Q1941" s="22">
        <v>0</v>
      </c>
      <c r="R1941" s="20"/>
      <c r="S1941" s="234"/>
      <c r="T1941" s="235"/>
    </row>
    <row r="1942" spans="1:20" x14ac:dyDescent="0.35">
      <c r="A1942" s="3" t="str">
        <f>IF(D1942="","",(VLOOKUP($D1942,KEY!$B$5:$D$74,3,FALSE)))</f>
        <v/>
      </c>
      <c r="B1942" s="165">
        <f t="shared" si="21"/>
        <v>45901</v>
      </c>
      <c r="C1942" s="57" t="str">
        <f>IF($B1942="","",YEAR($B1942)&amp;"-"&amp;IFERROR(VLOOKUP(MONTH(B1942),KEY!$AE$5:$AF$16,2,FALSE),""))</f>
        <v>2025-Q3</v>
      </c>
      <c r="D1942" s="3"/>
      <c r="E1942" s="219"/>
      <c r="F1942" s="166"/>
      <c r="G1942" s="166"/>
      <c r="H1942" s="21"/>
      <c r="I1942" s="21"/>
      <c r="J1942" s="21"/>
      <c r="K1942" s="21"/>
      <c r="L1942" s="21"/>
      <c r="M1942" s="21"/>
      <c r="N1942" s="21"/>
      <c r="O1942" s="19"/>
      <c r="P1942" s="22"/>
      <c r="Q1942" s="22"/>
      <c r="R1942" s="20"/>
      <c r="S1942" s="234"/>
      <c r="T1942" s="235"/>
    </row>
    <row r="1943" spans="1:20" x14ac:dyDescent="0.35">
      <c r="A1943" s="3" t="str">
        <f>IF(D1943="","",(VLOOKUP($D1943,KEY!$B$5:$D$74,3,FALSE)))</f>
        <v>Arizona</v>
      </c>
      <c r="B1943" s="165">
        <f t="shared" si="21"/>
        <v>45901</v>
      </c>
      <c r="C1943" s="57" t="str">
        <f>IF($B1943="","",YEAR($B1943)&amp;"-"&amp;IFERROR(VLOOKUP(MONTH(B1943),KEY!$AE$5:$AF$16,2,FALSE),""))</f>
        <v>2025-Q3</v>
      </c>
      <c r="D1943" s="3" t="s">
        <v>120</v>
      </c>
      <c r="E1943" s="219">
        <v>41</v>
      </c>
      <c r="F1943" s="166">
        <v>289</v>
      </c>
      <c r="G1943" s="166">
        <v>298</v>
      </c>
      <c r="H1943" s="21">
        <v>610</v>
      </c>
      <c r="I1943" s="21">
        <v>72</v>
      </c>
      <c r="J1943" s="21">
        <v>271</v>
      </c>
      <c r="K1943" s="21">
        <v>44</v>
      </c>
      <c r="L1943" s="21">
        <v>478</v>
      </c>
      <c r="M1943" s="21">
        <v>179</v>
      </c>
      <c r="N1943" s="21">
        <v>290</v>
      </c>
      <c r="O1943" s="19">
        <v>528</v>
      </c>
      <c r="P1943" s="22">
        <v>56</v>
      </c>
      <c r="Q1943" s="22">
        <v>31</v>
      </c>
      <c r="R1943" s="20"/>
      <c r="S1943" s="234"/>
      <c r="T1943" s="235"/>
    </row>
    <row r="1944" spans="1:20" x14ac:dyDescent="0.35">
      <c r="A1944" s="3" t="str">
        <f>IF(D1944="","",(VLOOKUP($D1944,KEY!$B$5:$D$74,3,FALSE)))</f>
        <v>Texas</v>
      </c>
      <c r="B1944" s="165">
        <f t="shared" si="21"/>
        <v>45901</v>
      </c>
      <c r="C1944" s="57" t="str">
        <f>IF($B1944="","",YEAR($B1944)&amp;"-"&amp;IFERROR(VLOOKUP(MONTH(B1944),KEY!$AE$5:$AF$16,2,FALSE),""))</f>
        <v>2025-Q3</v>
      </c>
      <c r="D1944" s="3" t="s">
        <v>121</v>
      </c>
      <c r="E1944" s="219">
        <v>36</v>
      </c>
      <c r="F1944" s="166">
        <v>224</v>
      </c>
      <c r="G1944" s="166">
        <v>221</v>
      </c>
      <c r="H1944" s="21">
        <v>457</v>
      </c>
      <c r="I1944" s="21">
        <v>78</v>
      </c>
      <c r="J1944" s="21">
        <v>201</v>
      </c>
      <c r="K1944" s="21">
        <v>34</v>
      </c>
      <c r="L1944" s="21">
        <v>414</v>
      </c>
      <c r="M1944" s="21">
        <v>115</v>
      </c>
      <c r="N1944" s="21">
        <v>224</v>
      </c>
      <c r="O1944" s="19">
        <v>506</v>
      </c>
      <c r="P1944" s="22">
        <v>24</v>
      </c>
      <c r="Q1944" s="22">
        <v>20</v>
      </c>
      <c r="R1944" s="20"/>
      <c r="S1944" s="234"/>
      <c r="T1944" s="235"/>
    </row>
    <row r="1945" spans="1:20" x14ac:dyDescent="0.35">
      <c r="A1945" s="3" t="str">
        <f>IF(D1945="","",(VLOOKUP($D1945,KEY!$B$5:$D$74,3,FALSE)))</f>
        <v>Michigan &amp; Minnesota</v>
      </c>
      <c r="B1945" s="165">
        <f t="shared" si="21"/>
        <v>45901</v>
      </c>
      <c r="C1945" s="57" t="str">
        <f>IF($B1945="","",YEAR($B1945)&amp;"-"&amp;IFERROR(VLOOKUP(MONTH(B1945),KEY!$AE$5:$AF$16,2,FALSE),""))</f>
        <v>2025-Q3</v>
      </c>
      <c r="D1945" s="3" t="s">
        <v>200</v>
      </c>
      <c r="E1945" s="219">
        <v>8</v>
      </c>
      <c r="F1945" s="166">
        <v>148</v>
      </c>
      <c r="G1945" s="166">
        <v>114</v>
      </c>
      <c r="H1945" s="21">
        <v>350</v>
      </c>
      <c r="I1945" s="21">
        <v>30</v>
      </c>
      <c r="J1945" s="21">
        <v>193</v>
      </c>
      <c r="K1945" s="21">
        <v>37</v>
      </c>
      <c r="L1945" s="21">
        <v>229</v>
      </c>
      <c r="M1945" s="21">
        <v>80</v>
      </c>
      <c r="N1945" s="21">
        <v>148</v>
      </c>
      <c r="O1945" s="19">
        <v>242</v>
      </c>
      <c r="P1945" s="22">
        <v>15</v>
      </c>
      <c r="Q1945" s="22">
        <v>1</v>
      </c>
      <c r="R1945" s="20"/>
      <c r="S1945" s="234"/>
      <c r="T1945" s="235"/>
    </row>
    <row r="1946" spans="1:20" x14ac:dyDescent="0.35">
      <c r="A1946" s="3" t="str">
        <f>IF(D1946="","",(VLOOKUP($D1946,KEY!$B$5:$D$74,3,FALSE)))</f>
        <v>Southern California</v>
      </c>
      <c r="B1946" s="165">
        <f t="shared" si="21"/>
        <v>45901</v>
      </c>
      <c r="C1946" s="57" t="str">
        <f>IF($B1946="","",YEAR($B1946)&amp;"-"&amp;IFERROR(VLOOKUP(MONTH(B1946),KEY!$AE$5:$AF$16,2,FALSE),""))</f>
        <v>2025-Q3</v>
      </c>
      <c r="D1946" s="3" t="s">
        <v>122</v>
      </c>
      <c r="E1946" s="219">
        <v>25</v>
      </c>
      <c r="F1946" s="166">
        <v>98</v>
      </c>
      <c r="G1946" s="166">
        <v>64</v>
      </c>
      <c r="H1946" s="21">
        <v>282</v>
      </c>
      <c r="I1946" s="21">
        <v>31</v>
      </c>
      <c r="J1946" s="21">
        <v>106</v>
      </c>
      <c r="K1946" s="21">
        <v>18</v>
      </c>
      <c r="L1946" s="21">
        <v>164</v>
      </c>
      <c r="M1946" s="21">
        <v>69</v>
      </c>
      <c r="N1946" s="21">
        <v>99</v>
      </c>
      <c r="O1946" s="19">
        <v>176</v>
      </c>
      <c r="P1946" s="22">
        <v>7</v>
      </c>
      <c r="Q1946" s="22">
        <v>4</v>
      </c>
      <c r="R1946" s="20"/>
      <c r="S1946" s="234"/>
      <c r="T1946" s="235"/>
    </row>
    <row r="1947" spans="1:20" x14ac:dyDescent="0.35">
      <c r="A1947" s="3" t="str">
        <f>IF(D1947="","",(VLOOKUP($D1947,KEY!$B$5:$D$74,3,FALSE)))</f>
        <v>Orange County</v>
      </c>
      <c r="B1947" s="165">
        <f t="shared" si="21"/>
        <v>45901</v>
      </c>
      <c r="C1947" s="57" t="str">
        <f>IF($B1947="","",YEAR($B1947)&amp;"-"&amp;IFERROR(VLOOKUP(MONTH(B1947),KEY!$AE$5:$AF$16,2,FALSE),""))</f>
        <v>2025-Q3</v>
      </c>
      <c r="D1947" s="3" t="s">
        <v>123</v>
      </c>
      <c r="E1947" s="219">
        <v>59</v>
      </c>
      <c r="F1947" s="166">
        <v>301</v>
      </c>
      <c r="G1947" s="166">
        <v>236</v>
      </c>
      <c r="H1947" s="21">
        <v>400</v>
      </c>
      <c r="I1947" s="21">
        <v>63</v>
      </c>
      <c r="J1947" s="21">
        <v>229</v>
      </c>
      <c r="K1947" s="21">
        <v>45</v>
      </c>
      <c r="L1947" s="21">
        <v>446</v>
      </c>
      <c r="M1947" s="21">
        <v>215</v>
      </c>
      <c r="N1947" s="21">
        <v>280</v>
      </c>
      <c r="O1947" s="19">
        <v>374</v>
      </c>
      <c r="P1947" s="22">
        <v>12</v>
      </c>
      <c r="Q1947" s="22">
        <v>9</v>
      </c>
      <c r="R1947" s="20"/>
      <c r="S1947" s="234"/>
      <c r="T1947" s="235"/>
    </row>
    <row r="1948" spans="1:20" x14ac:dyDescent="0.35">
      <c r="A1948" s="3" t="str">
        <f>IF(D1948="","",(VLOOKUP($D1948,KEY!$B$5:$D$74,3,FALSE)))</f>
        <v>Southern California</v>
      </c>
      <c r="B1948" s="165">
        <f t="shared" si="21"/>
        <v>45901</v>
      </c>
      <c r="C1948" s="57" t="str">
        <f>IF($B1948="","",YEAR($B1948)&amp;"-"&amp;IFERROR(VLOOKUP(MONTH(B1948),KEY!$AE$5:$AF$16,2,FALSE),""))</f>
        <v>2025-Q3</v>
      </c>
      <c r="D1948" s="3" t="s">
        <v>124</v>
      </c>
      <c r="E1948" s="219">
        <v>36</v>
      </c>
      <c r="F1948" s="166">
        <v>236</v>
      </c>
      <c r="G1948" s="166">
        <v>214</v>
      </c>
      <c r="H1948" s="21">
        <v>313</v>
      </c>
      <c r="I1948" s="21">
        <v>55</v>
      </c>
      <c r="J1948" s="21">
        <v>246</v>
      </c>
      <c r="K1948" s="21">
        <v>56</v>
      </c>
      <c r="L1948" s="21">
        <v>383</v>
      </c>
      <c r="M1948" s="21">
        <v>125</v>
      </c>
      <c r="N1948" s="21">
        <v>237</v>
      </c>
      <c r="O1948" s="19">
        <v>506</v>
      </c>
      <c r="P1948" s="22">
        <v>43</v>
      </c>
      <c r="Q1948" s="22">
        <v>30</v>
      </c>
      <c r="R1948" s="20"/>
      <c r="S1948" s="234"/>
      <c r="T1948" s="235"/>
    </row>
    <row r="1949" spans="1:20" x14ac:dyDescent="0.35">
      <c r="A1949" s="3" t="str">
        <f>IF(D1949="","",(VLOOKUP($D1949,KEY!$B$5:$D$74,3,FALSE)))</f>
        <v>Northern California</v>
      </c>
      <c r="B1949" s="165">
        <f t="shared" si="21"/>
        <v>45901</v>
      </c>
      <c r="C1949" s="57" t="str">
        <f>IF($B1949="","",YEAR($B1949)&amp;"-"&amp;IFERROR(VLOOKUP(MONTH(B1949),KEY!$AE$5:$AF$16,2,FALSE),""))</f>
        <v>2025-Q3</v>
      </c>
      <c r="D1949" s="3" t="s">
        <v>195</v>
      </c>
      <c r="E1949" s="219">
        <v>4</v>
      </c>
      <c r="F1949" s="166">
        <v>39</v>
      </c>
      <c r="G1949" s="166">
        <v>51</v>
      </c>
      <c r="H1949" s="21">
        <v>71</v>
      </c>
      <c r="I1949" s="21">
        <v>10</v>
      </c>
      <c r="J1949" s="21">
        <v>31</v>
      </c>
      <c r="K1949" s="21">
        <v>12</v>
      </c>
      <c r="L1949" s="21">
        <v>117</v>
      </c>
      <c r="M1949" s="21">
        <v>25</v>
      </c>
      <c r="N1949" s="21">
        <v>40</v>
      </c>
      <c r="O1949" s="19">
        <v>110</v>
      </c>
      <c r="P1949" s="22">
        <v>3</v>
      </c>
      <c r="Q1949" s="22">
        <v>3</v>
      </c>
      <c r="R1949" s="20"/>
      <c r="S1949" s="234"/>
      <c r="T1949" s="235"/>
    </row>
    <row r="1950" spans="1:20" x14ac:dyDescent="0.35">
      <c r="A1950" s="3" t="str">
        <f>IF(D1950="","",(VLOOKUP($D1950,KEY!$B$5:$D$74,3,FALSE)))</f>
        <v>Northern California</v>
      </c>
      <c r="B1950" s="165">
        <f t="shared" si="21"/>
        <v>45901</v>
      </c>
      <c r="C1950" s="57" t="str">
        <f>IF($B1950="","",YEAR($B1950)&amp;"-"&amp;IFERROR(VLOOKUP(MONTH(B1950),KEY!$AE$5:$AF$16,2,FALSE),""))</f>
        <v>2025-Q3</v>
      </c>
      <c r="D1950" s="3" t="s">
        <v>125</v>
      </c>
      <c r="E1950" s="219">
        <v>21</v>
      </c>
      <c r="F1950" s="166">
        <v>241</v>
      </c>
      <c r="G1950" s="166">
        <v>237</v>
      </c>
      <c r="H1950" s="21">
        <v>568</v>
      </c>
      <c r="I1950" s="21">
        <v>54</v>
      </c>
      <c r="J1950" s="21">
        <v>328</v>
      </c>
      <c r="K1950" s="21">
        <v>47</v>
      </c>
      <c r="L1950" s="21">
        <v>381</v>
      </c>
      <c r="M1950" s="21">
        <v>93</v>
      </c>
      <c r="N1950" s="21">
        <v>244</v>
      </c>
      <c r="O1950" s="19">
        <v>506</v>
      </c>
      <c r="P1950" s="22">
        <v>42</v>
      </c>
      <c r="Q1950" s="22">
        <v>26</v>
      </c>
      <c r="R1950" s="20"/>
      <c r="S1950" s="234"/>
      <c r="T1950" s="235"/>
    </row>
    <row r="1951" spans="1:20" x14ac:dyDescent="0.35">
      <c r="A1951" s="3" t="str">
        <f>IF(D1951="","",(VLOOKUP($D1951,KEY!$B$5:$D$74,3,FALSE)))</f>
        <v>Orange County</v>
      </c>
      <c r="B1951" s="165">
        <f t="shared" si="21"/>
        <v>45901</v>
      </c>
      <c r="C1951" s="57" t="str">
        <f>IF($B1951="","",YEAR($B1951)&amp;"-"&amp;IFERROR(VLOOKUP(MONTH(B1951),KEY!$AE$5:$AF$16,2,FALSE),""))</f>
        <v>2025-Q3</v>
      </c>
      <c r="D1951" s="3" t="s">
        <v>126</v>
      </c>
      <c r="E1951" s="219">
        <v>73</v>
      </c>
      <c r="F1951" s="166">
        <v>501</v>
      </c>
      <c r="G1951" s="166">
        <v>374</v>
      </c>
      <c r="H1951" s="21">
        <v>742</v>
      </c>
      <c r="I1951" s="21">
        <v>136</v>
      </c>
      <c r="J1951" s="21">
        <v>425</v>
      </c>
      <c r="K1951" s="21">
        <v>131</v>
      </c>
      <c r="L1951" s="21">
        <v>755</v>
      </c>
      <c r="M1951" s="21">
        <v>323</v>
      </c>
      <c r="N1951" s="21">
        <v>504</v>
      </c>
      <c r="O1951" s="19">
        <v>616</v>
      </c>
      <c r="P1951" s="22">
        <v>78</v>
      </c>
      <c r="Q1951" s="22">
        <v>54</v>
      </c>
      <c r="R1951" s="20"/>
      <c r="S1951" s="234"/>
      <c r="T1951" s="235"/>
    </row>
    <row r="1952" spans="1:20" x14ac:dyDescent="0.35">
      <c r="A1952" s="3" t="str">
        <f>IF(D1952="","",(VLOOKUP($D1952,KEY!$B$5:$D$74,3,FALSE)))</f>
        <v>Orange County</v>
      </c>
      <c r="B1952" s="165">
        <f t="shared" si="21"/>
        <v>45901</v>
      </c>
      <c r="C1952" s="57" t="str">
        <f>IF($B1952="","",YEAR($B1952)&amp;"-"&amp;IFERROR(VLOOKUP(MONTH(B1952),KEY!$AE$5:$AF$16,2,FALSE),""))</f>
        <v>2025-Q3</v>
      </c>
      <c r="D1952" s="3" t="s">
        <v>127</v>
      </c>
      <c r="E1952" s="219">
        <v>6</v>
      </c>
      <c r="F1952" s="166">
        <v>45</v>
      </c>
      <c r="G1952" s="166">
        <v>36</v>
      </c>
      <c r="H1952" s="21">
        <v>71</v>
      </c>
      <c r="I1952" s="21">
        <v>7</v>
      </c>
      <c r="J1952" s="21">
        <v>23</v>
      </c>
      <c r="K1952" s="21">
        <v>10</v>
      </c>
      <c r="L1952" s="21">
        <v>45</v>
      </c>
      <c r="M1952" s="21">
        <v>31</v>
      </c>
      <c r="N1952" s="21">
        <v>46</v>
      </c>
      <c r="O1952" s="19">
        <v>55</v>
      </c>
      <c r="P1952" s="22">
        <v>3</v>
      </c>
      <c r="Q1952" s="22">
        <v>0</v>
      </c>
      <c r="R1952" s="20"/>
      <c r="S1952" s="234"/>
      <c r="T1952" s="235"/>
    </row>
    <row r="1953" spans="1:20" x14ac:dyDescent="0.35">
      <c r="A1953" s="3" t="str">
        <f>IF(D1953="","",(VLOOKUP($D1953,KEY!$B$5:$D$74,3,FALSE)))</f>
        <v>Wisconsin</v>
      </c>
      <c r="B1953" s="165">
        <f t="shared" si="21"/>
        <v>45901</v>
      </c>
      <c r="C1953" s="57" t="str">
        <f>IF($B1953="","",YEAR($B1953)&amp;"-"&amp;IFERROR(VLOOKUP(MONTH(B1953),KEY!$AE$5:$AF$16,2,FALSE),""))</f>
        <v>2025-Q3</v>
      </c>
      <c r="D1953" s="3" t="s">
        <v>201</v>
      </c>
      <c r="E1953" s="219">
        <v>25</v>
      </c>
      <c r="F1953" s="166">
        <v>216</v>
      </c>
      <c r="G1953" s="166">
        <v>221</v>
      </c>
      <c r="H1953" s="21">
        <v>347</v>
      </c>
      <c r="I1953" s="21">
        <v>55</v>
      </c>
      <c r="J1953" s="21">
        <v>152</v>
      </c>
      <c r="K1953" s="21">
        <v>31</v>
      </c>
      <c r="L1953" s="21">
        <v>229</v>
      </c>
      <c r="M1953" s="21">
        <v>90</v>
      </c>
      <c r="N1953" s="21">
        <v>216</v>
      </c>
      <c r="O1953" s="19">
        <v>308</v>
      </c>
      <c r="P1953" s="22">
        <v>6</v>
      </c>
      <c r="Q1953" s="22">
        <v>6</v>
      </c>
      <c r="R1953" s="20"/>
      <c r="S1953" s="234"/>
      <c r="T1953" s="235"/>
    </row>
    <row r="1954" spans="1:20" x14ac:dyDescent="0.35">
      <c r="A1954" s="3" t="e">
        <f>IF(D1954="","",(VLOOKUP($D1954,KEY!$B$5:$D$74,3,FALSE)))</f>
        <v>#N/A</v>
      </c>
      <c r="B1954" s="165">
        <f t="shared" si="21"/>
        <v>45901</v>
      </c>
      <c r="C1954" s="57" t="str">
        <f>IF($B1954="","",YEAR($B1954)&amp;"-"&amp;IFERROR(VLOOKUP(MONTH(B1954),KEY!$AE$5:$AF$16,2,FALSE),""))</f>
        <v>2025-Q3</v>
      </c>
      <c r="D1954" s="3" t="s">
        <v>202</v>
      </c>
      <c r="E1954" s="219">
        <v>0</v>
      </c>
      <c r="F1954" s="166">
        <v>38</v>
      </c>
      <c r="G1954" s="166">
        <v>31</v>
      </c>
      <c r="H1954" s="21">
        <v>71</v>
      </c>
      <c r="I1954" s="21">
        <v>12</v>
      </c>
      <c r="J1954" s="21">
        <v>43</v>
      </c>
      <c r="K1954" s="21">
        <v>9</v>
      </c>
      <c r="L1954" s="21">
        <v>41</v>
      </c>
      <c r="M1954" s="21">
        <v>24</v>
      </c>
      <c r="N1954" s="21">
        <v>39</v>
      </c>
      <c r="O1954" s="19">
        <v>66</v>
      </c>
      <c r="P1954" s="22">
        <v>2</v>
      </c>
      <c r="Q1954" s="22">
        <v>0</v>
      </c>
      <c r="R1954" s="20"/>
      <c r="S1954" s="234"/>
      <c r="T1954" s="235"/>
    </row>
    <row r="1955" spans="1:20" x14ac:dyDescent="0.35">
      <c r="A1955" s="3" t="str">
        <f>IF(D1955="","",(VLOOKUP($D1955,KEY!$B$5:$D$74,3,FALSE)))</f>
        <v>Texas</v>
      </c>
      <c r="B1955" s="165">
        <f t="shared" si="21"/>
        <v>45901</v>
      </c>
      <c r="C1955" s="57" t="str">
        <f>IF($B1955="","",YEAR($B1955)&amp;"-"&amp;IFERROR(VLOOKUP(MONTH(B1955),KEY!$AE$5:$AF$16,2,FALSE),""))</f>
        <v>2025-Q3</v>
      </c>
      <c r="D1955" s="3" t="s">
        <v>198</v>
      </c>
      <c r="E1955" s="219">
        <v>2</v>
      </c>
      <c r="F1955" s="166">
        <v>57</v>
      </c>
      <c r="G1955" s="166">
        <v>54</v>
      </c>
      <c r="H1955" s="21">
        <v>222</v>
      </c>
      <c r="I1955" s="21">
        <v>13</v>
      </c>
      <c r="J1955" s="21">
        <v>71</v>
      </c>
      <c r="K1955" s="21">
        <v>7</v>
      </c>
      <c r="L1955" s="21">
        <v>59</v>
      </c>
      <c r="M1955" s="21">
        <v>22</v>
      </c>
      <c r="N1955" s="21">
        <v>58</v>
      </c>
      <c r="O1955" s="19">
        <v>154</v>
      </c>
      <c r="P1955" s="22">
        <v>0</v>
      </c>
      <c r="Q1955" s="22">
        <v>0</v>
      </c>
      <c r="R1955" s="20"/>
      <c r="S1955" s="234"/>
      <c r="T1955" s="235"/>
    </row>
    <row r="1956" spans="1:20" x14ac:dyDescent="0.35">
      <c r="A1956" s="3" t="str">
        <f>IF(D1956="","",(VLOOKUP($D1956,KEY!$B$5:$D$74,3,FALSE)))</f>
        <v>Texas</v>
      </c>
      <c r="B1956" s="165">
        <f t="shared" si="21"/>
        <v>45901</v>
      </c>
      <c r="C1956" s="57" t="str">
        <f>IF($B1956="","",YEAR($B1956)&amp;"-"&amp;IFERROR(VLOOKUP(MONTH(B1956),KEY!$AE$5:$AF$16,2,FALSE),""))</f>
        <v>2025-Q3</v>
      </c>
      <c r="D1956" s="3" t="s">
        <v>128</v>
      </c>
      <c r="E1956" s="219">
        <v>35</v>
      </c>
      <c r="F1956" s="166">
        <v>237</v>
      </c>
      <c r="G1956" s="166">
        <v>209</v>
      </c>
      <c r="H1956" s="21">
        <v>616</v>
      </c>
      <c r="I1956" s="21">
        <v>81</v>
      </c>
      <c r="J1956" s="21">
        <v>185</v>
      </c>
      <c r="K1956" s="21">
        <v>43</v>
      </c>
      <c r="L1956" s="21">
        <v>377</v>
      </c>
      <c r="M1956" s="21">
        <v>118</v>
      </c>
      <c r="N1956" s="21">
        <v>236</v>
      </c>
      <c r="O1956" s="19">
        <v>286</v>
      </c>
      <c r="P1956" s="22">
        <v>14</v>
      </c>
      <c r="Q1956" s="22">
        <v>6</v>
      </c>
      <c r="R1956" s="20"/>
      <c r="S1956" s="234"/>
      <c r="T1956" s="235"/>
    </row>
    <row r="1957" spans="1:20" x14ac:dyDescent="0.35">
      <c r="A1957" s="3" t="str">
        <f>IF(D1957="","",(VLOOKUP($D1957,KEY!$B$5:$D$74,3,FALSE)))</f>
        <v>Northern California</v>
      </c>
      <c r="B1957" s="165">
        <f t="shared" si="21"/>
        <v>45901</v>
      </c>
      <c r="C1957" s="57" t="str">
        <f>IF($B1957="","",YEAR($B1957)&amp;"-"&amp;IFERROR(VLOOKUP(MONTH(B1957),KEY!$AE$5:$AF$16,2,FALSE),""))</f>
        <v>2025-Q3</v>
      </c>
      <c r="D1957" s="3" t="s">
        <v>129</v>
      </c>
      <c r="E1957" s="219">
        <v>31</v>
      </c>
      <c r="F1957" s="166">
        <v>166</v>
      </c>
      <c r="G1957" s="166">
        <v>183</v>
      </c>
      <c r="H1957" s="21">
        <v>265</v>
      </c>
      <c r="I1957" s="21">
        <v>37</v>
      </c>
      <c r="J1957" s="21">
        <v>238</v>
      </c>
      <c r="K1957" s="21">
        <v>43</v>
      </c>
      <c r="L1957" s="21">
        <v>238</v>
      </c>
      <c r="M1957" s="21">
        <v>72</v>
      </c>
      <c r="N1957" s="21">
        <v>168</v>
      </c>
      <c r="O1957" s="19">
        <v>352</v>
      </c>
      <c r="P1957" s="22">
        <v>20</v>
      </c>
      <c r="Q1957" s="22">
        <v>16</v>
      </c>
      <c r="R1957" s="20"/>
      <c r="S1957" s="234"/>
      <c r="T1957" s="235"/>
    </row>
    <row r="1958" spans="1:20" x14ac:dyDescent="0.35">
      <c r="A1958" s="3" t="str">
        <f>IF(D1958="","",(VLOOKUP($D1958,KEY!$B$5:$D$74,3,FALSE)))</f>
        <v>Southern California</v>
      </c>
      <c r="B1958" s="165">
        <f t="shared" si="21"/>
        <v>45901</v>
      </c>
      <c r="C1958" s="57" t="str">
        <f>IF($B1958="","",YEAR($B1958)&amp;"-"&amp;IFERROR(VLOOKUP(MONTH(B1958),KEY!$AE$5:$AF$16,2,FALSE),""))</f>
        <v>2025-Q3</v>
      </c>
      <c r="D1958" s="3" t="s">
        <v>130</v>
      </c>
      <c r="E1958" s="219">
        <v>9</v>
      </c>
      <c r="F1958" s="166">
        <v>160</v>
      </c>
      <c r="G1958" s="166">
        <v>137</v>
      </c>
      <c r="H1958" s="21">
        <v>482</v>
      </c>
      <c r="I1958" s="21">
        <v>62</v>
      </c>
      <c r="J1958" s="21">
        <v>264</v>
      </c>
      <c r="K1958" s="21">
        <v>28</v>
      </c>
      <c r="L1958" s="21">
        <v>223</v>
      </c>
      <c r="M1958" s="21">
        <v>87</v>
      </c>
      <c r="N1958" s="21">
        <v>168</v>
      </c>
      <c r="O1958" s="19">
        <v>242</v>
      </c>
      <c r="P1958" s="22">
        <v>11</v>
      </c>
      <c r="Q1958" s="22">
        <v>8</v>
      </c>
      <c r="R1958" s="20"/>
      <c r="S1958" s="234"/>
      <c r="T1958" s="235"/>
    </row>
    <row r="1959" spans="1:20" x14ac:dyDescent="0.35">
      <c r="A1959" s="3" t="str">
        <f>IF(D1959="","",(VLOOKUP($D1959,KEY!$B$5:$D$74,3,FALSE)))</f>
        <v>Texas</v>
      </c>
      <c r="B1959" s="165">
        <f t="shared" si="21"/>
        <v>45901</v>
      </c>
      <c r="C1959" s="57" t="str">
        <f>IF($B1959="","",YEAR($B1959)&amp;"-"&amp;IFERROR(VLOOKUP(MONTH(B1959),KEY!$AE$5:$AF$16,2,FALSE),""))</f>
        <v>2025-Q3</v>
      </c>
      <c r="D1959" s="3" t="s">
        <v>210</v>
      </c>
      <c r="E1959" s="219">
        <v>1</v>
      </c>
      <c r="F1959" s="166">
        <v>0</v>
      </c>
      <c r="G1959" s="166">
        <v>0</v>
      </c>
      <c r="H1959" s="21">
        <v>400</v>
      </c>
      <c r="I1959" s="21">
        <v>33</v>
      </c>
      <c r="J1959" s="21">
        <v>168</v>
      </c>
      <c r="K1959" s="21">
        <v>30</v>
      </c>
      <c r="L1959" s="21">
        <v>165</v>
      </c>
      <c r="M1959" s="21">
        <v>40</v>
      </c>
      <c r="N1959" s="21">
        <v>130</v>
      </c>
      <c r="O1959" s="19">
        <v>176</v>
      </c>
      <c r="P1959" s="22">
        <v>0</v>
      </c>
      <c r="Q1959" s="22">
        <v>0</v>
      </c>
      <c r="R1959" s="20"/>
      <c r="S1959" s="234"/>
      <c r="T1959" s="235"/>
    </row>
    <row r="1960" spans="1:20" x14ac:dyDescent="0.35">
      <c r="A1960" s="3" t="e">
        <f>IF(D1960="","",(VLOOKUP($D1960,KEY!$B$5:$D$74,3,FALSE)))</f>
        <v>#N/A</v>
      </c>
      <c r="B1960" s="165">
        <f t="shared" si="21"/>
        <v>45901</v>
      </c>
      <c r="C1960" s="57" t="str">
        <f>IF($B1960="","",YEAR($B1960)&amp;"-"&amp;IFERROR(VLOOKUP(MONTH(B1960),KEY!$AE$5:$AF$16,2,FALSE),""))</f>
        <v>2025-Q3</v>
      </c>
      <c r="D1960" s="3" t="s">
        <v>203</v>
      </c>
      <c r="E1960" s="219">
        <v>4</v>
      </c>
      <c r="F1960" s="166">
        <v>80</v>
      </c>
      <c r="G1960" s="166">
        <v>94</v>
      </c>
      <c r="H1960" s="21">
        <v>146</v>
      </c>
      <c r="I1960" s="21">
        <v>18</v>
      </c>
      <c r="J1960" s="21">
        <v>104</v>
      </c>
      <c r="K1960" s="21">
        <v>14</v>
      </c>
      <c r="L1960" s="21">
        <v>79</v>
      </c>
      <c r="M1960" s="21">
        <v>42</v>
      </c>
      <c r="N1960" s="21">
        <v>87</v>
      </c>
      <c r="O1960" s="19">
        <v>198</v>
      </c>
      <c r="P1960" s="22">
        <v>12</v>
      </c>
      <c r="Q1960" s="22">
        <v>3</v>
      </c>
      <c r="R1960" s="20"/>
      <c r="S1960" s="234"/>
      <c r="T1960" s="235"/>
    </row>
    <row r="1961" spans="1:20" x14ac:dyDescent="0.35">
      <c r="A1961" s="3">
        <f>IF(D1961="","",(VLOOKUP($D1961,KEY!$B$5:$D$74,3,FALSE)))</f>
        <v>0</v>
      </c>
      <c r="B1961" s="165">
        <f t="shared" si="21"/>
        <v>45901</v>
      </c>
      <c r="C1961" s="57" t="str">
        <f>IF($B1961="","",YEAR($B1961)&amp;"-"&amp;IFERROR(VLOOKUP(MONTH(B1961),KEY!$AE$5:$AF$16,2,FALSE),""))</f>
        <v>2025-Q3</v>
      </c>
      <c r="D1961" s="3" t="s">
        <v>131</v>
      </c>
      <c r="E1961" s="219">
        <v>56</v>
      </c>
      <c r="F1961" s="166">
        <v>131</v>
      </c>
      <c r="G1961" s="166">
        <v>131</v>
      </c>
      <c r="H1961" s="21">
        <v>127</v>
      </c>
      <c r="I1961" s="21">
        <v>24</v>
      </c>
      <c r="J1961" s="21">
        <v>68</v>
      </c>
      <c r="K1961" s="21">
        <v>11</v>
      </c>
      <c r="L1961" s="21">
        <v>255</v>
      </c>
      <c r="M1961" s="21">
        <v>103</v>
      </c>
      <c r="N1961" s="21">
        <v>145</v>
      </c>
      <c r="O1961" s="19">
        <v>198</v>
      </c>
      <c r="P1961" s="22">
        <v>7</v>
      </c>
      <c r="Q1961" s="22">
        <v>3</v>
      </c>
      <c r="R1961" s="20"/>
      <c r="S1961" s="234"/>
      <c r="T1961" s="235"/>
    </row>
    <row r="1962" spans="1:20" x14ac:dyDescent="0.35">
      <c r="A1962" s="3" t="e">
        <f>IF(D1962="","",(VLOOKUP($D1962,KEY!$B$5:$D$74,3,FALSE)))</f>
        <v>#N/A</v>
      </c>
      <c r="B1962" s="165">
        <f t="shared" si="21"/>
        <v>45901</v>
      </c>
      <c r="C1962" s="57" t="str">
        <f>IF($B1962="","",YEAR($B1962)&amp;"-"&amp;IFERROR(VLOOKUP(MONTH(B1962),KEY!$AE$5:$AF$16,2,FALSE),""))</f>
        <v>2025-Q3</v>
      </c>
      <c r="D1962" s="3" t="s">
        <v>134</v>
      </c>
      <c r="E1962" s="219">
        <v>0</v>
      </c>
      <c r="F1962" s="166">
        <v>17</v>
      </c>
      <c r="G1962" s="166">
        <v>28</v>
      </c>
      <c r="H1962" s="21">
        <v>39</v>
      </c>
      <c r="I1962" s="21">
        <v>6</v>
      </c>
      <c r="J1962" s="21">
        <v>58</v>
      </c>
      <c r="K1962" s="21">
        <v>5</v>
      </c>
      <c r="L1962" s="21">
        <v>28</v>
      </c>
      <c r="M1962" s="21">
        <v>10</v>
      </c>
      <c r="N1962" s="21">
        <v>18</v>
      </c>
      <c r="O1962" s="19">
        <v>110</v>
      </c>
      <c r="P1962" s="22">
        <v>6</v>
      </c>
      <c r="Q1962" s="22">
        <v>4</v>
      </c>
      <c r="R1962" s="20"/>
      <c r="S1962" s="234"/>
      <c r="T1962" s="235"/>
    </row>
    <row r="1963" spans="1:20" x14ac:dyDescent="0.35">
      <c r="A1963" s="3" t="str">
        <f>IF(D1963="","",(VLOOKUP($D1963,KEY!$B$5:$D$74,3,FALSE)))</f>
        <v>Southern California</v>
      </c>
      <c r="B1963" s="165">
        <f t="shared" si="21"/>
        <v>45901</v>
      </c>
      <c r="C1963" s="57" t="str">
        <f>IF($B1963="","",YEAR($B1963)&amp;"-"&amp;IFERROR(VLOOKUP(MONTH(B1963),KEY!$AE$5:$AF$16,2,FALSE),""))</f>
        <v>2025-Q3</v>
      </c>
      <c r="D1963" s="3" t="s">
        <v>135</v>
      </c>
      <c r="E1963" s="219">
        <v>35</v>
      </c>
      <c r="F1963" s="166">
        <v>264</v>
      </c>
      <c r="G1963" s="166">
        <v>175</v>
      </c>
      <c r="H1963" s="21">
        <v>571</v>
      </c>
      <c r="I1963" s="21">
        <v>78</v>
      </c>
      <c r="J1963" s="21">
        <v>346</v>
      </c>
      <c r="K1963" s="21">
        <v>71</v>
      </c>
      <c r="L1963" s="21">
        <v>453</v>
      </c>
      <c r="M1963" s="21">
        <v>125</v>
      </c>
      <c r="N1963" s="21">
        <v>274</v>
      </c>
      <c r="O1963" s="19">
        <v>352</v>
      </c>
      <c r="P1963" s="22">
        <v>11</v>
      </c>
      <c r="Q1963" s="22">
        <v>10</v>
      </c>
      <c r="R1963" s="20"/>
      <c r="S1963" s="234"/>
      <c r="T1963" s="235"/>
    </row>
    <row r="1964" spans="1:20" x14ac:dyDescent="0.35">
      <c r="A1964" s="3" t="str">
        <f>IF(D1964="","",(VLOOKUP($D1964,KEY!$B$5:$D$74,3,FALSE)))</f>
        <v>Arizona</v>
      </c>
      <c r="B1964" s="165">
        <f t="shared" si="21"/>
        <v>45901</v>
      </c>
      <c r="C1964" s="57" t="str">
        <f>IF($B1964="","",YEAR($B1964)&amp;"-"&amp;IFERROR(VLOOKUP(MONTH(B1964),KEY!$AE$5:$AF$16,2,FALSE),""))</f>
        <v>2025-Q3</v>
      </c>
      <c r="D1964" s="3" t="s">
        <v>204</v>
      </c>
      <c r="E1964" s="219">
        <v>4</v>
      </c>
      <c r="F1964" s="166">
        <v>10</v>
      </c>
      <c r="G1964" s="166">
        <v>14</v>
      </c>
      <c r="H1964" s="21">
        <v>12</v>
      </c>
      <c r="I1964" s="21">
        <v>2</v>
      </c>
      <c r="J1964" s="21">
        <v>8</v>
      </c>
      <c r="K1964" s="21">
        <v>3</v>
      </c>
      <c r="L1964" s="21">
        <v>27</v>
      </c>
      <c r="M1964" s="21">
        <v>5</v>
      </c>
      <c r="N1964" s="21">
        <v>11</v>
      </c>
      <c r="O1964" s="19">
        <v>12</v>
      </c>
      <c r="P1964" s="22">
        <v>0</v>
      </c>
      <c r="Q1964" s="22">
        <v>0</v>
      </c>
      <c r="R1964" s="20"/>
      <c r="S1964" s="234"/>
      <c r="T1964" s="235"/>
    </row>
    <row r="1965" spans="1:20" x14ac:dyDescent="0.35">
      <c r="A1965" s="3" t="str">
        <f>IF(D1965="","",(VLOOKUP($D1965,KEY!$B$5:$D$74,3,FALSE)))</f>
        <v>Arizona</v>
      </c>
      <c r="B1965" s="165">
        <f t="shared" si="21"/>
        <v>45901</v>
      </c>
      <c r="C1965" s="57" t="str">
        <f>IF($B1965="","",YEAR($B1965)&amp;"-"&amp;IFERROR(VLOOKUP(MONTH(B1965),KEY!$AE$5:$AF$16,2,FALSE),""))</f>
        <v>2025-Q3</v>
      </c>
      <c r="D1965" s="3" t="s">
        <v>196</v>
      </c>
      <c r="E1965" s="219">
        <v>11</v>
      </c>
      <c r="F1965" s="166">
        <v>49</v>
      </c>
      <c r="G1965" s="166">
        <v>51</v>
      </c>
      <c r="H1965" s="21">
        <v>107</v>
      </c>
      <c r="I1965" s="21">
        <v>18</v>
      </c>
      <c r="J1965" s="21">
        <v>56</v>
      </c>
      <c r="K1965" s="21">
        <v>14</v>
      </c>
      <c r="L1965" s="21">
        <v>108</v>
      </c>
      <c r="M1965" s="21">
        <v>45</v>
      </c>
      <c r="N1965" s="21">
        <v>49</v>
      </c>
      <c r="O1965" s="19">
        <v>110</v>
      </c>
      <c r="P1965" s="22">
        <v>4</v>
      </c>
      <c r="Q1965" s="22">
        <v>2</v>
      </c>
      <c r="R1965" s="20"/>
      <c r="S1965" s="234"/>
      <c r="T1965" s="235"/>
    </row>
    <row r="1966" spans="1:20" x14ac:dyDescent="0.35">
      <c r="A1966" s="3" t="str">
        <f>IF(D1966="","",(VLOOKUP($D1966,KEY!$B$5:$D$74,3,FALSE)))</f>
        <v>Arizona</v>
      </c>
      <c r="B1966" s="165">
        <f t="shared" si="21"/>
        <v>45901</v>
      </c>
      <c r="C1966" s="57" t="str">
        <f>IF($B1966="","",YEAR($B1966)&amp;"-"&amp;IFERROR(VLOOKUP(MONTH(B1966),KEY!$AE$5:$AF$16,2,FALSE),""))</f>
        <v>2025-Q3</v>
      </c>
      <c r="D1966" s="3" t="s">
        <v>197</v>
      </c>
      <c r="E1966" s="219">
        <v>15</v>
      </c>
      <c r="F1966" s="166">
        <v>95</v>
      </c>
      <c r="G1966" s="166">
        <v>85</v>
      </c>
      <c r="H1966" s="21">
        <v>164</v>
      </c>
      <c r="I1966" s="21">
        <v>27</v>
      </c>
      <c r="J1966" s="21">
        <v>77</v>
      </c>
      <c r="K1966" s="21">
        <v>17</v>
      </c>
      <c r="L1966" s="21">
        <v>240</v>
      </c>
      <c r="M1966" s="21">
        <v>80</v>
      </c>
      <c r="N1966" s="21">
        <v>101</v>
      </c>
      <c r="O1966" s="19">
        <v>220</v>
      </c>
      <c r="P1966" s="22">
        <v>5</v>
      </c>
      <c r="Q1966" s="22">
        <v>3</v>
      </c>
      <c r="R1966" s="20"/>
      <c r="S1966" s="234"/>
      <c r="T1966" s="235"/>
    </row>
    <row r="1967" spans="1:20" x14ac:dyDescent="0.35">
      <c r="A1967" s="3" t="str">
        <f>IF(D1967="","",(VLOOKUP($D1967,KEY!$B$5:$D$74,3,FALSE)))</f>
        <v>Texas</v>
      </c>
      <c r="B1967" s="165">
        <f t="shared" si="21"/>
        <v>45901</v>
      </c>
      <c r="C1967" s="57" t="str">
        <f>IF($B1967="","",YEAR($B1967)&amp;"-"&amp;IFERROR(VLOOKUP(MONTH(B1967),KEY!$AE$5:$AF$16,2,FALSE),""))</f>
        <v>2025-Q3</v>
      </c>
      <c r="D1967" s="3" t="s">
        <v>136</v>
      </c>
      <c r="E1967" s="219">
        <v>65</v>
      </c>
      <c r="F1967" s="166">
        <v>230</v>
      </c>
      <c r="G1967" s="166">
        <v>219</v>
      </c>
      <c r="H1967" s="21">
        <v>432</v>
      </c>
      <c r="I1967" s="21">
        <v>57</v>
      </c>
      <c r="J1967" s="21">
        <v>327</v>
      </c>
      <c r="K1967" s="21">
        <v>41</v>
      </c>
      <c r="L1967" s="21">
        <v>384</v>
      </c>
      <c r="M1967" s="21">
        <v>148</v>
      </c>
      <c r="N1967" s="21">
        <v>249</v>
      </c>
      <c r="O1967" s="19">
        <v>352</v>
      </c>
      <c r="P1967" s="22">
        <v>13</v>
      </c>
      <c r="Q1967" s="22">
        <v>11</v>
      </c>
      <c r="R1967" s="20"/>
      <c r="S1967" s="234"/>
      <c r="T1967" s="235"/>
    </row>
    <row r="1968" spans="1:20" x14ac:dyDescent="0.35">
      <c r="A1968" s="3" t="str">
        <f>IF(D1968="","",(VLOOKUP($D1968,KEY!$B$5:$D$74,3,FALSE)))</f>
        <v>Arizona</v>
      </c>
      <c r="B1968" s="165">
        <f t="shared" si="21"/>
        <v>45901</v>
      </c>
      <c r="C1968" s="57" t="str">
        <f>IF($B1968="","",YEAR($B1968)&amp;"-"&amp;IFERROR(VLOOKUP(MONTH(B1968),KEY!$AE$5:$AF$16,2,FALSE),""))</f>
        <v>2025-Q3</v>
      </c>
      <c r="D1968" s="3" t="s">
        <v>137</v>
      </c>
      <c r="E1968" s="219">
        <v>13</v>
      </c>
      <c r="F1968" s="166">
        <v>98</v>
      </c>
      <c r="G1968" s="166">
        <v>83</v>
      </c>
      <c r="H1968" s="21">
        <v>216</v>
      </c>
      <c r="I1968" s="21">
        <v>30</v>
      </c>
      <c r="J1968" s="21">
        <v>152</v>
      </c>
      <c r="K1968" s="21">
        <v>26</v>
      </c>
      <c r="L1968" s="21">
        <v>154</v>
      </c>
      <c r="M1968" s="21">
        <v>76</v>
      </c>
      <c r="N1968" s="21">
        <v>104</v>
      </c>
      <c r="O1968" s="19">
        <v>176</v>
      </c>
      <c r="P1968" s="22">
        <v>3</v>
      </c>
      <c r="Q1968" s="22">
        <v>2</v>
      </c>
      <c r="R1968" s="20"/>
      <c r="S1968" s="234"/>
      <c r="T1968" s="235"/>
    </row>
    <row r="1969" spans="1:20" x14ac:dyDescent="0.35">
      <c r="A1969" s="3" t="str">
        <f>IF(D1969="","",(VLOOKUP($D1969,KEY!$B$5:$D$74,3,FALSE)))</f>
        <v>Texas</v>
      </c>
      <c r="B1969" s="165">
        <f t="shared" si="21"/>
        <v>45901</v>
      </c>
      <c r="C1969" s="57" t="str">
        <f>IF($B1969="","",YEAR($B1969)&amp;"-"&amp;IFERROR(VLOOKUP(MONTH(B1969),KEY!$AE$5:$AF$16,2,FALSE),""))</f>
        <v>2025-Q3</v>
      </c>
      <c r="D1969" s="3" t="s">
        <v>138</v>
      </c>
      <c r="E1969" s="219">
        <v>33</v>
      </c>
      <c r="F1969" s="166">
        <v>128</v>
      </c>
      <c r="G1969" s="166">
        <v>119</v>
      </c>
      <c r="H1969" s="21">
        <v>156</v>
      </c>
      <c r="I1969" s="21">
        <v>26</v>
      </c>
      <c r="J1969" s="21">
        <v>88</v>
      </c>
      <c r="K1969" s="21">
        <v>29</v>
      </c>
      <c r="L1969" s="21">
        <v>223</v>
      </c>
      <c r="M1969" s="21">
        <v>93</v>
      </c>
      <c r="N1969" s="21">
        <v>129</v>
      </c>
      <c r="O1969" s="19">
        <v>220</v>
      </c>
      <c r="P1969" s="22">
        <v>11</v>
      </c>
      <c r="Q1969" s="22">
        <v>7</v>
      </c>
      <c r="R1969" s="20"/>
      <c r="S1969" s="234"/>
      <c r="T1969" s="235"/>
    </row>
    <row r="1970" spans="1:20" x14ac:dyDescent="0.35">
      <c r="A1970" s="3" t="str">
        <f>IF(D1970="","",(VLOOKUP($D1970,KEY!$B$5:$D$74,3,FALSE)))</f>
        <v>Southern California</v>
      </c>
      <c r="B1970" s="165">
        <f t="shared" si="21"/>
        <v>45901</v>
      </c>
      <c r="C1970" s="57" t="str">
        <f>IF($B1970="","",YEAR($B1970)&amp;"-"&amp;IFERROR(VLOOKUP(MONTH(B1970),KEY!$AE$5:$AF$16,2,FALSE),""))</f>
        <v>2025-Q3</v>
      </c>
      <c r="D1970" s="3" t="s">
        <v>139</v>
      </c>
      <c r="E1970" s="219">
        <v>36</v>
      </c>
      <c r="F1970" s="166">
        <v>211</v>
      </c>
      <c r="G1970" s="166">
        <v>181</v>
      </c>
      <c r="H1970" s="21">
        <v>359</v>
      </c>
      <c r="I1970" s="21">
        <v>61</v>
      </c>
      <c r="J1970" s="21">
        <v>134</v>
      </c>
      <c r="K1970" s="21">
        <v>36</v>
      </c>
      <c r="L1970" s="21">
        <v>498</v>
      </c>
      <c r="M1970" s="21">
        <v>131</v>
      </c>
      <c r="N1970" s="21">
        <v>215</v>
      </c>
      <c r="O1970" s="19">
        <v>330</v>
      </c>
      <c r="P1970" s="22">
        <v>15</v>
      </c>
      <c r="Q1970" s="22">
        <v>11</v>
      </c>
      <c r="R1970" s="20"/>
      <c r="S1970" s="234"/>
      <c r="T1970" s="235"/>
    </row>
    <row r="1971" spans="1:20" x14ac:dyDescent="0.35">
      <c r="A1971" s="3" t="str">
        <f>IF(D1971="","",(VLOOKUP($D1971,KEY!$B$5:$D$74,3,FALSE)))</f>
        <v>Orange County</v>
      </c>
      <c r="B1971" s="165">
        <f t="shared" si="21"/>
        <v>45901</v>
      </c>
      <c r="C1971" s="57" t="str">
        <f>IF($B1971="","",YEAR($B1971)&amp;"-"&amp;IFERROR(VLOOKUP(MONTH(B1971),KEY!$AE$5:$AF$16,2,FALSE),""))</f>
        <v>2025-Q3</v>
      </c>
      <c r="D1971" s="3" t="s">
        <v>140</v>
      </c>
      <c r="E1971" s="219">
        <v>5</v>
      </c>
      <c r="F1971" s="166">
        <v>26</v>
      </c>
      <c r="G1971" s="166">
        <v>30</v>
      </c>
      <c r="H1971" s="21">
        <v>35</v>
      </c>
      <c r="I1971" s="21">
        <v>8</v>
      </c>
      <c r="J1971" s="21">
        <v>23</v>
      </c>
      <c r="K1971" s="21">
        <v>8</v>
      </c>
      <c r="L1971" s="21">
        <v>69</v>
      </c>
      <c r="M1971" s="21">
        <v>20</v>
      </c>
      <c r="N1971" s="21">
        <v>29</v>
      </c>
      <c r="O1971" s="19">
        <v>66</v>
      </c>
      <c r="P1971" s="22">
        <v>4</v>
      </c>
      <c r="Q1971" s="22">
        <v>3</v>
      </c>
      <c r="R1971" s="20"/>
      <c r="S1971" s="234"/>
      <c r="T1971" s="235"/>
    </row>
    <row r="1972" spans="1:20" x14ac:dyDescent="0.35">
      <c r="A1972" s="3" t="str">
        <f>IF(D1972="","",(VLOOKUP($D1972,KEY!$B$5:$D$74,3,FALSE)))</f>
        <v>Southern California</v>
      </c>
      <c r="B1972" s="165">
        <f t="shared" si="21"/>
        <v>45901</v>
      </c>
      <c r="C1972" s="57" t="str">
        <f>IF($B1972="","",YEAR($B1972)&amp;"-"&amp;IFERROR(VLOOKUP(MONTH(B1972),KEY!$AE$5:$AF$16,2,FALSE),""))</f>
        <v>2025-Q3</v>
      </c>
      <c r="D1972" s="3" t="s">
        <v>142</v>
      </c>
      <c r="E1972" s="219">
        <v>14</v>
      </c>
      <c r="F1972" s="166">
        <v>84</v>
      </c>
      <c r="G1972" s="166">
        <v>102</v>
      </c>
      <c r="H1972" s="21">
        <v>182</v>
      </c>
      <c r="I1972" s="21">
        <v>24</v>
      </c>
      <c r="J1972" s="21">
        <v>47</v>
      </c>
      <c r="K1972" s="21">
        <v>14</v>
      </c>
      <c r="L1972" s="21">
        <v>98</v>
      </c>
      <c r="M1972" s="21">
        <v>42</v>
      </c>
      <c r="N1972" s="21">
        <v>85</v>
      </c>
      <c r="O1972" s="19">
        <v>132</v>
      </c>
      <c r="P1972" s="22">
        <v>17</v>
      </c>
      <c r="Q1972" s="22">
        <v>11</v>
      </c>
      <c r="R1972" s="20"/>
      <c r="S1972" s="234"/>
      <c r="T1972" s="235"/>
    </row>
    <row r="1973" spans="1:20" x14ac:dyDescent="0.35">
      <c r="A1973" s="3" t="str">
        <f>IF(D1973="","",(VLOOKUP($D1973,KEY!$B$5:$D$74,3,FALSE)))</f>
        <v>Arizona</v>
      </c>
      <c r="B1973" s="165">
        <f t="shared" si="21"/>
        <v>45901</v>
      </c>
      <c r="C1973" s="57" t="str">
        <f>IF($B1973="","",YEAR($B1973)&amp;"-"&amp;IFERROR(VLOOKUP(MONTH(B1973),KEY!$AE$5:$AF$16,2,FALSE),""))</f>
        <v>2025-Q3</v>
      </c>
      <c r="D1973" s="3" t="s">
        <v>143</v>
      </c>
      <c r="E1973" s="219">
        <v>6</v>
      </c>
      <c r="F1973" s="166">
        <v>80</v>
      </c>
      <c r="G1973" s="166">
        <v>78</v>
      </c>
      <c r="H1973" s="21">
        <v>217</v>
      </c>
      <c r="I1973" s="21">
        <v>25</v>
      </c>
      <c r="J1973" s="21">
        <v>90</v>
      </c>
      <c r="K1973" s="21">
        <v>15</v>
      </c>
      <c r="L1973" s="21">
        <v>102</v>
      </c>
      <c r="M1973" s="21">
        <v>49</v>
      </c>
      <c r="N1973" s="21">
        <v>84</v>
      </c>
      <c r="O1973" s="19">
        <v>198</v>
      </c>
      <c r="P1973" s="22">
        <v>4</v>
      </c>
      <c r="Q1973" s="22">
        <v>2</v>
      </c>
      <c r="R1973" s="20"/>
      <c r="S1973" s="234"/>
      <c r="T1973" s="235"/>
    </row>
    <row r="1974" spans="1:20" x14ac:dyDescent="0.35">
      <c r="A1974" s="3" t="str">
        <f>IF(D1974="","",(VLOOKUP($D1974,KEY!$B$5:$D$74,3,FALSE)))</f>
        <v>Arizona</v>
      </c>
      <c r="B1974" s="165">
        <f t="shared" si="21"/>
        <v>45901</v>
      </c>
      <c r="C1974" s="57" t="str">
        <f>IF($B1974="","",YEAR($B1974)&amp;"-"&amp;IFERROR(VLOOKUP(MONTH(B1974),KEY!$AE$5:$AF$16,2,FALSE),""))</f>
        <v>2025-Q3</v>
      </c>
      <c r="D1974" s="3" t="s">
        <v>144</v>
      </c>
      <c r="E1974" s="219">
        <v>10</v>
      </c>
      <c r="F1974" s="166">
        <v>202</v>
      </c>
      <c r="G1974" s="166">
        <v>172</v>
      </c>
      <c r="H1974" s="21">
        <v>234</v>
      </c>
      <c r="I1974" s="21">
        <v>39</v>
      </c>
      <c r="J1974" s="21">
        <v>128</v>
      </c>
      <c r="K1974" s="21">
        <v>34</v>
      </c>
      <c r="L1974" s="21">
        <v>213</v>
      </c>
      <c r="M1974" s="21">
        <v>109</v>
      </c>
      <c r="N1974" s="21">
        <v>213</v>
      </c>
      <c r="O1974" s="19">
        <v>396</v>
      </c>
      <c r="P1974" s="22">
        <v>13</v>
      </c>
      <c r="Q1974" s="22">
        <v>9</v>
      </c>
      <c r="R1974" s="20"/>
      <c r="S1974" s="234"/>
      <c r="T1974" s="235"/>
    </row>
    <row r="1975" spans="1:20" x14ac:dyDescent="0.35">
      <c r="A1975" s="3" t="str">
        <f>IF(D1975="","",(VLOOKUP($D1975,KEY!$B$5:$D$74,3,FALSE)))</f>
        <v>Southern California</v>
      </c>
      <c r="B1975" s="165">
        <f t="shared" si="21"/>
        <v>45901</v>
      </c>
      <c r="C1975" s="57" t="str">
        <f>IF($B1975="","",YEAR($B1975)&amp;"-"&amp;IFERROR(VLOOKUP(MONTH(B1975),KEY!$AE$5:$AF$16,2,FALSE),""))</f>
        <v>2025-Q3</v>
      </c>
      <c r="D1975" s="3" t="s">
        <v>145</v>
      </c>
      <c r="E1975" s="219">
        <v>39</v>
      </c>
      <c r="F1975" s="166">
        <v>180</v>
      </c>
      <c r="G1975" s="166">
        <v>149</v>
      </c>
      <c r="H1975" s="21">
        <v>281</v>
      </c>
      <c r="I1975" s="21">
        <v>30</v>
      </c>
      <c r="J1975" s="21">
        <v>151</v>
      </c>
      <c r="K1975" s="21">
        <v>46</v>
      </c>
      <c r="L1975" s="21">
        <v>220</v>
      </c>
      <c r="M1975" s="21">
        <v>99</v>
      </c>
      <c r="N1975" s="21">
        <v>194</v>
      </c>
      <c r="O1975" s="19">
        <v>374</v>
      </c>
      <c r="P1975" s="22">
        <v>18</v>
      </c>
      <c r="Q1975" s="22">
        <v>13</v>
      </c>
      <c r="R1975" s="20"/>
      <c r="S1975" s="234"/>
      <c r="T1975" s="235"/>
    </row>
    <row r="1976" spans="1:20" x14ac:dyDescent="0.35">
      <c r="A1976" s="3" t="str">
        <f>IF(D1976="","",(VLOOKUP($D1976,KEY!$B$5:$D$74,3,FALSE)))</f>
        <v>Arizona</v>
      </c>
      <c r="B1976" s="165">
        <f t="shared" si="21"/>
        <v>45901</v>
      </c>
      <c r="C1976" s="57" t="str">
        <f>IF($B1976="","",YEAR($B1976)&amp;"-"&amp;IFERROR(VLOOKUP(MONTH(B1976),KEY!$AE$5:$AF$16,2,FALSE),""))</f>
        <v>2025-Q3</v>
      </c>
      <c r="D1976" s="3" t="s">
        <v>146</v>
      </c>
      <c r="E1976" s="219">
        <v>4</v>
      </c>
      <c r="F1976" s="166">
        <v>34</v>
      </c>
      <c r="G1976" s="166">
        <v>32</v>
      </c>
      <c r="H1976" s="21">
        <v>78</v>
      </c>
      <c r="I1976" s="21">
        <v>12</v>
      </c>
      <c r="J1976" s="21">
        <v>26</v>
      </c>
      <c r="K1976" s="21">
        <v>7</v>
      </c>
      <c r="L1976" s="21">
        <v>58</v>
      </c>
      <c r="M1976" s="21">
        <v>34</v>
      </c>
      <c r="N1976" s="21">
        <v>34</v>
      </c>
      <c r="O1976" s="19">
        <v>88</v>
      </c>
      <c r="P1976" s="22">
        <v>5</v>
      </c>
      <c r="Q1976" s="22">
        <v>2</v>
      </c>
      <c r="R1976" s="20"/>
      <c r="S1976" s="234"/>
      <c r="T1976" s="235"/>
    </row>
    <row r="1977" spans="1:20" x14ac:dyDescent="0.35">
      <c r="A1977" s="3" t="str">
        <f>IF(D1977="","",(VLOOKUP($D1977,KEY!$B$5:$D$74,3,FALSE)))</f>
        <v>Texas</v>
      </c>
      <c r="B1977" s="165">
        <f t="shared" si="21"/>
        <v>45901</v>
      </c>
      <c r="C1977" s="57" t="str">
        <f>IF($B1977="","",YEAR($B1977)&amp;"-"&amp;IFERROR(VLOOKUP(MONTH(B1977),KEY!$AE$5:$AF$16,2,FALSE),""))</f>
        <v>2025-Q3</v>
      </c>
      <c r="D1977" s="3" t="s">
        <v>147</v>
      </c>
      <c r="E1977" s="219">
        <v>3</v>
      </c>
      <c r="F1977" s="166">
        <v>39</v>
      </c>
      <c r="G1977" s="166">
        <v>40</v>
      </c>
      <c r="H1977" s="21">
        <v>55</v>
      </c>
      <c r="I1977" s="21">
        <v>14</v>
      </c>
      <c r="J1977" s="21">
        <v>22</v>
      </c>
      <c r="K1977" s="21">
        <v>6</v>
      </c>
      <c r="L1977" s="21">
        <v>74</v>
      </c>
      <c r="M1977" s="21">
        <v>40</v>
      </c>
      <c r="N1977" s="21">
        <v>39</v>
      </c>
      <c r="O1977" s="19">
        <v>88</v>
      </c>
      <c r="P1977" s="22">
        <v>1</v>
      </c>
      <c r="Q1977" s="22">
        <v>1</v>
      </c>
      <c r="R1977" s="20"/>
      <c r="S1977" s="234"/>
      <c r="T1977" s="235"/>
    </row>
    <row r="1978" spans="1:20" x14ac:dyDescent="0.35">
      <c r="A1978" s="3" t="str">
        <f>IF(D1978="","",(VLOOKUP($D1978,KEY!$B$5:$D$74,3,FALSE)))</f>
        <v>Northern California</v>
      </c>
      <c r="B1978" s="165">
        <f t="shared" si="21"/>
        <v>45901</v>
      </c>
      <c r="C1978" s="57" t="str">
        <f>IF($B1978="","",YEAR($B1978)&amp;"-"&amp;IFERROR(VLOOKUP(MONTH(B1978),KEY!$AE$5:$AF$16,2,FALSE),""))</f>
        <v>2025-Q3</v>
      </c>
      <c r="D1978" s="3" t="s">
        <v>148</v>
      </c>
      <c r="E1978" s="219">
        <v>1</v>
      </c>
      <c r="F1978" s="166">
        <v>30</v>
      </c>
      <c r="G1978" s="166">
        <v>38</v>
      </c>
      <c r="H1978" s="21">
        <v>63</v>
      </c>
      <c r="I1978" s="21">
        <v>7</v>
      </c>
      <c r="J1978" s="21">
        <v>38</v>
      </c>
      <c r="K1978" s="21">
        <v>7</v>
      </c>
      <c r="L1978" s="21">
        <v>40</v>
      </c>
      <c r="M1978" s="21">
        <v>22</v>
      </c>
      <c r="N1978" s="21">
        <v>30</v>
      </c>
      <c r="O1978" s="19">
        <v>88</v>
      </c>
      <c r="P1978" s="22">
        <v>3</v>
      </c>
      <c r="Q1978" s="22">
        <v>2</v>
      </c>
      <c r="R1978" s="20"/>
      <c r="S1978" s="234"/>
      <c r="T1978" s="235"/>
    </row>
    <row r="1979" spans="1:20" x14ac:dyDescent="0.35">
      <c r="A1979" s="3" t="str">
        <f>IF(D1979="","",(VLOOKUP($D1979,KEY!$B$5:$D$74,3,FALSE)))</f>
        <v>Orange County</v>
      </c>
      <c r="B1979" s="165">
        <f t="shared" si="21"/>
        <v>45901</v>
      </c>
      <c r="C1979" s="57" t="str">
        <f>IF($B1979="","",YEAR($B1979)&amp;"-"&amp;IFERROR(VLOOKUP(MONTH(B1979),KEY!$AE$5:$AF$16,2,FALSE),""))</f>
        <v>2025-Q3</v>
      </c>
      <c r="D1979" s="3" t="s">
        <v>149</v>
      </c>
      <c r="E1979" s="219">
        <v>0</v>
      </c>
      <c r="F1979" s="166">
        <v>0</v>
      </c>
      <c r="G1979" s="166">
        <v>0</v>
      </c>
      <c r="H1979" s="21">
        <v>39</v>
      </c>
      <c r="I1979" s="21">
        <v>1</v>
      </c>
      <c r="J1979" s="21">
        <v>15</v>
      </c>
      <c r="K1979" s="21">
        <v>0</v>
      </c>
      <c r="L1979" s="21">
        <v>18</v>
      </c>
      <c r="M1979" s="21">
        <v>6</v>
      </c>
      <c r="N1979" s="21">
        <v>15</v>
      </c>
      <c r="O1979" s="19">
        <v>66</v>
      </c>
      <c r="P1979" s="22">
        <v>0</v>
      </c>
      <c r="Q1979" s="22">
        <v>0</v>
      </c>
      <c r="R1979" s="20"/>
      <c r="S1979" s="234"/>
      <c r="T1979" s="235"/>
    </row>
    <row r="1980" spans="1:20" x14ac:dyDescent="0.35">
      <c r="A1980" s="3" t="str">
        <f>IF(D1980="","",(VLOOKUP($D1980,KEY!$B$5:$D$74,3,FALSE)))</f>
        <v>Southern California</v>
      </c>
      <c r="B1980" s="165">
        <f t="shared" si="21"/>
        <v>45901</v>
      </c>
      <c r="C1980" s="57" t="str">
        <f>IF($B1980="","",YEAR($B1980)&amp;"-"&amp;IFERROR(VLOOKUP(MONTH(B1980),KEY!$AE$5:$AF$16,2,FALSE),""))</f>
        <v>2025-Q3</v>
      </c>
      <c r="D1980" s="3" t="s">
        <v>150</v>
      </c>
      <c r="E1980" s="219">
        <v>3</v>
      </c>
      <c r="F1980" s="166">
        <v>42</v>
      </c>
      <c r="G1980" s="166">
        <v>43</v>
      </c>
      <c r="H1980" s="21">
        <v>75</v>
      </c>
      <c r="I1980" s="21">
        <v>14</v>
      </c>
      <c r="J1980" s="21">
        <v>32</v>
      </c>
      <c r="K1980" s="21">
        <v>9</v>
      </c>
      <c r="L1980" s="21">
        <v>46</v>
      </c>
      <c r="M1980" s="21">
        <v>27</v>
      </c>
      <c r="N1980" s="21">
        <v>44</v>
      </c>
      <c r="O1980" s="19">
        <v>88</v>
      </c>
      <c r="P1980" s="22">
        <v>2</v>
      </c>
      <c r="Q1980" s="22">
        <v>1</v>
      </c>
      <c r="R1980" s="20"/>
      <c r="S1980" s="234"/>
      <c r="T1980" s="235"/>
    </row>
    <row r="1981" spans="1:20" x14ac:dyDescent="0.35">
      <c r="A1981" s="3" t="str">
        <f>IF(D1981="","",(VLOOKUP($D1981,KEY!$B$5:$D$74,3,FALSE)))</f>
        <v>Arizona</v>
      </c>
      <c r="B1981" s="165">
        <f t="shared" si="21"/>
        <v>45901</v>
      </c>
      <c r="C1981" s="57" t="str">
        <f>IF($B1981="","",YEAR($B1981)&amp;"-"&amp;IFERROR(VLOOKUP(MONTH(B1981),KEY!$AE$5:$AF$16,2,FALSE),""))</f>
        <v>2025-Q3</v>
      </c>
      <c r="D1981" s="3" t="s">
        <v>151</v>
      </c>
      <c r="E1981" s="219">
        <v>3</v>
      </c>
      <c r="F1981" s="166">
        <v>27</v>
      </c>
      <c r="G1981" s="166">
        <v>25</v>
      </c>
      <c r="H1981" s="21">
        <v>51</v>
      </c>
      <c r="I1981" s="21">
        <v>10</v>
      </c>
      <c r="J1981" s="21">
        <v>4</v>
      </c>
      <c r="K1981" s="21">
        <v>3</v>
      </c>
      <c r="L1981" s="21">
        <v>26</v>
      </c>
      <c r="M1981" s="21">
        <v>20</v>
      </c>
      <c r="N1981" s="21">
        <v>27</v>
      </c>
      <c r="O1981" s="19">
        <v>88</v>
      </c>
      <c r="P1981" s="22">
        <v>2</v>
      </c>
      <c r="Q1981" s="22">
        <v>1</v>
      </c>
      <c r="R1981" s="20"/>
      <c r="S1981" s="234"/>
      <c r="T1981" s="235"/>
    </row>
    <row r="1982" spans="1:20" x14ac:dyDescent="0.35">
      <c r="A1982" s="3" t="str">
        <f>IF(D1982="","",(VLOOKUP($D1982,KEY!$B$5:$D$74,3,FALSE)))</f>
        <v>Michigan &amp; Minnesota</v>
      </c>
      <c r="B1982" s="165">
        <f t="shared" si="21"/>
        <v>45901</v>
      </c>
      <c r="C1982" s="57" t="str">
        <f>IF($B1982="","",YEAR($B1982)&amp;"-"&amp;IFERROR(VLOOKUP(MONTH(B1982),KEY!$AE$5:$AF$16,2,FALSE),""))</f>
        <v>2025-Q3</v>
      </c>
      <c r="D1982" s="3" t="s">
        <v>206</v>
      </c>
      <c r="E1982" s="219">
        <v>43</v>
      </c>
      <c r="F1982" s="166">
        <v>226</v>
      </c>
      <c r="G1982" s="166">
        <v>216</v>
      </c>
      <c r="H1982" s="21">
        <v>301</v>
      </c>
      <c r="I1982" s="21">
        <v>61</v>
      </c>
      <c r="J1982" s="21">
        <v>199</v>
      </c>
      <c r="K1982" s="21">
        <v>36</v>
      </c>
      <c r="L1982" s="21">
        <v>443</v>
      </c>
      <c r="M1982" s="21">
        <v>135</v>
      </c>
      <c r="N1982" s="21">
        <v>228</v>
      </c>
      <c r="O1982" s="19">
        <v>418</v>
      </c>
      <c r="P1982" s="22">
        <v>19</v>
      </c>
      <c r="Q1982" s="22">
        <v>14</v>
      </c>
      <c r="R1982" s="20"/>
      <c r="S1982" s="234"/>
      <c r="T1982" s="235"/>
    </row>
    <row r="1983" spans="1:20" x14ac:dyDescent="0.35">
      <c r="A1983" s="3" t="str">
        <f>IF(D1983="","",(VLOOKUP($D1983,KEY!$B$5:$D$74,3,FALSE)))</f>
        <v>Michigan &amp; Minnesota</v>
      </c>
      <c r="B1983" s="165">
        <f t="shared" si="21"/>
        <v>45901</v>
      </c>
      <c r="C1983" s="57" t="str">
        <f>IF($B1983="","",YEAR($B1983)&amp;"-"&amp;IFERROR(VLOOKUP(MONTH(B1983),KEY!$AE$5:$AF$16,2,FALSE),""))</f>
        <v>2025-Q3</v>
      </c>
      <c r="D1983" s="3" t="s">
        <v>207</v>
      </c>
      <c r="E1983" s="219">
        <v>2</v>
      </c>
      <c r="F1983" s="166">
        <v>79</v>
      </c>
      <c r="G1983" s="166">
        <v>52</v>
      </c>
      <c r="H1983" s="21">
        <v>169</v>
      </c>
      <c r="I1983" s="21">
        <v>35</v>
      </c>
      <c r="J1983" s="21">
        <v>36</v>
      </c>
      <c r="K1983" s="21">
        <v>14</v>
      </c>
      <c r="L1983" s="21">
        <v>74</v>
      </c>
      <c r="M1983" s="21">
        <v>32</v>
      </c>
      <c r="N1983" s="21">
        <v>79</v>
      </c>
      <c r="O1983" s="19">
        <v>132</v>
      </c>
      <c r="P1983" s="22">
        <v>3</v>
      </c>
      <c r="Q1983" s="22">
        <v>0</v>
      </c>
      <c r="R1983" s="20"/>
      <c r="S1983" s="234"/>
      <c r="T1983" s="235"/>
    </row>
    <row r="1984" spans="1:20" x14ac:dyDescent="0.35">
      <c r="A1984" s="3" t="str">
        <f>IF(D1984="","",(VLOOKUP($D1984,KEY!$B$5:$D$74,3,FALSE)))</f>
        <v>Indiana</v>
      </c>
      <c r="B1984" s="165">
        <f t="shared" si="21"/>
        <v>45901</v>
      </c>
      <c r="C1984" s="57" t="str">
        <f>IF($B1984="","",YEAR($B1984)&amp;"-"&amp;IFERROR(VLOOKUP(MONTH(B1984),KEY!$AE$5:$AF$16,2,FALSE),""))</f>
        <v>2025-Q3</v>
      </c>
      <c r="D1984" s="3" t="s">
        <v>208</v>
      </c>
      <c r="E1984" s="219">
        <v>4</v>
      </c>
      <c r="F1984" s="166">
        <v>129</v>
      </c>
      <c r="G1984" s="166">
        <v>112</v>
      </c>
      <c r="H1984" s="21">
        <v>254</v>
      </c>
      <c r="I1984" s="21">
        <v>43</v>
      </c>
      <c r="J1984" s="21">
        <v>105</v>
      </c>
      <c r="K1984" s="21">
        <v>23</v>
      </c>
      <c r="L1984" s="21">
        <v>176</v>
      </c>
      <c r="M1984" s="21">
        <v>62</v>
      </c>
      <c r="N1984" s="21">
        <v>130</v>
      </c>
      <c r="O1984" s="19">
        <v>242</v>
      </c>
      <c r="P1984" s="22">
        <v>4</v>
      </c>
      <c r="Q1984" s="22">
        <v>3</v>
      </c>
      <c r="R1984" s="20"/>
      <c r="S1984" s="234"/>
      <c r="T1984" s="235"/>
    </row>
    <row r="1985" spans="1:20" x14ac:dyDescent="0.35">
      <c r="A1985" s="3" t="str">
        <f>IF(D1985="","",(VLOOKUP($D1985,KEY!$B$5:$D$74,3,FALSE)))</f>
        <v>Indiana</v>
      </c>
      <c r="B1985" s="165">
        <f t="shared" si="21"/>
        <v>45901</v>
      </c>
      <c r="C1985" s="57" t="str">
        <f>IF($B1985="","",YEAR($B1985)&amp;"-"&amp;IFERROR(VLOOKUP(MONTH(B1985),KEY!$AE$5:$AF$16,2,FALSE),""))</f>
        <v>2025-Q3</v>
      </c>
      <c r="D1985" s="3" t="s">
        <v>209</v>
      </c>
      <c r="E1985" s="219">
        <v>31</v>
      </c>
      <c r="F1985" s="166">
        <v>446</v>
      </c>
      <c r="G1985" s="166">
        <v>436</v>
      </c>
      <c r="H1985" s="21">
        <v>657</v>
      </c>
      <c r="I1985" s="21">
        <v>122</v>
      </c>
      <c r="J1985" s="21">
        <v>272</v>
      </c>
      <c r="K1985" s="21">
        <v>63</v>
      </c>
      <c r="L1985" s="21">
        <v>371</v>
      </c>
      <c r="M1985" s="21">
        <v>189</v>
      </c>
      <c r="N1985" s="21">
        <v>453</v>
      </c>
      <c r="O1985" s="19">
        <v>572</v>
      </c>
      <c r="P1985" s="22">
        <v>64</v>
      </c>
      <c r="Q1985" s="22">
        <v>34</v>
      </c>
      <c r="R1985" s="20"/>
      <c r="S1985" s="234"/>
      <c r="T1985" s="235"/>
    </row>
    <row r="1986" spans="1:20" x14ac:dyDescent="0.35">
      <c r="A1986" s="3" t="str">
        <f>IF(D1986="","",(VLOOKUP($D1986,KEY!$B$5:$D$74,3,FALSE)))</f>
        <v>Northern California</v>
      </c>
      <c r="B1986" s="165">
        <f t="shared" si="21"/>
        <v>45901</v>
      </c>
      <c r="C1986" s="57" t="str">
        <f>IF($B1986="","",YEAR($B1986)&amp;"-"&amp;IFERROR(VLOOKUP(MONTH(B1986),KEY!$AE$5:$AF$16,2,FALSE),""))</f>
        <v>2025-Q3</v>
      </c>
      <c r="D1986" s="3" t="s">
        <v>152</v>
      </c>
      <c r="E1986" s="219">
        <v>41</v>
      </c>
      <c r="F1986" s="166">
        <v>170</v>
      </c>
      <c r="G1986" s="166">
        <v>178</v>
      </c>
      <c r="H1986" s="21">
        <v>454</v>
      </c>
      <c r="I1986" s="21">
        <v>71</v>
      </c>
      <c r="J1986" s="21">
        <v>156</v>
      </c>
      <c r="K1986" s="21">
        <v>41</v>
      </c>
      <c r="L1986" s="21">
        <v>381</v>
      </c>
      <c r="M1986" s="21">
        <v>131</v>
      </c>
      <c r="N1986" s="21">
        <v>170</v>
      </c>
      <c r="O1986" s="19">
        <v>264</v>
      </c>
      <c r="P1986" s="22">
        <v>40</v>
      </c>
      <c r="Q1986" s="22">
        <v>29</v>
      </c>
      <c r="R1986" s="20"/>
      <c r="S1986" s="234"/>
      <c r="T1986" s="235"/>
    </row>
    <row r="1987" spans="1:20" x14ac:dyDescent="0.35">
      <c r="A1987" s="3" t="str">
        <f>IF(D1987="","",(VLOOKUP($D1987,KEY!$B$5:$D$74,3,FALSE)))</f>
        <v>Arizona</v>
      </c>
      <c r="B1987" s="165">
        <f t="shared" si="21"/>
        <v>45901</v>
      </c>
      <c r="C1987" s="57" t="str">
        <f>IF($B1987="","",YEAR($B1987)&amp;"-"&amp;IFERROR(VLOOKUP(MONTH(B1987),KEY!$AE$5:$AF$16,2,FALSE),""))</f>
        <v>2025-Q3</v>
      </c>
      <c r="D1987" s="3" t="s">
        <v>153</v>
      </c>
      <c r="E1987" s="219">
        <v>34</v>
      </c>
      <c r="F1987" s="166">
        <v>82</v>
      </c>
      <c r="G1987" s="166">
        <v>92</v>
      </c>
      <c r="H1987" s="21">
        <v>163</v>
      </c>
      <c r="I1987" s="21">
        <v>22</v>
      </c>
      <c r="J1987" s="21">
        <v>108</v>
      </c>
      <c r="K1987" s="21">
        <v>12</v>
      </c>
      <c r="L1987" s="21">
        <v>331</v>
      </c>
      <c r="M1987" s="21">
        <v>52</v>
      </c>
      <c r="N1987" s="21">
        <v>83</v>
      </c>
      <c r="O1987" s="19">
        <v>286</v>
      </c>
      <c r="P1987" s="22">
        <v>1</v>
      </c>
      <c r="Q1987" s="22">
        <v>1</v>
      </c>
      <c r="R1987" s="20"/>
      <c r="S1987" s="234"/>
      <c r="T1987" s="235"/>
    </row>
    <row r="1988" spans="1:20" x14ac:dyDescent="0.35">
      <c r="A1988" s="3" t="str">
        <f>IF(D1988="","",(VLOOKUP($D1988,KEY!$B$5:$D$74,3,FALSE)))</f>
        <v>Northern California</v>
      </c>
      <c r="B1988" s="165">
        <f t="shared" si="21"/>
        <v>45901</v>
      </c>
      <c r="C1988" s="57" t="str">
        <f>IF($B1988="","",YEAR($B1988)&amp;"-"&amp;IFERROR(VLOOKUP(MONTH(B1988),KEY!$AE$5:$AF$16,2,FALSE),""))</f>
        <v>2025-Q3</v>
      </c>
      <c r="D1988" s="3" t="s">
        <v>154</v>
      </c>
      <c r="E1988" s="219">
        <v>21</v>
      </c>
      <c r="F1988" s="166">
        <v>100</v>
      </c>
      <c r="G1988" s="166">
        <v>59</v>
      </c>
      <c r="H1988" s="21">
        <v>291</v>
      </c>
      <c r="I1988" s="21">
        <v>31</v>
      </c>
      <c r="J1988" s="21">
        <v>188</v>
      </c>
      <c r="K1988" s="21">
        <v>26</v>
      </c>
      <c r="L1988" s="21">
        <v>295</v>
      </c>
      <c r="M1988" s="21">
        <v>63</v>
      </c>
      <c r="N1988" s="21">
        <v>101</v>
      </c>
      <c r="O1988" s="19">
        <v>198</v>
      </c>
      <c r="P1988" s="22">
        <v>6</v>
      </c>
      <c r="Q1988" s="22">
        <v>4</v>
      </c>
      <c r="R1988" s="20"/>
      <c r="S1988" s="234"/>
      <c r="T1988" s="235"/>
    </row>
    <row r="1989" spans="1:20" x14ac:dyDescent="0.35">
      <c r="A1989" s="3" t="str">
        <f>IF(D1989="","",(VLOOKUP($D1989,KEY!$B$5:$D$74,3,FALSE)))</f>
        <v>Texas</v>
      </c>
      <c r="B1989" s="165">
        <f t="shared" si="21"/>
        <v>45901</v>
      </c>
      <c r="C1989" s="57" t="str">
        <f>IF($B1989="","",YEAR($B1989)&amp;"-"&amp;IFERROR(VLOOKUP(MONTH(B1989),KEY!$AE$5:$AF$16,2,FALSE),""))</f>
        <v>2025-Q3</v>
      </c>
      <c r="D1989" s="3" t="s">
        <v>155</v>
      </c>
      <c r="E1989" s="219">
        <v>43</v>
      </c>
      <c r="F1989" s="166">
        <v>258</v>
      </c>
      <c r="G1989" s="166">
        <v>293</v>
      </c>
      <c r="H1989" s="21">
        <v>850</v>
      </c>
      <c r="I1989" s="21">
        <v>92</v>
      </c>
      <c r="J1989" s="21">
        <v>208</v>
      </c>
      <c r="K1989" s="21">
        <v>41</v>
      </c>
      <c r="L1989" s="21">
        <v>419</v>
      </c>
      <c r="M1989" s="21">
        <v>134</v>
      </c>
      <c r="N1989" s="21">
        <v>261</v>
      </c>
      <c r="O1989" s="19">
        <v>484</v>
      </c>
      <c r="P1989" s="22">
        <v>14</v>
      </c>
      <c r="Q1989" s="22">
        <v>10</v>
      </c>
      <c r="R1989" s="20"/>
      <c r="S1989" s="234"/>
      <c r="T1989" s="235"/>
    </row>
    <row r="1990" spans="1:20" x14ac:dyDescent="0.35">
      <c r="A1990" s="3" t="str">
        <f>IF(D1990="","",(VLOOKUP($D1990,KEY!$B$5:$D$74,3,FALSE)))</f>
        <v>Texas</v>
      </c>
      <c r="B1990" s="165">
        <f t="shared" si="21"/>
        <v>45901</v>
      </c>
      <c r="C1990" s="57" t="str">
        <f>IF($B1990="","",YEAR($B1990)&amp;"-"&amp;IFERROR(VLOOKUP(MONTH(B1990),KEY!$AE$5:$AF$16,2,FALSE),""))</f>
        <v>2025-Q3</v>
      </c>
      <c r="D1990" s="3" t="s">
        <v>156</v>
      </c>
      <c r="E1990" s="219">
        <v>35</v>
      </c>
      <c r="F1990" s="166">
        <v>193</v>
      </c>
      <c r="G1990" s="166">
        <v>189</v>
      </c>
      <c r="H1990" s="21">
        <v>379</v>
      </c>
      <c r="I1990" s="21">
        <v>43</v>
      </c>
      <c r="J1990" s="21">
        <v>216</v>
      </c>
      <c r="K1990" s="21">
        <v>50</v>
      </c>
      <c r="L1990" s="21">
        <v>199</v>
      </c>
      <c r="M1990" s="21">
        <v>64</v>
      </c>
      <c r="N1990" s="21">
        <v>194</v>
      </c>
      <c r="O1990" s="19">
        <v>308</v>
      </c>
      <c r="P1990" s="22">
        <v>4</v>
      </c>
      <c r="Q1990" s="22">
        <v>3</v>
      </c>
      <c r="R1990" s="20"/>
      <c r="S1990" s="234"/>
      <c r="T1990" s="235"/>
    </row>
    <row r="1991" spans="1:20" x14ac:dyDescent="0.35">
      <c r="A1991" s="3" t="str">
        <f>IF(D1991="","",(VLOOKUP($D1991,KEY!$B$5:$D$74,3,FALSE)))</f>
        <v>Texas</v>
      </c>
      <c r="B1991" s="165">
        <f t="shared" si="21"/>
        <v>45901</v>
      </c>
      <c r="C1991" s="57" t="str">
        <f>IF($B1991="","",YEAR($B1991)&amp;"-"&amp;IFERROR(VLOOKUP(MONTH(B1991),KEY!$AE$5:$AF$16,2,FALSE),""))</f>
        <v>2025-Q3</v>
      </c>
      <c r="D1991" s="3" t="s">
        <v>157</v>
      </c>
      <c r="E1991" s="219">
        <v>14</v>
      </c>
      <c r="F1991" s="166">
        <v>558</v>
      </c>
      <c r="G1991" s="166">
        <v>384</v>
      </c>
      <c r="H1991" s="21">
        <v>950</v>
      </c>
      <c r="I1991" s="21">
        <v>104</v>
      </c>
      <c r="J1991" s="21">
        <v>457</v>
      </c>
      <c r="K1991" s="21">
        <v>86</v>
      </c>
      <c r="L1991" s="21">
        <v>873</v>
      </c>
      <c r="M1991" s="21">
        <v>245</v>
      </c>
      <c r="N1991" s="21">
        <v>567</v>
      </c>
      <c r="O1991" s="19">
        <v>792</v>
      </c>
      <c r="P1991" s="22">
        <v>3</v>
      </c>
      <c r="Q1991" s="22">
        <v>1</v>
      </c>
      <c r="R1991" s="20"/>
      <c r="S1991" s="234"/>
      <c r="T1991" s="235"/>
    </row>
    <row r="1992" spans="1:20" x14ac:dyDescent="0.35">
      <c r="A1992" s="3" t="str">
        <f>IF(D1992="","",(VLOOKUP($D1992,KEY!$B$5:$D$74,3,FALSE)))</f>
        <v>Arizona</v>
      </c>
      <c r="B1992" s="165">
        <f t="shared" si="21"/>
        <v>45901</v>
      </c>
      <c r="C1992" s="57" t="str">
        <f>IF($B1992="","",YEAR($B1992)&amp;"-"&amp;IFERROR(VLOOKUP(MONTH(B1992),KEY!$AE$5:$AF$16,2,FALSE),""))</f>
        <v>2025-Q3</v>
      </c>
      <c r="D1992" s="3" t="s">
        <v>158</v>
      </c>
      <c r="E1992" s="219">
        <v>4</v>
      </c>
      <c r="F1992" s="166">
        <v>26</v>
      </c>
      <c r="G1992" s="166">
        <v>26</v>
      </c>
      <c r="H1992" s="21">
        <v>59</v>
      </c>
      <c r="I1992" s="21">
        <v>6</v>
      </c>
      <c r="J1992" s="21">
        <v>54</v>
      </c>
      <c r="K1992" s="21">
        <v>0</v>
      </c>
      <c r="L1992" s="21">
        <v>49</v>
      </c>
      <c r="M1992" s="21">
        <v>10</v>
      </c>
      <c r="N1992" s="21">
        <v>24</v>
      </c>
      <c r="O1992" s="19">
        <v>72</v>
      </c>
      <c r="P1992" s="22">
        <v>0</v>
      </c>
      <c r="Q1992" s="22">
        <v>0</v>
      </c>
      <c r="R1992" s="20"/>
      <c r="S1992" s="234"/>
      <c r="T1992" s="235"/>
    </row>
    <row r="1993" spans="1:20" x14ac:dyDescent="0.35">
      <c r="A1993" s="3" t="str">
        <f>IF(D1993="","",(VLOOKUP($D1993,KEY!$B$5:$D$74,3,FALSE)))</f>
        <v>Orange County</v>
      </c>
      <c r="B1993" s="165">
        <f t="shared" si="21"/>
        <v>45901</v>
      </c>
      <c r="C1993" s="57" t="str">
        <f>IF($B1993="","",YEAR($B1993)&amp;"-"&amp;IFERROR(VLOOKUP(MONTH(B1993),KEY!$AE$5:$AF$16,2,FALSE),""))</f>
        <v>2025-Q3</v>
      </c>
      <c r="D1993" s="3" t="s">
        <v>159</v>
      </c>
      <c r="E1993" s="219">
        <v>18</v>
      </c>
      <c r="F1993" s="166">
        <v>82</v>
      </c>
      <c r="G1993" s="166">
        <v>121</v>
      </c>
      <c r="H1993" s="21">
        <v>210</v>
      </c>
      <c r="I1993" s="21">
        <v>30</v>
      </c>
      <c r="J1993" s="21">
        <v>71</v>
      </c>
      <c r="K1993" s="21">
        <v>18</v>
      </c>
      <c r="L1993" s="21">
        <v>194</v>
      </c>
      <c r="M1993" s="21">
        <v>60</v>
      </c>
      <c r="N1993" s="21">
        <v>83</v>
      </c>
      <c r="O1993" s="19">
        <v>176</v>
      </c>
      <c r="P1993" s="22">
        <v>16</v>
      </c>
      <c r="Q1993" s="22">
        <v>12</v>
      </c>
      <c r="R1993" s="20"/>
      <c r="S1993" s="234"/>
      <c r="T1993" s="235"/>
    </row>
    <row r="1994" spans="1:20" x14ac:dyDescent="0.35">
      <c r="A1994" s="3" t="str">
        <f>IF(D1994="","",(VLOOKUP($D1994,KEY!$B$5:$D$74,3,FALSE)))</f>
        <v>Arizona</v>
      </c>
      <c r="B1994" s="165">
        <f t="shared" si="21"/>
        <v>45901</v>
      </c>
      <c r="C1994" s="57" t="str">
        <f>IF($B1994="","",YEAR($B1994)&amp;"-"&amp;IFERROR(VLOOKUP(MONTH(B1994),KEY!$AE$5:$AF$16,2,FALSE),""))</f>
        <v>2025-Q3</v>
      </c>
      <c r="D1994" s="3" t="s">
        <v>160</v>
      </c>
      <c r="E1994" s="219">
        <v>54</v>
      </c>
      <c r="F1994" s="166">
        <v>295</v>
      </c>
      <c r="G1994" s="166">
        <v>313</v>
      </c>
      <c r="H1994" s="21">
        <v>645</v>
      </c>
      <c r="I1994" s="21">
        <v>123</v>
      </c>
      <c r="J1994" s="21">
        <v>233</v>
      </c>
      <c r="K1994" s="21">
        <v>44</v>
      </c>
      <c r="L1994" s="21">
        <v>473</v>
      </c>
      <c r="M1994" s="21">
        <v>198</v>
      </c>
      <c r="N1994" s="21">
        <v>314</v>
      </c>
      <c r="O1994" s="19">
        <v>440</v>
      </c>
      <c r="P1994" s="22">
        <v>32</v>
      </c>
      <c r="Q1994" s="22">
        <v>19</v>
      </c>
      <c r="R1994" s="20"/>
      <c r="S1994" s="234"/>
      <c r="T1994" s="235"/>
    </row>
    <row r="1995" spans="1:20" x14ac:dyDescent="0.35">
      <c r="A1995" s="3" t="str">
        <f>IF(D1995="","",(VLOOKUP($D1995,KEY!$B$5:$D$74,3,FALSE)))</f>
        <v>Northern California</v>
      </c>
      <c r="B1995" s="165">
        <f t="shared" si="21"/>
        <v>45901</v>
      </c>
      <c r="C1995" s="57" t="str">
        <f>IF($B1995="","",YEAR($B1995)&amp;"-"&amp;IFERROR(VLOOKUP(MONTH(B1995),KEY!$AE$5:$AF$16,2,FALSE),""))</f>
        <v>2025-Q3</v>
      </c>
      <c r="D1995" s="3" t="s">
        <v>161</v>
      </c>
      <c r="E1995" s="219">
        <v>17</v>
      </c>
      <c r="F1995" s="166">
        <v>253</v>
      </c>
      <c r="G1995" s="166">
        <v>223</v>
      </c>
      <c r="H1995" s="21">
        <v>435</v>
      </c>
      <c r="I1995" s="21">
        <v>57</v>
      </c>
      <c r="J1995" s="21">
        <v>244</v>
      </c>
      <c r="K1995" s="21">
        <v>49</v>
      </c>
      <c r="L1995" s="21">
        <v>329</v>
      </c>
      <c r="M1995" s="21">
        <v>105</v>
      </c>
      <c r="N1995" s="21">
        <v>269</v>
      </c>
      <c r="O1995" s="19">
        <v>440</v>
      </c>
      <c r="P1995" s="22">
        <v>5</v>
      </c>
      <c r="Q1995" s="22">
        <v>3</v>
      </c>
      <c r="R1995" s="20"/>
      <c r="S1995" s="234"/>
      <c r="T1995" s="235"/>
    </row>
    <row r="1996" spans="1:20" x14ac:dyDescent="0.35">
      <c r="A1996" s="3" t="str">
        <f>IF(D1996="","",(VLOOKUP($D1996,KEY!$B$5:$D$74,3,FALSE)))</f>
        <v>Arizona</v>
      </c>
      <c r="B1996" s="165">
        <f t="shared" si="21"/>
        <v>45901</v>
      </c>
      <c r="C1996" s="57" t="str">
        <f>IF($B1996="","",YEAR($B1996)&amp;"-"&amp;IFERROR(VLOOKUP(MONTH(B1996),KEY!$AE$5:$AF$16,2,FALSE),""))</f>
        <v>2025-Q3</v>
      </c>
      <c r="D1996" s="3" t="s">
        <v>163</v>
      </c>
      <c r="E1996" s="219">
        <v>49</v>
      </c>
      <c r="F1996" s="166">
        <v>277</v>
      </c>
      <c r="G1996" s="166">
        <v>242</v>
      </c>
      <c r="H1996" s="21">
        <v>419</v>
      </c>
      <c r="I1996" s="21">
        <v>64</v>
      </c>
      <c r="J1996" s="21">
        <v>137</v>
      </c>
      <c r="K1996" s="21">
        <v>44</v>
      </c>
      <c r="L1996" s="21">
        <v>387</v>
      </c>
      <c r="M1996" s="21">
        <v>162</v>
      </c>
      <c r="N1996" s="21">
        <v>301</v>
      </c>
      <c r="O1996" s="19">
        <v>418</v>
      </c>
      <c r="P1996" s="22">
        <v>5</v>
      </c>
      <c r="Q1996" s="22">
        <v>2</v>
      </c>
      <c r="R1996" s="20"/>
      <c r="S1996" s="234"/>
      <c r="T1996" s="235"/>
    </row>
    <row r="1997" spans="1:20" x14ac:dyDescent="0.35">
      <c r="A1997" s="3" t="str">
        <f>IF(D1997="","",(VLOOKUP($D1997,KEY!$B$5:$D$74,3,FALSE)))</f>
        <v>Arizona</v>
      </c>
      <c r="B1997" s="165">
        <f t="shared" si="21"/>
        <v>45901</v>
      </c>
      <c r="C1997" s="57" t="str">
        <f>IF($B1997="","",YEAR($B1997)&amp;"-"&amp;IFERROR(VLOOKUP(MONTH(B1997),KEY!$AE$5:$AF$16,2,FALSE),""))</f>
        <v>2025-Q3</v>
      </c>
      <c r="D1997" s="3" t="s">
        <v>164</v>
      </c>
      <c r="E1997" s="219">
        <v>12</v>
      </c>
      <c r="F1997" s="166">
        <v>47</v>
      </c>
      <c r="G1997" s="166">
        <v>67</v>
      </c>
      <c r="H1997" s="21">
        <v>87</v>
      </c>
      <c r="I1997" s="21">
        <v>14</v>
      </c>
      <c r="J1997" s="21">
        <v>15</v>
      </c>
      <c r="K1997" s="21">
        <v>11</v>
      </c>
      <c r="L1997" s="21">
        <v>86</v>
      </c>
      <c r="M1997" s="21">
        <v>36</v>
      </c>
      <c r="N1997" s="21">
        <v>52</v>
      </c>
      <c r="O1997" s="19">
        <v>132</v>
      </c>
      <c r="P1997" s="22">
        <v>10</v>
      </c>
      <c r="Q1997" s="22">
        <v>9</v>
      </c>
      <c r="R1997" s="20"/>
      <c r="S1997" s="234"/>
      <c r="T1997" s="235"/>
    </row>
    <row r="1998" spans="1:20" x14ac:dyDescent="0.35">
      <c r="A1998" s="3" t="str">
        <f>IF(D1998="","",(VLOOKUP($D1998,KEY!$B$5:$D$74,3,FALSE)))</f>
        <v>Orange County</v>
      </c>
      <c r="B1998" s="165">
        <f t="shared" ref="B1998:B2002" si="22">B1997</f>
        <v>45901</v>
      </c>
      <c r="C1998" s="57" t="str">
        <f>IF($B1998="","",YEAR($B1998)&amp;"-"&amp;IFERROR(VLOOKUP(MONTH(B1998),KEY!$AE$5:$AF$16,2,FALSE),""))</f>
        <v>2025-Q3</v>
      </c>
      <c r="D1998" s="3" t="s">
        <v>165</v>
      </c>
      <c r="E1998" s="219">
        <v>15</v>
      </c>
      <c r="F1998" s="166">
        <v>53</v>
      </c>
      <c r="G1998" s="166">
        <v>58</v>
      </c>
      <c r="H1998" s="21">
        <v>159</v>
      </c>
      <c r="I1998" s="21">
        <v>13</v>
      </c>
      <c r="J1998" s="21">
        <v>41</v>
      </c>
      <c r="K1998" s="21">
        <v>15</v>
      </c>
      <c r="L1998" s="21">
        <v>63</v>
      </c>
      <c r="M1998" s="21">
        <v>39</v>
      </c>
      <c r="N1998" s="21">
        <v>55</v>
      </c>
      <c r="O1998" s="19">
        <v>110</v>
      </c>
      <c r="P1998" s="22">
        <v>27</v>
      </c>
      <c r="Q1998" s="22">
        <v>14</v>
      </c>
      <c r="R1998" s="20"/>
      <c r="S1998" s="234"/>
      <c r="T1998" s="235"/>
    </row>
    <row r="1999" spans="1:20" x14ac:dyDescent="0.35">
      <c r="A1999" s="3" t="str">
        <f>IF(D1999="","",(VLOOKUP($D1999,KEY!$B$5:$D$74,3,FALSE)))</f>
        <v/>
      </c>
      <c r="B1999" s="165">
        <f t="shared" si="22"/>
        <v>45901</v>
      </c>
      <c r="C1999" s="57" t="str">
        <f>IF($B1999="","",YEAR($B1999)&amp;"-"&amp;IFERROR(VLOOKUP(MONTH(B1999),KEY!$AE$5:$AF$16,2,FALSE),""))</f>
        <v>2025-Q3</v>
      </c>
      <c r="D1999" s="3"/>
      <c r="E1999" s="219"/>
      <c r="F1999" s="166"/>
      <c r="G1999" s="166"/>
      <c r="H1999" s="21"/>
      <c r="I1999" s="21"/>
      <c r="J1999" s="21"/>
      <c r="K1999" s="21"/>
      <c r="L1999" s="21"/>
      <c r="M1999" s="21"/>
      <c r="N1999" s="21"/>
      <c r="O1999" s="19"/>
      <c r="P1999" s="22"/>
      <c r="Q1999" s="22"/>
      <c r="R1999" s="20"/>
      <c r="S1999" s="234"/>
      <c r="T1999" s="235"/>
    </row>
    <row r="2000" spans="1:20" x14ac:dyDescent="0.35">
      <c r="A2000" s="3" t="str">
        <f>IF(D2000="","",(VLOOKUP($D2000,KEY!$B$5:$D$74,3,FALSE)))</f>
        <v/>
      </c>
      <c r="B2000" s="165">
        <f t="shared" si="22"/>
        <v>45901</v>
      </c>
      <c r="C2000" s="57" t="str">
        <f>IF($B2000="","",YEAR($B2000)&amp;"-"&amp;IFERROR(VLOOKUP(MONTH(B2000),KEY!$AE$5:$AF$16,2,FALSE),""))</f>
        <v>2025-Q3</v>
      </c>
      <c r="D2000" s="3"/>
      <c r="E2000" s="219"/>
      <c r="F2000" s="166"/>
      <c r="G2000" s="166"/>
      <c r="H2000" s="21"/>
      <c r="I2000" s="21"/>
      <c r="J2000" s="21"/>
      <c r="K2000" s="21"/>
      <c r="L2000" s="21"/>
      <c r="M2000" s="21"/>
      <c r="N2000" s="21"/>
      <c r="O2000" s="19"/>
      <c r="P2000" s="22"/>
      <c r="Q2000" s="22"/>
      <c r="R2000" s="20"/>
      <c r="S2000" s="234"/>
      <c r="T2000" s="235"/>
    </row>
    <row r="2001" spans="1:20" x14ac:dyDescent="0.35">
      <c r="A2001" s="3" t="str">
        <f>IF(D2001="","",(VLOOKUP($D2001,KEY!$B$5:$D$74,3,FALSE)))</f>
        <v/>
      </c>
      <c r="B2001" s="165">
        <f t="shared" si="22"/>
        <v>45901</v>
      </c>
      <c r="C2001" s="57" t="str">
        <f>IF($B2001="","",YEAR($B2001)&amp;"-"&amp;IFERROR(VLOOKUP(MONTH(B2001),KEY!$AE$5:$AF$16,2,FALSE),""))</f>
        <v>2025-Q3</v>
      </c>
      <c r="D2001" s="3"/>
      <c r="E2001" s="219"/>
      <c r="F2001" s="166"/>
      <c r="G2001" s="166"/>
      <c r="H2001" s="21"/>
      <c r="I2001" s="21"/>
      <c r="J2001" s="21"/>
      <c r="K2001" s="21"/>
      <c r="L2001" s="21"/>
      <c r="M2001" s="21"/>
      <c r="N2001" s="21"/>
      <c r="O2001" s="19"/>
      <c r="P2001" s="22"/>
      <c r="Q2001" s="22"/>
      <c r="R2001" s="20"/>
      <c r="S2001" s="234"/>
      <c r="T2001" s="235"/>
    </row>
    <row r="2002" spans="1:20" x14ac:dyDescent="0.35">
      <c r="A2002" s="3" t="str">
        <f>IF(D2002="","",(VLOOKUP($D2002,KEY!$B$5:$D$74,3,FALSE)))</f>
        <v/>
      </c>
      <c r="B2002" s="426">
        <f t="shared" si="22"/>
        <v>45901</v>
      </c>
      <c r="C2002" s="427" t="str">
        <f>IF($B2002="","",YEAR($B2002)&amp;"-"&amp;IFERROR(VLOOKUP(MONTH(B2002),KEY!$AE$5:$AF$16,2,FALSE),""))</f>
        <v>2025-Q3</v>
      </c>
      <c r="D2002" s="428"/>
      <c r="E2002" s="429"/>
      <c r="F2002" s="430"/>
      <c r="G2002" s="430"/>
      <c r="H2002" s="431"/>
      <c r="I2002" s="431"/>
      <c r="J2002" s="431"/>
      <c r="K2002" s="431"/>
      <c r="L2002" s="431"/>
      <c r="M2002" s="431"/>
      <c r="N2002" s="431"/>
      <c r="O2002" s="432"/>
      <c r="P2002" s="433"/>
      <c r="Q2002" s="433"/>
      <c r="R2002" s="20"/>
      <c r="S2002" s="234"/>
      <c r="T2002" s="235"/>
    </row>
    <row r="2003" spans="1:20" x14ac:dyDescent="0.35">
      <c r="A2003" s="3" t="str">
        <f>IF(D2003="","",(VLOOKUP($D2003,KEY!$B$5:$D$74,3,FALSE)))</f>
        <v>Arizona</v>
      </c>
      <c r="B2003" s="165">
        <f>DATE(YEAR(B2002+31),MONTH(B2002+31),1)</f>
        <v>45931</v>
      </c>
      <c r="C2003" s="57" t="str">
        <f>IF($B2003="","",YEAR($B2003)&amp;"-"&amp;IFERROR(VLOOKUP(MONTH(B2003),KEY!$AE$5:$AF$16,2,FALSE),""))</f>
        <v>2025-Q4</v>
      </c>
      <c r="D2003" s="3" t="s">
        <v>111</v>
      </c>
      <c r="E2003" s="219">
        <v>4</v>
      </c>
      <c r="F2003" s="166">
        <v>75</v>
      </c>
      <c r="G2003" s="166">
        <v>68</v>
      </c>
      <c r="H2003" s="21">
        <v>203</v>
      </c>
      <c r="I2003" s="21">
        <v>23</v>
      </c>
      <c r="J2003" s="21">
        <v>70</v>
      </c>
      <c r="K2003" s="21">
        <v>9</v>
      </c>
      <c r="L2003" s="21">
        <v>83</v>
      </c>
      <c r="M2003" s="21">
        <v>48</v>
      </c>
      <c r="N2003" s="21">
        <v>75</v>
      </c>
      <c r="O2003" s="19">
        <v>154</v>
      </c>
      <c r="P2003" s="22">
        <v>7</v>
      </c>
      <c r="Q2003" s="22">
        <v>4</v>
      </c>
      <c r="R2003" s="20"/>
      <c r="S2003" s="234"/>
      <c r="T2003" s="235"/>
    </row>
    <row r="2004" spans="1:20" x14ac:dyDescent="0.35">
      <c r="A2004" s="3" t="str">
        <f>IF(D2004="","",(VLOOKUP($D2004,KEY!$B$5:$D$74,3,FALSE)))</f>
        <v>Southern California</v>
      </c>
      <c r="B2004" s="165">
        <f t="shared" ref="B2004:B2067" si="23">B2003</f>
        <v>45931</v>
      </c>
      <c r="C2004" s="57" t="str">
        <f>IF($B2004="","",YEAR($B2004)&amp;"-"&amp;IFERROR(VLOOKUP(MONTH(B2004),KEY!$AE$5:$AF$16,2,FALSE),""))</f>
        <v>2025-Q4</v>
      </c>
      <c r="D2004" s="3" t="s">
        <v>112</v>
      </c>
      <c r="E2004" s="219">
        <v>4</v>
      </c>
      <c r="F2004" s="166">
        <v>50</v>
      </c>
      <c r="G2004" s="166">
        <v>34</v>
      </c>
      <c r="H2004" s="21">
        <v>82</v>
      </c>
      <c r="I2004" s="21">
        <v>14</v>
      </c>
      <c r="J2004" s="21">
        <v>35</v>
      </c>
      <c r="K2004" s="21">
        <v>7</v>
      </c>
      <c r="L2004" s="21">
        <v>64</v>
      </c>
      <c r="M2004" s="21">
        <v>36</v>
      </c>
      <c r="N2004" s="21">
        <v>50</v>
      </c>
      <c r="O2004" s="19">
        <v>110</v>
      </c>
      <c r="P2004" s="22">
        <v>5</v>
      </c>
      <c r="Q2004" s="22">
        <v>4</v>
      </c>
      <c r="R2004" s="20"/>
      <c r="S2004" s="234"/>
      <c r="T2004" s="235"/>
    </row>
    <row r="2005" spans="1:20" x14ac:dyDescent="0.35">
      <c r="A2005" s="3" t="str">
        <f>IF(D2005="","",(VLOOKUP($D2005,KEY!$B$5:$D$74,3,FALSE)))</f>
        <v>Arizona</v>
      </c>
      <c r="B2005" s="165">
        <f t="shared" si="23"/>
        <v>45931</v>
      </c>
      <c r="C2005" s="57" t="str">
        <f>IF($B2005="","",YEAR($B2005)&amp;"-"&amp;IFERROR(VLOOKUP(MONTH(B2005),KEY!$AE$5:$AF$16,2,FALSE),""))</f>
        <v>2025-Q4</v>
      </c>
      <c r="D2005" s="3" t="s">
        <v>113</v>
      </c>
      <c r="E2005" s="219">
        <v>2</v>
      </c>
      <c r="F2005" s="166">
        <v>52</v>
      </c>
      <c r="G2005" s="166">
        <v>52</v>
      </c>
      <c r="H2005" s="21">
        <v>153</v>
      </c>
      <c r="I2005" s="21">
        <v>5</v>
      </c>
      <c r="J2005" s="21">
        <v>57</v>
      </c>
      <c r="K2005" s="21">
        <v>5</v>
      </c>
      <c r="L2005" s="21">
        <v>27</v>
      </c>
      <c r="M2005" s="21">
        <v>12</v>
      </c>
      <c r="N2005" s="21">
        <v>54</v>
      </c>
      <c r="O2005" s="19">
        <v>154</v>
      </c>
      <c r="P2005" s="22">
        <v>2</v>
      </c>
      <c r="Q2005" s="22">
        <v>2</v>
      </c>
      <c r="R2005" s="20"/>
      <c r="S2005" s="234"/>
      <c r="T2005" s="235"/>
    </row>
    <row r="2006" spans="1:20" x14ac:dyDescent="0.35">
      <c r="A2006" s="3" t="str">
        <f>IF(D2006="","",(VLOOKUP($D2006,KEY!$B$5:$D$74,3,FALSE)))</f>
        <v>Southern California</v>
      </c>
      <c r="B2006" s="165">
        <f t="shared" si="23"/>
        <v>45931</v>
      </c>
      <c r="C2006" s="57" t="str">
        <f>IF($B2006="","",YEAR($B2006)&amp;"-"&amp;IFERROR(VLOOKUP(MONTH(B2006),KEY!$AE$5:$AF$16,2,FALSE),""))</f>
        <v>2025-Q4</v>
      </c>
      <c r="D2006" s="3" t="s">
        <v>114</v>
      </c>
      <c r="E2006" s="219">
        <v>7</v>
      </c>
      <c r="F2006" s="166">
        <v>32</v>
      </c>
      <c r="G2006" s="166">
        <v>40</v>
      </c>
      <c r="H2006" s="21">
        <v>62</v>
      </c>
      <c r="I2006" s="21">
        <v>7</v>
      </c>
      <c r="J2006" s="21">
        <v>23</v>
      </c>
      <c r="K2006" s="21">
        <v>3</v>
      </c>
      <c r="L2006" s="21">
        <v>17</v>
      </c>
      <c r="M2006" s="21">
        <v>12</v>
      </c>
      <c r="N2006" s="21">
        <v>32</v>
      </c>
      <c r="O2006" s="19">
        <v>110</v>
      </c>
      <c r="P2006" s="22">
        <v>10</v>
      </c>
      <c r="Q2006" s="22">
        <v>7</v>
      </c>
      <c r="R2006" s="20"/>
      <c r="S2006" s="234"/>
      <c r="T2006" s="235"/>
    </row>
    <row r="2007" spans="1:20" x14ac:dyDescent="0.35">
      <c r="A2007" s="3" t="str">
        <f>IF(D2007="","",(VLOOKUP($D2007,KEY!$B$5:$D$74,3,FALSE)))</f>
        <v>Orange County</v>
      </c>
      <c r="B2007" s="165">
        <f t="shared" si="23"/>
        <v>45931</v>
      </c>
      <c r="C2007" s="57" t="str">
        <f>IF($B2007="","",YEAR($B2007)&amp;"-"&amp;IFERROR(VLOOKUP(MONTH(B2007),KEY!$AE$5:$AF$16,2,FALSE),""))</f>
        <v>2025-Q4</v>
      </c>
      <c r="D2007" s="3" t="s">
        <v>115</v>
      </c>
      <c r="E2007" s="219">
        <v>1</v>
      </c>
      <c r="F2007" s="166">
        <v>33</v>
      </c>
      <c r="G2007" s="166">
        <v>44</v>
      </c>
      <c r="H2007" s="21">
        <v>75</v>
      </c>
      <c r="I2007" s="21">
        <v>11</v>
      </c>
      <c r="J2007" s="21">
        <v>38</v>
      </c>
      <c r="K2007" s="21">
        <v>7</v>
      </c>
      <c r="L2007" s="21">
        <v>22</v>
      </c>
      <c r="M2007" s="21">
        <v>12</v>
      </c>
      <c r="N2007" s="21">
        <v>33</v>
      </c>
      <c r="O2007" s="19">
        <v>110</v>
      </c>
      <c r="P2007" s="22">
        <v>3</v>
      </c>
      <c r="Q2007" s="22">
        <v>1</v>
      </c>
      <c r="R2007" s="20"/>
      <c r="S2007" s="234"/>
      <c r="T2007" s="235"/>
    </row>
    <row r="2008" spans="1:20" x14ac:dyDescent="0.35">
      <c r="A2008" s="3" t="str">
        <f>IF(D2008="","",(VLOOKUP($D2008,KEY!$B$5:$D$74,3,FALSE)))</f>
        <v>Arizona</v>
      </c>
      <c r="B2008" s="165">
        <f t="shared" si="23"/>
        <v>45931</v>
      </c>
      <c r="C2008" s="57" t="str">
        <f>IF($B2008="","",YEAR($B2008)&amp;"-"&amp;IFERROR(VLOOKUP(MONTH(B2008),KEY!$AE$5:$AF$16,2,FALSE),""))</f>
        <v>2025-Q4</v>
      </c>
      <c r="D2008" s="3" t="s">
        <v>116</v>
      </c>
      <c r="E2008" s="219">
        <v>6</v>
      </c>
      <c r="F2008" s="166">
        <v>106</v>
      </c>
      <c r="G2008" s="166">
        <v>94</v>
      </c>
      <c r="H2008" s="21">
        <v>227</v>
      </c>
      <c r="I2008" s="21">
        <v>13</v>
      </c>
      <c r="J2008" s="21">
        <v>93</v>
      </c>
      <c r="K2008" s="21">
        <v>9</v>
      </c>
      <c r="L2008" s="21">
        <v>63</v>
      </c>
      <c r="M2008" s="21">
        <v>30</v>
      </c>
      <c r="N2008" s="21">
        <v>106</v>
      </c>
      <c r="O2008" s="19">
        <v>220</v>
      </c>
      <c r="P2008" s="22">
        <v>13</v>
      </c>
      <c r="Q2008" s="22">
        <v>5</v>
      </c>
      <c r="R2008" s="20"/>
      <c r="S2008" s="234"/>
      <c r="T2008" s="235"/>
    </row>
    <row r="2009" spans="1:20" x14ac:dyDescent="0.35">
      <c r="A2009" s="3" t="str">
        <f>IF(D2009="","",(VLOOKUP($D2009,KEY!$B$5:$D$74,3,FALSE)))</f>
        <v>Northern California</v>
      </c>
      <c r="B2009" s="165">
        <f t="shared" si="23"/>
        <v>45931</v>
      </c>
      <c r="C2009" s="57" t="str">
        <f>IF($B2009="","",YEAR($B2009)&amp;"-"&amp;IFERROR(VLOOKUP(MONTH(B2009),KEY!$AE$5:$AF$16,2,FALSE),""))</f>
        <v>2025-Q4</v>
      </c>
      <c r="D2009" s="3" t="s">
        <v>118</v>
      </c>
      <c r="E2009" s="219">
        <v>2</v>
      </c>
      <c r="F2009" s="166">
        <v>84</v>
      </c>
      <c r="G2009" s="166">
        <v>161</v>
      </c>
      <c r="H2009" s="21">
        <v>350</v>
      </c>
      <c r="I2009" s="21">
        <v>8</v>
      </c>
      <c r="J2009" s="21">
        <v>186</v>
      </c>
      <c r="K2009" s="21">
        <v>4</v>
      </c>
      <c r="L2009" s="21">
        <v>44</v>
      </c>
      <c r="M2009" s="21">
        <v>10</v>
      </c>
      <c r="N2009" s="21">
        <v>83</v>
      </c>
      <c r="O2009" s="19">
        <v>220</v>
      </c>
      <c r="P2009" s="22">
        <v>36</v>
      </c>
      <c r="Q2009" s="22">
        <v>17</v>
      </c>
      <c r="R2009" s="20"/>
      <c r="S2009" s="234"/>
      <c r="T2009" s="235"/>
    </row>
    <row r="2010" spans="1:20" x14ac:dyDescent="0.35">
      <c r="A2010" s="3" t="str">
        <f>IF(D2010="","",(VLOOKUP($D2010,KEY!$B$5:$D$74,3,FALSE)))</f>
        <v>Orange County</v>
      </c>
      <c r="B2010" s="165">
        <f t="shared" si="23"/>
        <v>45931</v>
      </c>
      <c r="C2010" s="57" t="str">
        <f>IF($B2010="","",YEAR($B2010)&amp;"-"&amp;IFERROR(VLOOKUP(MONTH(B2010),KEY!$AE$5:$AF$16,2,FALSE),""))</f>
        <v>2025-Q4</v>
      </c>
      <c r="D2010" s="3" t="s">
        <v>117</v>
      </c>
      <c r="E2010" s="219">
        <v>6</v>
      </c>
      <c r="F2010" s="166">
        <v>59</v>
      </c>
      <c r="G2010" s="166">
        <v>76</v>
      </c>
      <c r="H2010" s="21">
        <v>113</v>
      </c>
      <c r="I2010" s="21">
        <v>15</v>
      </c>
      <c r="J2010" s="21">
        <v>66</v>
      </c>
      <c r="K2010" s="21">
        <v>16</v>
      </c>
      <c r="L2010" s="21">
        <v>30</v>
      </c>
      <c r="M2010" s="21">
        <v>16</v>
      </c>
      <c r="N2010" s="21">
        <v>59</v>
      </c>
      <c r="O2010" s="19">
        <v>132</v>
      </c>
      <c r="P2010" s="22">
        <v>21</v>
      </c>
      <c r="Q2010" s="22">
        <v>13</v>
      </c>
      <c r="R2010" s="20"/>
      <c r="S2010" s="234"/>
      <c r="T2010" s="235"/>
    </row>
    <row r="2011" spans="1:20" x14ac:dyDescent="0.35">
      <c r="A2011" s="3" t="str">
        <f>IF(D2011="","",(VLOOKUP($D2011,KEY!$B$5:$D$74,3,FALSE)))</f>
        <v>Arizona</v>
      </c>
      <c r="B2011" s="165">
        <f t="shared" si="23"/>
        <v>45931</v>
      </c>
      <c r="C2011" s="57" t="str">
        <f>IF($B2011="","",YEAR($B2011)&amp;"-"&amp;IFERROR(VLOOKUP(MONTH(B2011),KEY!$AE$5:$AF$16,2,FALSE),""))</f>
        <v>2025-Q4</v>
      </c>
      <c r="D2011" s="3" t="s">
        <v>119</v>
      </c>
      <c r="E2011" s="219">
        <v>9</v>
      </c>
      <c r="F2011" s="166">
        <v>29</v>
      </c>
      <c r="G2011" s="166">
        <v>17</v>
      </c>
      <c r="H2011" s="21">
        <v>21</v>
      </c>
      <c r="I2011" s="21">
        <v>8</v>
      </c>
      <c r="J2011" s="21">
        <v>19</v>
      </c>
      <c r="K2011" s="21">
        <v>8</v>
      </c>
      <c r="L2011" s="21">
        <v>148</v>
      </c>
      <c r="M2011" s="21">
        <v>15</v>
      </c>
      <c r="N2011" s="21">
        <v>29</v>
      </c>
      <c r="O2011" s="19">
        <v>48</v>
      </c>
      <c r="P2011" s="22">
        <v>1</v>
      </c>
      <c r="Q2011" s="22">
        <v>0</v>
      </c>
      <c r="R2011" s="20"/>
      <c r="S2011" s="234"/>
      <c r="T2011" s="235"/>
    </row>
    <row r="2012" spans="1:20" x14ac:dyDescent="0.35">
      <c r="A2012" s="3" t="str">
        <f>IF(D2012="","",(VLOOKUP($D2012,KEY!$B$5:$D$74,3,FALSE)))</f>
        <v/>
      </c>
      <c r="B2012" s="165">
        <f t="shared" si="23"/>
        <v>45931</v>
      </c>
      <c r="C2012" s="57" t="str">
        <f>IF($B2012="","",YEAR($B2012)&amp;"-"&amp;IFERROR(VLOOKUP(MONTH(B2012),KEY!$AE$5:$AF$16,2,FALSE),""))</f>
        <v>2025-Q4</v>
      </c>
      <c r="D2012" s="3"/>
      <c r="E2012" s="219"/>
      <c r="F2012" s="166"/>
      <c r="G2012" s="166"/>
      <c r="H2012" s="21"/>
      <c r="I2012" s="21"/>
      <c r="J2012" s="21"/>
      <c r="K2012" s="21"/>
      <c r="L2012" s="21"/>
      <c r="M2012" s="21"/>
      <c r="N2012" s="21"/>
      <c r="O2012" s="19"/>
      <c r="P2012" s="22"/>
      <c r="Q2012" s="22"/>
      <c r="R2012" s="20"/>
      <c r="S2012" s="234"/>
      <c r="T2012" s="235"/>
    </row>
    <row r="2013" spans="1:20" x14ac:dyDescent="0.35">
      <c r="A2013" s="3" t="str">
        <f>IF(D2013="","",(VLOOKUP($D2013,KEY!$B$5:$D$74,3,FALSE)))</f>
        <v>Arizona</v>
      </c>
      <c r="B2013" s="165">
        <f t="shared" si="23"/>
        <v>45931</v>
      </c>
      <c r="C2013" s="57" t="str">
        <f>IF($B2013="","",YEAR($B2013)&amp;"-"&amp;IFERROR(VLOOKUP(MONTH(B2013),KEY!$AE$5:$AF$16,2,FALSE),""))</f>
        <v>2025-Q4</v>
      </c>
      <c r="D2013" s="3" t="s">
        <v>120</v>
      </c>
      <c r="E2013" s="219">
        <v>54</v>
      </c>
      <c r="F2013" s="166">
        <v>311</v>
      </c>
      <c r="G2013" s="166">
        <v>370</v>
      </c>
      <c r="H2013" s="21">
        <v>576</v>
      </c>
      <c r="I2013" s="21">
        <v>74</v>
      </c>
      <c r="J2013" s="21">
        <v>261</v>
      </c>
      <c r="K2013" s="21">
        <v>48</v>
      </c>
      <c r="L2013" s="21">
        <v>533</v>
      </c>
      <c r="M2013" s="21">
        <v>196</v>
      </c>
      <c r="N2013" s="21">
        <v>313</v>
      </c>
      <c r="O2013" s="19">
        <v>572</v>
      </c>
      <c r="P2013" s="22">
        <v>59</v>
      </c>
      <c r="Q2013" s="22">
        <v>36</v>
      </c>
      <c r="R2013" s="20"/>
      <c r="S2013" s="234"/>
      <c r="T2013" s="235"/>
    </row>
    <row r="2014" spans="1:20" x14ac:dyDescent="0.35">
      <c r="A2014" s="3" t="str">
        <f>IF(D2014="","",(VLOOKUP($D2014,KEY!$B$5:$D$74,3,FALSE)))</f>
        <v>Texas</v>
      </c>
      <c r="B2014" s="165">
        <f t="shared" si="23"/>
        <v>45931</v>
      </c>
      <c r="C2014" s="57" t="str">
        <f>IF($B2014="","",YEAR($B2014)&amp;"-"&amp;IFERROR(VLOOKUP(MONTH(B2014),KEY!$AE$5:$AF$16,2,FALSE),""))</f>
        <v>2025-Q4</v>
      </c>
      <c r="D2014" s="3" t="s">
        <v>121</v>
      </c>
      <c r="E2014" s="219">
        <v>39</v>
      </c>
      <c r="F2014" s="166">
        <v>238</v>
      </c>
      <c r="G2014" s="166">
        <v>281</v>
      </c>
      <c r="H2014" s="21">
        <v>506</v>
      </c>
      <c r="I2014" s="21">
        <v>88</v>
      </c>
      <c r="J2014" s="21">
        <v>210</v>
      </c>
      <c r="K2014" s="21">
        <v>32</v>
      </c>
      <c r="L2014" s="21">
        <v>432</v>
      </c>
      <c r="M2014" s="21">
        <v>143</v>
      </c>
      <c r="N2014" s="21">
        <v>239</v>
      </c>
      <c r="O2014" s="19">
        <v>506</v>
      </c>
      <c r="P2014" s="22">
        <v>22</v>
      </c>
      <c r="Q2014" s="22">
        <v>16</v>
      </c>
      <c r="R2014" s="20"/>
      <c r="S2014" s="234"/>
      <c r="T2014" s="235"/>
    </row>
    <row r="2015" spans="1:20" x14ac:dyDescent="0.35">
      <c r="A2015" s="3" t="str">
        <f>IF(D2015="","",(VLOOKUP($D2015,KEY!$B$5:$D$74,3,FALSE)))</f>
        <v>Michigan &amp; Minnesota</v>
      </c>
      <c r="B2015" s="165">
        <f t="shared" si="23"/>
        <v>45931</v>
      </c>
      <c r="C2015" s="57" t="str">
        <f>IF($B2015="","",YEAR($B2015)&amp;"-"&amp;IFERROR(VLOOKUP(MONTH(B2015),KEY!$AE$5:$AF$16,2,FALSE),""))</f>
        <v>2025-Q4</v>
      </c>
      <c r="D2015" s="3" t="s">
        <v>200</v>
      </c>
      <c r="E2015" s="219">
        <v>8</v>
      </c>
      <c r="F2015" s="166">
        <v>131</v>
      </c>
      <c r="G2015" s="166">
        <v>155</v>
      </c>
      <c r="H2015" s="21">
        <v>355</v>
      </c>
      <c r="I2015" s="21">
        <v>43</v>
      </c>
      <c r="J2015" s="21">
        <v>186</v>
      </c>
      <c r="K2015" s="21">
        <v>32</v>
      </c>
      <c r="L2015" s="21">
        <v>250</v>
      </c>
      <c r="M2015" s="21">
        <v>75</v>
      </c>
      <c r="N2015" s="21">
        <v>132</v>
      </c>
      <c r="O2015" s="19">
        <v>242</v>
      </c>
      <c r="P2015" s="22">
        <v>32</v>
      </c>
      <c r="Q2015" s="22">
        <v>13</v>
      </c>
      <c r="R2015" s="20"/>
      <c r="S2015" s="234"/>
      <c r="T2015" s="235"/>
    </row>
    <row r="2016" spans="1:20" x14ac:dyDescent="0.35">
      <c r="A2016" s="3" t="str">
        <f>IF(D2016="","",(VLOOKUP($D2016,KEY!$B$5:$D$74,3,FALSE)))</f>
        <v>Southern California</v>
      </c>
      <c r="B2016" s="165">
        <f t="shared" si="23"/>
        <v>45931</v>
      </c>
      <c r="C2016" s="57" t="str">
        <f>IF($B2016="","",YEAR($B2016)&amp;"-"&amp;IFERROR(VLOOKUP(MONTH(B2016),KEY!$AE$5:$AF$16,2,FALSE),""))</f>
        <v>2025-Q4</v>
      </c>
      <c r="D2016" s="3" t="s">
        <v>122</v>
      </c>
      <c r="E2016" s="219">
        <v>16</v>
      </c>
      <c r="F2016" s="166">
        <v>69</v>
      </c>
      <c r="G2016" s="166">
        <v>99</v>
      </c>
      <c r="H2016" s="21">
        <v>228</v>
      </c>
      <c r="I2016" s="21">
        <v>25</v>
      </c>
      <c r="J2016" s="21">
        <v>84</v>
      </c>
      <c r="K2016" s="21">
        <v>9</v>
      </c>
      <c r="L2016" s="21">
        <v>133</v>
      </c>
      <c r="M2016" s="21">
        <v>41</v>
      </c>
      <c r="N2016" s="21">
        <v>70</v>
      </c>
      <c r="O2016" s="19">
        <v>176</v>
      </c>
      <c r="P2016" s="22">
        <v>10</v>
      </c>
      <c r="Q2016" s="22">
        <v>7</v>
      </c>
      <c r="R2016" s="20"/>
      <c r="S2016" s="234"/>
      <c r="T2016" s="235"/>
    </row>
    <row r="2017" spans="1:20" x14ac:dyDescent="0.35">
      <c r="A2017" s="3" t="str">
        <f>IF(D2017="","",(VLOOKUP($D2017,KEY!$B$5:$D$74,3,FALSE)))</f>
        <v>Orange County</v>
      </c>
      <c r="B2017" s="165">
        <f t="shared" si="23"/>
        <v>45931</v>
      </c>
      <c r="C2017" s="57" t="str">
        <f>IF($B2017="","",YEAR($B2017)&amp;"-"&amp;IFERROR(VLOOKUP(MONTH(B2017),KEY!$AE$5:$AF$16,2,FALSE),""))</f>
        <v>2025-Q4</v>
      </c>
      <c r="D2017" s="3" t="s">
        <v>123</v>
      </c>
      <c r="E2017" s="219">
        <v>55</v>
      </c>
      <c r="F2017" s="166">
        <v>258</v>
      </c>
      <c r="G2017" s="166">
        <v>275</v>
      </c>
      <c r="H2017" s="21">
        <v>379</v>
      </c>
      <c r="I2017" s="21">
        <v>54</v>
      </c>
      <c r="J2017" s="21">
        <v>180</v>
      </c>
      <c r="K2017" s="21">
        <v>38</v>
      </c>
      <c r="L2017" s="21">
        <v>376</v>
      </c>
      <c r="M2017" s="21">
        <v>173</v>
      </c>
      <c r="N2017" s="21">
        <v>237</v>
      </c>
      <c r="O2017" s="19">
        <v>374</v>
      </c>
      <c r="P2017" s="22">
        <v>19</v>
      </c>
      <c r="Q2017" s="22">
        <v>13</v>
      </c>
      <c r="R2017" s="20"/>
      <c r="S2017" s="234"/>
      <c r="T2017" s="235"/>
    </row>
    <row r="2018" spans="1:20" x14ac:dyDescent="0.35">
      <c r="A2018" s="3" t="str">
        <f>IF(D2018="","",(VLOOKUP($D2018,KEY!$B$5:$D$74,3,FALSE)))</f>
        <v>Southern California</v>
      </c>
      <c r="B2018" s="165">
        <f t="shared" si="23"/>
        <v>45931</v>
      </c>
      <c r="C2018" s="57" t="str">
        <f>IF($B2018="","",YEAR($B2018)&amp;"-"&amp;IFERROR(VLOOKUP(MONTH(B2018),KEY!$AE$5:$AF$16,2,FALSE),""))</f>
        <v>2025-Q4</v>
      </c>
      <c r="D2018" s="3" t="s">
        <v>124</v>
      </c>
      <c r="E2018" s="219">
        <v>41</v>
      </c>
      <c r="F2018" s="166">
        <v>198</v>
      </c>
      <c r="G2018" s="166">
        <v>250</v>
      </c>
      <c r="H2018" s="21">
        <v>298</v>
      </c>
      <c r="I2018" s="21">
        <v>59</v>
      </c>
      <c r="J2018" s="21">
        <v>198</v>
      </c>
      <c r="K2018" s="21">
        <v>45</v>
      </c>
      <c r="L2018" s="21">
        <v>316</v>
      </c>
      <c r="M2018" s="21">
        <v>129</v>
      </c>
      <c r="N2018" s="21">
        <v>200</v>
      </c>
      <c r="O2018" s="19">
        <v>506</v>
      </c>
      <c r="P2018" s="22">
        <v>38</v>
      </c>
      <c r="Q2018" s="22">
        <v>23</v>
      </c>
      <c r="R2018" s="20"/>
      <c r="S2018" s="234"/>
      <c r="T2018" s="235"/>
    </row>
    <row r="2019" spans="1:20" x14ac:dyDescent="0.35">
      <c r="A2019" s="3" t="str">
        <f>IF(D2019="","",(VLOOKUP($D2019,KEY!$B$5:$D$74,3,FALSE)))</f>
        <v>Northern California</v>
      </c>
      <c r="B2019" s="165">
        <f t="shared" si="23"/>
        <v>45931</v>
      </c>
      <c r="C2019" s="57" t="str">
        <f>IF($B2019="","",YEAR($B2019)&amp;"-"&amp;IFERROR(VLOOKUP(MONTH(B2019),KEY!$AE$5:$AF$16,2,FALSE),""))</f>
        <v>2025-Q4</v>
      </c>
      <c r="D2019" s="3" t="s">
        <v>195</v>
      </c>
      <c r="E2019" s="219">
        <v>9</v>
      </c>
      <c r="F2019" s="166">
        <v>51</v>
      </c>
      <c r="G2019" s="166">
        <v>47</v>
      </c>
      <c r="H2019" s="21">
        <v>124</v>
      </c>
      <c r="I2019" s="21">
        <v>29</v>
      </c>
      <c r="J2019" s="21">
        <v>14</v>
      </c>
      <c r="K2019" s="21">
        <v>0</v>
      </c>
      <c r="L2019" s="21">
        <v>21</v>
      </c>
      <c r="M2019" s="21">
        <v>6</v>
      </c>
      <c r="N2019" s="21">
        <v>52</v>
      </c>
      <c r="O2019" s="19">
        <v>110</v>
      </c>
      <c r="P2019" s="22">
        <v>5</v>
      </c>
      <c r="Q2019" s="22">
        <v>5</v>
      </c>
      <c r="R2019" s="20"/>
      <c r="S2019" s="234">
        <f>COUNTIFS(INP_DATA!$R$5:$R$3027,S$4,INP_DATA!$D$5:$D$3027,$D2019,INP_DATA!$B$5:$B$3027,$B2019)</f>
        <v>0</v>
      </c>
      <c r="T2019" s="235">
        <f>COUNTIFS(INP_DATA!$R$5:$R$3027,T$4,INP_DATA!$D$5:$D$3027,$D2019,INP_DATA!$B$5:$B$3027,$B2019)</f>
        <v>0</v>
      </c>
    </row>
    <row r="2020" spans="1:20" x14ac:dyDescent="0.35">
      <c r="A2020" s="3" t="str">
        <f>IF(D2020="","",(VLOOKUP($D2020,KEY!$B$5:$D$74,3,FALSE)))</f>
        <v>Northern California</v>
      </c>
      <c r="B2020" s="165">
        <f t="shared" si="23"/>
        <v>45931</v>
      </c>
      <c r="C2020" s="57" t="str">
        <f>IF($B2020="","",YEAR($B2020)&amp;"-"&amp;IFERROR(VLOOKUP(MONTH(B2020),KEY!$AE$5:$AF$16,2,FALSE),""))</f>
        <v>2025-Q4</v>
      </c>
      <c r="D2020" s="3" t="s">
        <v>125</v>
      </c>
      <c r="E2020" s="219">
        <v>29</v>
      </c>
      <c r="F2020" s="166">
        <v>196</v>
      </c>
      <c r="G2020" s="166">
        <v>220</v>
      </c>
      <c r="H2020" s="21">
        <v>345</v>
      </c>
      <c r="I2020" s="21">
        <v>43</v>
      </c>
      <c r="J2020" s="21">
        <v>93</v>
      </c>
      <c r="K2020" s="21">
        <v>15</v>
      </c>
      <c r="L2020" s="21">
        <v>293</v>
      </c>
      <c r="M2020" s="21">
        <v>80</v>
      </c>
      <c r="N2020" s="21">
        <v>199</v>
      </c>
      <c r="O2020" s="19">
        <v>506</v>
      </c>
      <c r="P2020" s="22">
        <v>27</v>
      </c>
      <c r="Q2020" s="22">
        <v>18</v>
      </c>
      <c r="R2020" s="20"/>
      <c r="S2020" s="234">
        <f>COUNTIFS(INP_DATA!$R$5:$R$3027,S$4,INP_DATA!$D$5:$D$3027,$D2020,INP_DATA!$B$5:$B$3027,$B2020)</f>
        <v>0</v>
      </c>
      <c r="T2020" s="235">
        <f>COUNTIFS(INP_DATA!$R$5:$R$3027,T$4,INP_DATA!$D$5:$D$3027,$D2020,INP_DATA!$B$5:$B$3027,$B2020)</f>
        <v>0</v>
      </c>
    </row>
    <row r="2021" spans="1:20" x14ac:dyDescent="0.35">
      <c r="A2021" s="3" t="str">
        <f>IF(D2021="","",(VLOOKUP($D2021,KEY!$B$5:$D$74,3,FALSE)))</f>
        <v>Orange County</v>
      </c>
      <c r="B2021" s="165">
        <f t="shared" si="23"/>
        <v>45931</v>
      </c>
      <c r="C2021" s="57" t="str">
        <f>IF($B2021="","",YEAR($B2021)&amp;"-"&amp;IFERROR(VLOOKUP(MONTH(B2021),KEY!$AE$5:$AF$16,2,FALSE),""))</f>
        <v>2025-Q4</v>
      </c>
      <c r="D2021" s="3" t="s">
        <v>126</v>
      </c>
      <c r="E2021" s="219">
        <v>72</v>
      </c>
      <c r="F2021" s="166">
        <v>426</v>
      </c>
      <c r="G2021" s="166">
        <v>486</v>
      </c>
      <c r="H2021" s="21">
        <v>606</v>
      </c>
      <c r="I2021" s="21">
        <v>109</v>
      </c>
      <c r="J2021" s="21">
        <v>377</v>
      </c>
      <c r="K2021" s="21">
        <v>106</v>
      </c>
      <c r="L2021" s="21">
        <v>658</v>
      </c>
      <c r="M2021" s="21">
        <v>259</v>
      </c>
      <c r="N2021" s="21">
        <v>430</v>
      </c>
      <c r="O2021" s="19">
        <v>627</v>
      </c>
      <c r="P2021" s="22">
        <v>97</v>
      </c>
      <c r="Q2021" s="22">
        <v>69</v>
      </c>
      <c r="R2021" s="20"/>
      <c r="S2021" s="234">
        <f>COUNTIFS(INP_DATA!$R$5:$R$3027,S$4,INP_DATA!$D$5:$D$3027,$D2021,INP_DATA!$B$5:$B$3027,$B2021)</f>
        <v>0</v>
      </c>
      <c r="T2021" s="235">
        <f>COUNTIFS(INP_DATA!$R$5:$R$3027,T$4,INP_DATA!$D$5:$D$3027,$D2021,INP_DATA!$B$5:$B$3027,$B2021)</f>
        <v>0</v>
      </c>
    </row>
    <row r="2022" spans="1:20" x14ac:dyDescent="0.35">
      <c r="A2022" s="3" t="str">
        <f>IF(D2022="","",(VLOOKUP($D2022,KEY!$B$5:$D$74,3,FALSE)))</f>
        <v>Orange County</v>
      </c>
      <c r="B2022" s="165">
        <f t="shared" si="23"/>
        <v>45931</v>
      </c>
      <c r="C2022" s="57" t="str">
        <f>IF($B2022="","",YEAR($B2022)&amp;"-"&amp;IFERROR(VLOOKUP(MONTH(B2022),KEY!$AE$5:$AF$16,2,FALSE),""))</f>
        <v>2025-Q4</v>
      </c>
      <c r="D2022" s="3" t="s">
        <v>127</v>
      </c>
      <c r="E2022" s="219">
        <v>4</v>
      </c>
      <c r="F2022" s="166">
        <v>36</v>
      </c>
      <c r="G2022" s="166">
        <v>51</v>
      </c>
      <c r="H2022" s="21">
        <v>66</v>
      </c>
      <c r="I2022" s="21">
        <v>8</v>
      </c>
      <c r="J2022" s="21">
        <v>39</v>
      </c>
      <c r="K2022" s="21">
        <v>8</v>
      </c>
      <c r="L2022" s="21">
        <v>47</v>
      </c>
      <c r="M2022" s="21">
        <v>35</v>
      </c>
      <c r="N2022" s="21">
        <v>36</v>
      </c>
      <c r="O2022" s="19">
        <v>77</v>
      </c>
      <c r="P2022" s="22">
        <v>15</v>
      </c>
      <c r="Q2022" s="22">
        <v>5</v>
      </c>
      <c r="R2022" s="20"/>
      <c r="S2022" s="234">
        <f>COUNTIFS(INP_DATA!$R$5:$R$3027,S$4,INP_DATA!$D$5:$D$3027,$D2022,INP_DATA!$B$5:$B$3027,$B2022)</f>
        <v>0</v>
      </c>
      <c r="T2022" s="235">
        <f>COUNTIFS(INP_DATA!$R$5:$R$3027,T$4,INP_DATA!$D$5:$D$3027,$D2022,INP_DATA!$B$5:$B$3027,$B2022)</f>
        <v>0</v>
      </c>
    </row>
    <row r="2023" spans="1:20" x14ac:dyDescent="0.35">
      <c r="A2023" s="3" t="str">
        <f>IF(D2023="","",(VLOOKUP($D2023,KEY!$B$5:$D$74,3,FALSE)))</f>
        <v>Wisconsin</v>
      </c>
      <c r="B2023" s="165">
        <f t="shared" si="23"/>
        <v>45931</v>
      </c>
      <c r="C2023" s="57" t="str">
        <f>IF($B2023="","",YEAR($B2023)&amp;"-"&amp;IFERROR(VLOOKUP(MONTH(B2023),KEY!$AE$5:$AF$16,2,FALSE),""))</f>
        <v>2025-Q4</v>
      </c>
      <c r="D2023" s="3" t="s">
        <v>201</v>
      </c>
      <c r="E2023" s="219">
        <v>25</v>
      </c>
      <c r="F2023" s="166">
        <v>274</v>
      </c>
      <c r="G2023" s="166">
        <v>227</v>
      </c>
      <c r="H2023" s="21">
        <v>376</v>
      </c>
      <c r="I2023" s="21">
        <v>66</v>
      </c>
      <c r="J2023" s="21">
        <v>194</v>
      </c>
      <c r="K2023" s="21">
        <v>39</v>
      </c>
      <c r="L2023" s="21">
        <v>271</v>
      </c>
      <c r="M2023" s="21">
        <v>120</v>
      </c>
      <c r="N2023" s="21">
        <v>283</v>
      </c>
      <c r="O2023" s="19">
        <v>308</v>
      </c>
      <c r="P2023" s="22">
        <v>12</v>
      </c>
      <c r="Q2023" s="22">
        <v>8</v>
      </c>
      <c r="R2023" s="20"/>
      <c r="S2023" s="234">
        <f>COUNTIFS(INP_DATA!$R$5:$R$3027,S$4,INP_DATA!$D$5:$D$3027,$D2023,INP_DATA!$B$5:$B$3027,$B2023)</f>
        <v>0</v>
      </c>
      <c r="T2023" s="235">
        <f>COUNTIFS(INP_DATA!$R$5:$R$3027,T$4,INP_DATA!$D$5:$D$3027,$D2023,INP_DATA!$B$5:$B$3027,$B2023)</f>
        <v>0</v>
      </c>
    </row>
    <row r="2024" spans="1:20" x14ac:dyDescent="0.35">
      <c r="A2024" s="3" t="e">
        <f>IF(D2024="","",(VLOOKUP($D2024,KEY!$B$5:$D$74,3,FALSE)))</f>
        <v>#N/A</v>
      </c>
      <c r="B2024" s="165">
        <f t="shared" si="23"/>
        <v>45931</v>
      </c>
      <c r="C2024" s="57" t="str">
        <f>IF($B2024="","",YEAR($B2024)&amp;"-"&amp;IFERROR(VLOOKUP(MONTH(B2024),KEY!$AE$5:$AF$16,2,FALSE),""))</f>
        <v>2025-Q4</v>
      </c>
      <c r="D2024" s="3" t="s">
        <v>202</v>
      </c>
      <c r="E2024" s="219">
        <v>4</v>
      </c>
      <c r="F2024" s="166">
        <v>23</v>
      </c>
      <c r="G2024" s="166">
        <v>34</v>
      </c>
      <c r="H2024" s="21">
        <v>72</v>
      </c>
      <c r="I2024" s="21">
        <v>7</v>
      </c>
      <c r="J2024" s="21">
        <v>37</v>
      </c>
      <c r="K2024" s="21">
        <v>4</v>
      </c>
      <c r="L2024" s="21">
        <v>35</v>
      </c>
      <c r="M2024" s="21">
        <v>12</v>
      </c>
      <c r="N2024" s="21">
        <v>23</v>
      </c>
      <c r="O2024" s="19">
        <v>66</v>
      </c>
      <c r="P2024" s="22">
        <v>2</v>
      </c>
      <c r="Q2024" s="22">
        <v>0</v>
      </c>
      <c r="R2024" s="20"/>
      <c r="S2024" s="234">
        <f>COUNTIFS(INP_DATA!$R$5:$R$3027,S$4,INP_DATA!$D$5:$D$3027,$D2024,INP_DATA!$B$5:$B$3027,$B2024)</f>
        <v>0</v>
      </c>
      <c r="T2024" s="235">
        <f>COUNTIFS(INP_DATA!$R$5:$R$3027,T$4,INP_DATA!$D$5:$D$3027,$D2024,INP_DATA!$B$5:$B$3027,$B2024)</f>
        <v>0</v>
      </c>
    </row>
    <row r="2025" spans="1:20" x14ac:dyDescent="0.35">
      <c r="A2025" s="3" t="str">
        <f>IF(D2025="","",(VLOOKUP($D2025,KEY!$B$5:$D$74,3,FALSE)))</f>
        <v>Texas</v>
      </c>
      <c r="B2025" s="165">
        <f t="shared" si="23"/>
        <v>45931</v>
      </c>
      <c r="C2025" s="57" t="str">
        <f>IF($B2025="","",YEAR($B2025)&amp;"-"&amp;IFERROR(VLOOKUP(MONTH(B2025),KEY!$AE$5:$AF$16,2,FALSE),""))</f>
        <v>2025-Q4</v>
      </c>
      <c r="D2025" s="3" t="s">
        <v>198</v>
      </c>
      <c r="E2025" s="219">
        <v>5</v>
      </c>
      <c r="F2025" s="166">
        <v>76</v>
      </c>
      <c r="G2025" s="166">
        <v>66</v>
      </c>
      <c r="H2025" s="21">
        <v>155</v>
      </c>
      <c r="I2025" s="21">
        <v>20</v>
      </c>
      <c r="J2025" s="21">
        <v>57</v>
      </c>
      <c r="K2025" s="21">
        <v>12</v>
      </c>
      <c r="L2025" s="21">
        <v>71</v>
      </c>
      <c r="M2025" s="21">
        <v>33</v>
      </c>
      <c r="N2025" s="21">
        <v>76</v>
      </c>
      <c r="O2025" s="19">
        <v>132</v>
      </c>
      <c r="P2025" s="22">
        <v>1</v>
      </c>
      <c r="Q2025" s="22">
        <v>0</v>
      </c>
      <c r="R2025" s="20"/>
      <c r="S2025" s="234">
        <f>COUNTIFS(INP_DATA!$R$5:$R$3027,S$4,INP_DATA!$D$5:$D$3027,$D2025,INP_DATA!$B$5:$B$3027,$B2025)</f>
        <v>0</v>
      </c>
      <c r="T2025" s="235">
        <f>COUNTIFS(INP_DATA!$R$5:$R$3027,T$4,INP_DATA!$D$5:$D$3027,$D2025,INP_DATA!$B$5:$B$3027,$B2025)</f>
        <v>0</v>
      </c>
    </row>
    <row r="2026" spans="1:20" x14ac:dyDescent="0.35">
      <c r="A2026" s="3" t="str">
        <f>IF(D2026="","",(VLOOKUP($D2026,KEY!$B$5:$D$74,3,FALSE)))</f>
        <v>Texas</v>
      </c>
      <c r="B2026" s="165">
        <f t="shared" si="23"/>
        <v>45931</v>
      </c>
      <c r="C2026" s="57" t="str">
        <f>IF($B2026="","",YEAR($B2026)&amp;"-"&amp;IFERROR(VLOOKUP(MONTH(B2026),KEY!$AE$5:$AF$16,2,FALSE),""))</f>
        <v>2025-Q4</v>
      </c>
      <c r="D2026" s="3" t="s">
        <v>128</v>
      </c>
      <c r="E2026" s="219">
        <v>39</v>
      </c>
      <c r="F2026" s="166">
        <v>247</v>
      </c>
      <c r="G2026" s="166">
        <v>207</v>
      </c>
      <c r="H2026" s="21">
        <v>687</v>
      </c>
      <c r="I2026" s="21">
        <v>90</v>
      </c>
      <c r="J2026" s="21">
        <v>204</v>
      </c>
      <c r="K2026" s="21">
        <v>48</v>
      </c>
      <c r="L2026" s="21">
        <v>404</v>
      </c>
      <c r="M2026" s="21">
        <v>125</v>
      </c>
      <c r="N2026" s="21">
        <v>247</v>
      </c>
      <c r="O2026" s="19">
        <v>308</v>
      </c>
      <c r="P2026" s="22">
        <v>11</v>
      </c>
      <c r="Q2026" s="22">
        <v>6</v>
      </c>
      <c r="R2026" s="20"/>
      <c r="S2026" s="234">
        <f>COUNTIFS(INP_DATA!$R$5:$R$3027,S$4,INP_DATA!$D$5:$D$3027,$D2026,INP_DATA!$B$5:$B$3027,$B2026)</f>
        <v>0</v>
      </c>
      <c r="T2026" s="235">
        <f>COUNTIFS(INP_DATA!$R$5:$R$3027,T$4,INP_DATA!$D$5:$D$3027,$D2026,INP_DATA!$B$5:$B$3027,$B2026)</f>
        <v>0</v>
      </c>
    </row>
    <row r="2027" spans="1:20" x14ac:dyDescent="0.35">
      <c r="A2027" s="3" t="str">
        <f>IF(D2027="","",(VLOOKUP($D2027,KEY!$B$5:$D$74,3,FALSE)))</f>
        <v>Northern California</v>
      </c>
      <c r="B2027" s="165">
        <f t="shared" si="23"/>
        <v>45931</v>
      </c>
      <c r="C2027" s="57" t="str">
        <f>IF($B2027="","",YEAR($B2027)&amp;"-"&amp;IFERROR(VLOOKUP(MONTH(B2027),KEY!$AE$5:$AF$16,2,FALSE),""))</f>
        <v>2025-Q4</v>
      </c>
      <c r="D2027" s="3" t="s">
        <v>129</v>
      </c>
      <c r="E2027" s="219">
        <v>37</v>
      </c>
      <c r="F2027" s="166">
        <v>170</v>
      </c>
      <c r="G2027" s="166">
        <v>154</v>
      </c>
      <c r="H2027" s="21">
        <v>216</v>
      </c>
      <c r="I2027" s="21">
        <v>24</v>
      </c>
      <c r="J2027" s="21">
        <v>174</v>
      </c>
      <c r="K2027" s="21">
        <v>36</v>
      </c>
      <c r="L2027" s="21">
        <v>209</v>
      </c>
      <c r="M2027" s="21">
        <v>58</v>
      </c>
      <c r="N2027" s="21">
        <v>170</v>
      </c>
      <c r="O2027" s="19">
        <v>308</v>
      </c>
      <c r="P2027" s="22">
        <v>28</v>
      </c>
      <c r="Q2027" s="22">
        <v>21</v>
      </c>
      <c r="R2027" s="20"/>
      <c r="S2027" s="234">
        <f>COUNTIFS(INP_DATA!$R$5:$R$3027,S$4,INP_DATA!$D$5:$D$3027,$D2027,INP_DATA!$B$5:$B$3027,$B2027)</f>
        <v>0</v>
      </c>
      <c r="T2027" s="235">
        <f>COUNTIFS(INP_DATA!$R$5:$R$3027,T$4,INP_DATA!$D$5:$D$3027,$D2027,INP_DATA!$B$5:$B$3027,$B2027)</f>
        <v>0</v>
      </c>
    </row>
    <row r="2028" spans="1:20" x14ac:dyDescent="0.35">
      <c r="A2028" s="3" t="str">
        <f>IF(D2028="","",(VLOOKUP($D2028,KEY!$B$5:$D$74,3,FALSE)))</f>
        <v>Southern California</v>
      </c>
      <c r="B2028" s="165">
        <f t="shared" si="23"/>
        <v>45931</v>
      </c>
      <c r="C2028" s="57" t="str">
        <f>IF($B2028="","",YEAR($B2028)&amp;"-"&amp;IFERROR(VLOOKUP(MONTH(B2028),KEY!$AE$5:$AF$16,2,FALSE),""))</f>
        <v>2025-Q4</v>
      </c>
      <c r="D2028" s="3" t="s">
        <v>130</v>
      </c>
      <c r="E2028" s="219">
        <v>10</v>
      </c>
      <c r="F2028" s="166">
        <v>147</v>
      </c>
      <c r="G2028" s="166">
        <v>147</v>
      </c>
      <c r="H2028" s="21">
        <v>420</v>
      </c>
      <c r="I2028" s="21">
        <v>51</v>
      </c>
      <c r="J2028" s="21">
        <v>199</v>
      </c>
      <c r="K2028" s="21">
        <v>25</v>
      </c>
      <c r="L2028" s="21">
        <v>176</v>
      </c>
      <c r="M2028" s="21">
        <v>73</v>
      </c>
      <c r="N2028" s="21">
        <v>151</v>
      </c>
      <c r="O2028" s="19">
        <v>242</v>
      </c>
      <c r="P2028" s="22">
        <v>24</v>
      </c>
      <c r="Q2028" s="22">
        <v>17</v>
      </c>
      <c r="R2028" s="20"/>
      <c r="S2028" s="234">
        <f>COUNTIFS(INP_DATA!$R$5:$R$3027,S$4,INP_DATA!$D$5:$D$3027,$D2028,INP_DATA!$B$5:$B$3027,$B2028)</f>
        <v>0</v>
      </c>
      <c r="T2028" s="235">
        <f>COUNTIFS(INP_DATA!$R$5:$R$3027,T$4,INP_DATA!$D$5:$D$3027,$D2028,INP_DATA!$B$5:$B$3027,$B2028)</f>
        <v>0</v>
      </c>
    </row>
    <row r="2029" spans="1:20" x14ac:dyDescent="0.35">
      <c r="A2029" s="3" t="str">
        <f>IF(D2029="","",(VLOOKUP($D2029,KEY!$B$5:$D$74,3,FALSE)))</f>
        <v>Texas</v>
      </c>
      <c r="B2029" s="165">
        <f t="shared" si="23"/>
        <v>45931</v>
      </c>
      <c r="C2029" s="57" t="str">
        <f>IF($B2029="","",YEAR($B2029)&amp;"-"&amp;IFERROR(VLOOKUP(MONTH(B2029),KEY!$AE$5:$AF$16,2,FALSE),""))</f>
        <v>2025-Q4</v>
      </c>
      <c r="D2029" s="3" t="s">
        <v>210</v>
      </c>
      <c r="E2029" s="219">
        <v>2</v>
      </c>
      <c r="F2029" s="166">
        <v>0</v>
      </c>
      <c r="G2029" s="166">
        <v>0</v>
      </c>
      <c r="H2029" s="21">
        <v>315</v>
      </c>
      <c r="I2029" s="21">
        <v>27</v>
      </c>
      <c r="J2029" s="21">
        <v>122</v>
      </c>
      <c r="K2029" s="21">
        <v>14</v>
      </c>
      <c r="L2029" s="21">
        <v>142</v>
      </c>
      <c r="M2029" s="21">
        <v>36</v>
      </c>
      <c r="N2029" s="21">
        <v>108</v>
      </c>
      <c r="O2029" s="19">
        <v>176</v>
      </c>
      <c r="P2029" s="22">
        <v>0</v>
      </c>
      <c r="Q2029" s="22">
        <v>0</v>
      </c>
      <c r="R2029" s="20"/>
      <c r="S2029" s="234">
        <f>COUNTIFS(INP_DATA!$R$5:$R$3027,S$4,INP_DATA!$D$5:$D$3027,$D2029,INP_DATA!$B$5:$B$3027,$B2029)</f>
        <v>0</v>
      </c>
      <c r="T2029" s="235">
        <f>COUNTIFS(INP_DATA!$R$5:$R$3027,T$4,INP_DATA!$D$5:$D$3027,$D2029,INP_DATA!$B$5:$B$3027,$B2029)</f>
        <v>0</v>
      </c>
    </row>
    <row r="2030" spans="1:20" x14ac:dyDescent="0.35">
      <c r="A2030" s="3" t="e">
        <f>IF(D2030="","",(VLOOKUP($D2030,KEY!$B$5:$D$74,3,FALSE)))</f>
        <v>#N/A</v>
      </c>
      <c r="B2030" s="165">
        <f t="shared" si="23"/>
        <v>45931</v>
      </c>
      <c r="C2030" s="57" t="str">
        <f>IF($B2030="","",YEAR($B2030)&amp;"-"&amp;IFERROR(VLOOKUP(MONTH(B2030),KEY!$AE$5:$AF$16,2,FALSE),""))</f>
        <v>2025-Q4</v>
      </c>
      <c r="D2030" s="3" t="s">
        <v>203</v>
      </c>
      <c r="E2030" s="219">
        <v>1</v>
      </c>
      <c r="F2030" s="166">
        <v>84</v>
      </c>
      <c r="G2030" s="166">
        <v>117</v>
      </c>
      <c r="H2030" s="21">
        <v>104</v>
      </c>
      <c r="I2030" s="21">
        <v>14</v>
      </c>
      <c r="J2030" s="21">
        <v>72</v>
      </c>
      <c r="K2030" s="21">
        <v>16</v>
      </c>
      <c r="L2030" s="21">
        <v>84</v>
      </c>
      <c r="M2030" s="21">
        <v>44</v>
      </c>
      <c r="N2030" s="21">
        <v>84</v>
      </c>
      <c r="O2030" s="19">
        <v>198</v>
      </c>
      <c r="P2030" s="22">
        <v>10</v>
      </c>
      <c r="Q2030" s="22">
        <v>5</v>
      </c>
      <c r="R2030" s="20"/>
      <c r="S2030" s="234">
        <f>COUNTIFS(INP_DATA!$R$5:$R$3027,S$4,INP_DATA!$D$5:$D$3027,$D2030,INP_DATA!$B$5:$B$3027,$B2030)</f>
        <v>0</v>
      </c>
      <c r="T2030" s="235">
        <f>COUNTIFS(INP_DATA!$R$5:$R$3027,T$4,INP_DATA!$D$5:$D$3027,$D2030,INP_DATA!$B$5:$B$3027,$B2030)</f>
        <v>0</v>
      </c>
    </row>
    <row r="2031" spans="1:20" x14ac:dyDescent="0.35">
      <c r="A2031" s="3">
        <f>IF(D2031="","",(VLOOKUP($D2031,KEY!$B$5:$D$74,3,FALSE)))</f>
        <v>0</v>
      </c>
      <c r="B2031" s="165">
        <f t="shared" si="23"/>
        <v>45931</v>
      </c>
      <c r="C2031" s="57" t="str">
        <f>IF($B2031="","",YEAR($B2031)&amp;"-"&amp;IFERROR(VLOOKUP(MONTH(B2031),KEY!$AE$5:$AF$16,2,FALSE),""))</f>
        <v>2025-Q4</v>
      </c>
      <c r="D2031" s="3" t="s">
        <v>131</v>
      </c>
      <c r="E2031" s="219">
        <v>64</v>
      </c>
      <c r="F2031" s="166">
        <v>150</v>
      </c>
      <c r="G2031" s="166">
        <v>146</v>
      </c>
      <c r="H2031" s="21">
        <v>141</v>
      </c>
      <c r="I2031" s="21">
        <v>26</v>
      </c>
      <c r="J2031" s="21">
        <v>89</v>
      </c>
      <c r="K2031" s="21">
        <v>12</v>
      </c>
      <c r="L2031" s="21">
        <v>237</v>
      </c>
      <c r="M2031" s="21">
        <v>103</v>
      </c>
      <c r="N2031" s="21">
        <v>153</v>
      </c>
      <c r="O2031" s="19">
        <v>198</v>
      </c>
      <c r="P2031" s="22">
        <v>6</v>
      </c>
      <c r="Q2031" s="22">
        <v>3</v>
      </c>
      <c r="R2031" s="20"/>
      <c r="S2031" s="234">
        <f>COUNTIFS(INP_DATA!$R$5:$R$3027,S$4,INP_DATA!$D$5:$D$3027,$D2031,INP_DATA!$B$5:$B$3027,$B2031)</f>
        <v>0</v>
      </c>
      <c r="T2031" s="235">
        <f>COUNTIFS(INP_DATA!$R$5:$R$3027,T$4,INP_DATA!$D$5:$D$3027,$D2031,INP_DATA!$B$5:$B$3027,$B2031)</f>
        <v>0</v>
      </c>
    </row>
    <row r="2032" spans="1:20" x14ac:dyDescent="0.35">
      <c r="A2032" s="3" t="str">
        <f>IF(D2032="","",(VLOOKUP($D2032,KEY!$B$5:$D$74,3,FALSE)))</f>
        <v>Southern California</v>
      </c>
      <c r="B2032" s="165">
        <f t="shared" si="23"/>
        <v>45931</v>
      </c>
      <c r="C2032" s="57" t="str">
        <f>IF($B2032="","",YEAR($B2032)&amp;"-"&amp;IFERROR(VLOOKUP(MONTH(B2032),KEY!$AE$5:$AF$16,2,FALSE),""))</f>
        <v>2025-Q4</v>
      </c>
      <c r="D2032" s="3" t="s">
        <v>135</v>
      </c>
      <c r="E2032" s="219">
        <v>37</v>
      </c>
      <c r="F2032" s="166">
        <v>274</v>
      </c>
      <c r="G2032" s="166">
        <v>189</v>
      </c>
      <c r="H2032" s="21">
        <v>593</v>
      </c>
      <c r="I2032" s="21">
        <v>101</v>
      </c>
      <c r="J2032" s="21">
        <v>306</v>
      </c>
      <c r="K2032" s="21">
        <v>65</v>
      </c>
      <c r="L2032" s="21">
        <v>460</v>
      </c>
      <c r="M2032" s="21">
        <v>145</v>
      </c>
      <c r="N2032" s="21">
        <v>276</v>
      </c>
      <c r="O2032" s="19">
        <v>374</v>
      </c>
      <c r="P2032" s="22">
        <v>14</v>
      </c>
      <c r="Q2032" s="22">
        <v>10</v>
      </c>
      <c r="R2032" s="20"/>
      <c r="S2032" s="234">
        <f>COUNTIFS(INP_DATA!$R$5:$R$3027,S$4,INP_DATA!$D$5:$D$3027,$D2032,INP_DATA!$B$5:$B$3027,$B2032)</f>
        <v>0</v>
      </c>
      <c r="T2032" s="235">
        <f>COUNTIFS(INP_DATA!$R$5:$R$3027,T$4,INP_DATA!$D$5:$D$3027,$D2032,INP_DATA!$B$5:$B$3027,$B2032)</f>
        <v>0</v>
      </c>
    </row>
    <row r="2033" spans="1:20" x14ac:dyDescent="0.35">
      <c r="A2033" s="3" t="str">
        <f>IF(D2033="","",(VLOOKUP($D2033,KEY!$B$5:$D$74,3,FALSE)))</f>
        <v>Arizona</v>
      </c>
      <c r="B2033" s="165">
        <f t="shared" si="23"/>
        <v>45931</v>
      </c>
      <c r="C2033" s="57" t="str">
        <f>IF($B2033="","",YEAR($B2033)&amp;"-"&amp;IFERROR(VLOOKUP(MONTH(B2033),KEY!$AE$5:$AF$16,2,FALSE),""))</f>
        <v>2025-Q4</v>
      </c>
      <c r="D2033" s="3" t="s">
        <v>204</v>
      </c>
      <c r="E2033" s="219">
        <v>2</v>
      </c>
      <c r="F2033" s="166">
        <v>12</v>
      </c>
      <c r="G2033" s="166">
        <v>17</v>
      </c>
      <c r="H2033" s="21">
        <v>11</v>
      </c>
      <c r="I2033" s="21">
        <v>1</v>
      </c>
      <c r="J2033" s="21">
        <v>7</v>
      </c>
      <c r="K2033" s="21">
        <v>4</v>
      </c>
      <c r="L2033" s="21">
        <v>28</v>
      </c>
      <c r="M2033" s="21">
        <v>10</v>
      </c>
      <c r="N2033" s="21">
        <v>12</v>
      </c>
      <c r="O2033" s="19">
        <v>12</v>
      </c>
      <c r="P2033" s="22">
        <v>0</v>
      </c>
      <c r="Q2033" s="22">
        <v>0</v>
      </c>
      <c r="R2033" s="20"/>
      <c r="S2033" s="234">
        <f>COUNTIFS(INP_DATA!$R$5:$R$3027,S$4,INP_DATA!$D$5:$D$3027,$D2033,INP_DATA!$B$5:$B$3027,$B2033)</f>
        <v>0</v>
      </c>
      <c r="T2033" s="235">
        <f>COUNTIFS(INP_DATA!$R$5:$R$3027,T$4,INP_DATA!$D$5:$D$3027,$D2033,INP_DATA!$B$5:$B$3027,$B2033)</f>
        <v>0</v>
      </c>
    </row>
    <row r="2034" spans="1:20" x14ac:dyDescent="0.35">
      <c r="A2034" s="3" t="str">
        <f>IF(D2034="","",(VLOOKUP($D2034,KEY!$B$5:$D$74,3,FALSE)))</f>
        <v>Arizona</v>
      </c>
      <c r="B2034" s="165">
        <f t="shared" si="23"/>
        <v>45931</v>
      </c>
      <c r="C2034" s="57" t="str">
        <f>IF($B2034="","",YEAR($B2034)&amp;"-"&amp;IFERROR(VLOOKUP(MONTH(B2034),KEY!$AE$5:$AF$16,2,FALSE),""))</f>
        <v>2025-Q4</v>
      </c>
      <c r="D2034" s="3" t="s">
        <v>196</v>
      </c>
      <c r="E2034" s="219">
        <v>10</v>
      </c>
      <c r="F2034" s="166">
        <v>35</v>
      </c>
      <c r="G2034" s="166">
        <v>54</v>
      </c>
      <c r="H2034" s="21">
        <v>104</v>
      </c>
      <c r="I2034" s="21">
        <v>11</v>
      </c>
      <c r="J2034" s="21">
        <v>57</v>
      </c>
      <c r="K2034" s="21">
        <v>10</v>
      </c>
      <c r="L2034" s="21">
        <v>90</v>
      </c>
      <c r="M2034" s="21">
        <v>31</v>
      </c>
      <c r="N2034" s="21">
        <v>35</v>
      </c>
      <c r="O2034" s="19">
        <v>88</v>
      </c>
      <c r="P2034" s="22">
        <v>2</v>
      </c>
      <c r="Q2034" s="22">
        <v>1</v>
      </c>
      <c r="R2034" s="20"/>
      <c r="S2034" s="234">
        <f>COUNTIFS(INP_DATA!$R$5:$R$3027,S$4,INP_DATA!$D$5:$D$3027,$D2034,INP_DATA!$B$5:$B$3027,$B2034)</f>
        <v>0</v>
      </c>
      <c r="T2034" s="235">
        <f>COUNTIFS(INP_DATA!$R$5:$R$3027,T$4,INP_DATA!$D$5:$D$3027,$D2034,INP_DATA!$B$5:$B$3027,$B2034)</f>
        <v>0</v>
      </c>
    </row>
    <row r="2035" spans="1:20" x14ac:dyDescent="0.35">
      <c r="A2035" s="3" t="str">
        <f>IF(D2035="","",(VLOOKUP($D2035,KEY!$B$5:$D$74,3,FALSE)))</f>
        <v>Arizona</v>
      </c>
      <c r="B2035" s="165">
        <f t="shared" si="23"/>
        <v>45931</v>
      </c>
      <c r="C2035" s="57" t="str">
        <f>IF($B2035="","",YEAR($B2035)&amp;"-"&amp;IFERROR(VLOOKUP(MONTH(B2035),KEY!$AE$5:$AF$16,2,FALSE),""))</f>
        <v>2025-Q4</v>
      </c>
      <c r="D2035" s="3" t="s">
        <v>197</v>
      </c>
      <c r="E2035" s="219">
        <v>20</v>
      </c>
      <c r="F2035" s="166">
        <v>115</v>
      </c>
      <c r="G2035" s="166">
        <v>114</v>
      </c>
      <c r="H2035" s="21">
        <v>147</v>
      </c>
      <c r="I2035" s="21">
        <v>24</v>
      </c>
      <c r="J2035" s="21">
        <v>104</v>
      </c>
      <c r="K2035" s="21">
        <v>23</v>
      </c>
      <c r="L2035" s="21">
        <v>273</v>
      </c>
      <c r="M2035" s="21">
        <v>89</v>
      </c>
      <c r="N2035" s="21">
        <v>122</v>
      </c>
      <c r="O2035" s="19">
        <v>220</v>
      </c>
      <c r="P2035" s="22">
        <v>3</v>
      </c>
      <c r="Q2035" s="22">
        <v>2</v>
      </c>
      <c r="R2035" s="20"/>
      <c r="S2035" s="234">
        <f>COUNTIFS(INP_DATA!$R$5:$R$3027,S$4,INP_DATA!$D$5:$D$3027,$D2035,INP_DATA!$B$5:$B$3027,$B2035)</f>
        <v>0</v>
      </c>
      <c r="T2035" s="235">
        <f>COUNTIFS(INP_DATA!$R$5:$R$3027,T$4,INP_DATA!$D$5:$D$3027,$D2035,INP_DATA!$B$5:$B$3027,$B2035)</f>
        <v>0</v>
      </c>
    </row>
    <row r="2036" spans="1:20" x14ac:dyDescent="0.35">
      <c r="A2036" s="3" t="str">
        <f>IF(D2036="","",(VLOOKUP($D2036,KEY!$B$5:$D$74,3,FALSE)))</f>
        <v>Texas</v>
      </c>
      <c r="B2036" s="165">
        <f t="shared" si="23"/>
        <v>45931</v>
      </c>
      <c r="C2036" s="57" t="str">
        <f>IF($B2036="","",YEAR($B2036)&amp;"-"&amp;IFERROR(VLOOKUP(MONTH(B2036),KEY!$AE$5:$AF$16,2,FALSE),""))</f>
        <v>2025-Q4</v>
      </c>
      <c r="D2036" s="3" t="s">
        <v>136</v>
      </c>
      <c r="E2036" s="219">
        <v>36</v>
      </c>
      <c r="F2036" s="166">
        <v>253</v>
      </c>
      <c r="G2036" s="166">
        <v>237</v>
      </c>
      <c r="H2036" s="21">
        <v>518</v>
      </c>
      <c r="I2036" s="21">
        <v>61</v>
      </c>
      <c r="J2036" s="21">
        <v>334</v>
      </c>
      <c r="K2036" s="21">
        <v>45</v>
      </c>
      <c r="L2036" s="21">
        <v>327</v>
      </c>
      <c r="M2036" s="21">
        <v>145</v>
      </c>
      <c r="N2036" s="21">
        <v>271</v>
      </c>
      <c r="O2036" s="19">
        <v>352</v>
      </c>
      <c r="P2036" s="22">
        <v>9</v>
      </c>
      <c r="Q2036" s="22">
        <v>8</v>
      </c>
      <c r="R2036" s="20"/>
      <c r="S2036" s="234">
        <f>COUNTIFS(INP_DATA!$R$5:$R$3027,S$4,INP_DATA!$D$5:$D$3027,$D2036,INP_DATA!$B$5:$B$3027,$B2036)</f>
        <v>0</v>
      </c>
      <c r="T2036" s="235">
        <f>COUNTIFS(INP_DATA!$R$5:$R$3027,T$4,INP_DATA!$D$5:$D$3027,$D2036,INP_DATA!$B$5:$B$3027,$B2036)</f>
        <v>0</v>
      </c>
    </row>
    <row r="2037" spans="1:20" x14ac:dyDescent="0.35">
      <c r="A2037" s="3" t="str">
        <f>IF(D2037="","",(VLOOKUP($D2037,KEY!$B$5:$D$74,3,FALSE)))</f>
        <v>Arizona</v>
      </c>
      <c r="B2037" s="165">
        <f t="shared" si="23"/>
        <v>45931</v>
      </c>
      <c r="C2037" s="57" t="str">
        <f>IF($B2037="","",YEAR($B2037)&amp;"-"&amp;IFERROR(VLOOKUP(MONTH(B2037),KEY!$AE$5:$AF$16,2,FALSE),""))</f>
        <v>2025-Q4</v>
      </c>
      <c r="D2037" s="3" t="s">
        <v>137</v>
      </c>
      <c r="E2037" s="219">
        <v>9</v>
      </c>
      <c r="F2037" s="166">
        <v>95</v>
      </c>
      <c r="G2037" s="166">
        <v>85</v>
      </c>
      <c r="H2037" s="21">
        <v>211</v>
      </c>
      <c r="I2037" s="21">
        <v>27</v>
      </c>
      <c r="J2037" s="21">
        <v>111</v>
      </c>
      <c r="K2037" s="21">
        <v>11</v>
      </c>
      <c r="L2037" s="21">
        <v>145</v>
      </c>
      <c r="M2037" s="21">
        <v>71</v>
      </c>
      <c r="N2037" s="21">
        <v>104</v>
      </c>
      <c r="O2037" s="19">
        <v>198</v>
      </c>
      <c r="P2037" s="22">
        <v>2</v>
      </c>
      <c r="Q2037" s="22">
        <v>2</v>
      </c>
      <c r="R2037" s="20"/>
      <c r="S2037" s="234">
        <f>COUNTIFS(INP_DATA!$R$5:$R$3027,S$4,INP_DATA!$D$5:$D$3027,$D2037,INP_DATA!$B$5:$B$3027,$B2037)</f>
        <v>0</v>
      </c>
      <c r="T2037" s="235">
        <f>COUNTIFS(INP_DATA!$R$5:$R$3027,T$4,INP_DATA!$D$5:$D$3027,$D2037,INP_DATA!$B$5:$B$3027,$B2037)</f>
        <v>0</v>
      </c>
    </row>
    <row r="2038" spans="1:20" x14ac:dyDescent="0.35">
      <c r="A2038" s="3" t="str">
        <f>IF(D2038="","",(VLOOKUP($D2038,KEY!$B$5:$D$74,3,FALSE)))</f>
        <v>Texas</v>
      </c>
      <c r="B2038" s="165">
        <f t="shared" si="23"/>
        <v>45931</v>
      </c>
      <c r="C2038" s="57" t="str">
        <f>IF($B2038="","",YEAR($B2038)&amp;"-"&amp;IFERROR(VLOOKUP(MONTH(B2038),KEY!$AE$5:$AF$16,2,FALSE),""))</f>
        <v>2025-Q4</v>
      </c>
      <c r="D2038" s="3" t="s">
        <v>138</v>
      </c>
      <c r="E2038" s="219">
        <v>32</v>
      </c>
      <c r="F2038" s="166">
        <v>129</v>
      </c>
      <c r="G2038" s="166">
        <v>121</v>
      </c>
      <c r="H2038" s="21">
        <v>176</v>
      </c>
      <c r="I2038" s="21">
        <v>27</v>
      </c>
      <c r="J2038" s="21">
        <v>121</v>
      </c>
      <c r="K2038" s="21">
        <v>42</v>
      </c>
      <c r="L2038" s="21">
        <v>256</v>
      </c>
      <c r="M2038" s="21">
        <v>90</v>
      </c>
      <c r="N2038" s="21">
        <v>131</v>
      </c>
      <c r="O2038" s="19">
        <v>220</v>
      </c>
      <c r="P2038" s="22">
        <v>5</v>
      </c>
      <c r="Q2038" s="22">
        <v>3</v>
      </c>
      <c r="R2038" s="20"/>
      <c r="S2038" s="234">
        <f>COUNTIFS(INP_DATA!$R$5:$R$3027,S$4,INP_DATA!$D$5:$D$3027,$D2038,INP_DATA!$B$5:$B$3027,$B2038)</f>
        <v>0</v>
      </c>
      <c r="T2038" s="235">
        <f>COUNTIFS(INP_DATA!$R$5:$R$3027,T$4,INP_DATA!$D$5:$D$3027,$D2038,INP_DATA!$B$5:$B$3027,$B2038)</f>
        <v>0</v>
      </c>
    </row>
    <row r="2039" spans="1:20" x14ac:dyDescent="0.35">
      <c r="A2039" s="3" t="str">
        <f>IF(D2039="","",(VLOOKUP($D2039,KEY!$B$5:$D$74,3,FALSE)))</f>
        <v>Southern California</v>
      </c>
      <c r="B2039" s="165">
        <f t="shared" si="23"/>
        <v>45931</v>
      </c>
      <c r="C2039" s="57" t="str">
        <f>IF($B2039="","",YEAR($B2039)&amp;"-"&amp;IFERROR(VLOOKUP(MONTH(B2039),KEY!$AE$5:$AF$16,2,FALSE),""))</f>
        <v>2025-Q4</v>
      </c>
      <c r="D2039" s="3" t="s">
        <v>139</v>
      </c>
      <c r="E2039" s="219">
        <v>43</v>
      </c>
      <c r="F2039" s="166">
        <v>260</v>
      </c>
      <c r="G2039" s="166">
        <v>177</v>
      </c>
      <c r="H2039" s="21">
        <v>405</v>
      </c>
      <c r="I2039" s="21">
        <v>74</v>
      </c>
      <c r="J2039" s="21">
        <v>119</v>
      </c>
      <c r="K2039" s="21">
        <v>33</v>
      </c>
      <c r="L2039" s="21">
        <v>568</v>
      </c>
      <c r="M2039" s="21">
        <v>167</v>
      </c>
      <c r="N2039" s="21">
        <v>261</v>
      </c>
      <c r="O2039" s="19">
        <v>330</v>
      </c>
      <c r="P2039" s="22">
        <v>16</v>
      </c>
      <c r="Q2039" s="22">
        <v>14</v>
      </c>
      <c r="R2039" s="20"/>
      <c r="S2039" s="234">
        <f>COUNTIFS(INP_DATA!$R$5:$R$3027,S$4,INP_DATA!$D$5:$D$3027,$D2039,INP_DATA!$B$5:$B$3027,$B2039)</f>
        <v>0</v>
      </c>
      <c r="T2039" s="235">
        <f>COUNTIFS(INP_DATA!$R$5:$R$3027,T$4,INP_DATA!$D$5:$D$3027,$D2039,INP_DATA!$B$5:$B$3027,$B2039)</f>
        <v>0</v>
      </c>
    </row>
    <row r="2040" spans="1:20" x14ac:dyDescent="0.35">
      <c r="A2040" s="3" t="str">
        <f>IF(D2040="","",(VLOOKUP($D2040,KEY!$B$5:$D$74,3,FALSE)))</f>
        <v>Orange County</v>
      </c>
      <c r="B2040" s="165">
        <f t="shared" si="23"/>
        <v>45931</v>
      </c>
      <c r="C2040" s="57" t="str">
        <f>IF($B2040="","",YEAR($B2040)&amp;"-"&amp;IFERROR(VLOOKUP(MONTH(B2040),KEY!$AE$5:$AF$16,2,FALSE),""))</f>
        <v>2025-Q4</v>
      </c>
      <c r="D2040" s="3" t="s">
        <v>140</v>
      </c>
      <c r="E2040" s="219">
        <v>5</v>
      </c>
      <c r="F2040" s="166">
        <v>26</v>
      </c>
      <c r="G2040" s="166">
        <v>30</v>
      </c>
      <c r="H2040" s="21">
        <v>46</v>
      </c>
      <c r="I2040" s="21">
        <v>12</v>
      </c>
      <c r="J2040" s="21">
        <v>24</v>
      </c>
      <c r="K2040" s="21">
        <v>5</v>
      </c>
      <c r="L2040" s="21">
        <v>63</v>
      </c>
      <c r="M2040" s="21">
        <v>21</v>
      </c>
      <c r="N2040" s="21">
        <v>27</v>
      </c>
      <c r="O2040" s="19">
        <v>66</v>
      </c>
      <c r="P2040" s="22">
        <v>9</v>
      </c>
      <c r="Q2040" s="22">
        <v>7</v>
      </c>
      <c r="R2040" s="20"/>
      <c r="S2040" s="234">
        <f>COUNTIFS(INP_DATA!$R$5:$R$3027,S$4,INP_DATA!$D$5:$D$3027,$D2040,INP_DATA!$B$5:$B$3027,$B2040)</f>
        <v>0</v>
      </c>
      <c r="T2040" s="235">
        <f>COUNTIFS(INP_DATA!$R$5:$R$3027,T$4,INP_DATA!$D$5:$D$3027,$D2040,INP_DATA!$B$5:$B$3027,$B2040)</f>
        <v>0</v>
      </c>
    </row>
    <row r="2041" spans="1:20" x14ac:dyDescent="0.35">
      <c r="A2041" s="3" t="str">
        <f>IF(D2041="","",(VLOOKUP($D2041,KEY!$B$5:$D$74,3,FALSE)))</f>
        <v>Southern California</v>
      </c>
      <c r="B2041" s="165">
        <f t="shared" si="23"/>
        <v>45931</v>
      </c>
      <c r="C2041" s="57" t="str">
        <f>IF($B2041="","",YEAR($B2041)&amp;"-"&amp;IFERROR(VLOOKUP(MONTH(B2041),KEY!$AE$5:$AF$16,2,FALSE),""))</f>
        <v>2025-Q4</v>
      </c>
      <c r="D2041" s="3" t="s">
        <v>142</v>
      </c>
      <c r="E2041" s="219">
        <v>7</v>
      </c>
      <c r="F2041" s="166">
        <v>73</v>
      </c>
      <c r="G2041" s="166">
        <v>95</v>
      </c>
      <c r="H2041" s="21">
        <v>159</v>
      </c>
      <c r="I2041" s="21">
        <v>23</v>
      </c>
      <c r="J2041" s="21">
        <v>41</v>
      </c>
      <c r="K2041" s="21">
        <v>10</v>
      </c>
      <c r="L2041" s="21">
        <v>74</v>
      </c>
      <c r="M2041" s="21">
        <v>42</v>
      </c>
      <c r="N2041" s="21">
        <v>73</v>
      </c>
      <c r="O2041" s="19">
        <v>132</v>
      </c>
      <c r="P2041" s="22">
        <v>8</v>
      </c>
      <c r="Q2041" s="22">
        <v>7</v>
      </c>
      <c r="R2041" s="20"/>
      <c r="S2041" s="234">
        <f>COUNTIFS(INP_DATA!$R$5:$R$3027,S$4,INP_DATA!$D$5:$D$3027,$D2041,INP_DATA!$B$5:$B$3027,$B2041)</f>
        <v>0</v>
      </c>
      <c r="T2041" s="235">
        <f>COUNTIFS(INP_DATA!$R$5:$R$3027,T$4,INP_DATA!$D$5:$D$3027,$D2041,INP_DATA!$B$5:$B$3027,$B2041)</f>
        <v>0</v>
      </c>
    </row>
    <row r="2042" spans="1:20" x14ac:dyDescent="0.35">
      <c r="A2042" s="3" t="str">
        <f>IF(D2042="","",(VLOOKUP($D2042,KEY!$B$5:$D$74,3,FALSE)))</f>
        <v>Arizona</v>
      </c>
      <c r="B2042" s="165">
        <f t="shared" si="23"/>
        <v>45931</v>
      </c>
      <c r="C2042" s="57" t="str">
        <f>IF($B2042="","",YEAR($B2042)&amp;"-"&amp;IFERROR(VLOOKUP(MONTH(B2042),KEY!$AE$5:$AF$16,2,FALSE),""))</f>
        <v>2025-Q4</v>
      </c>
      <c r="D2042" s="3" t="s">
        <v>143</v>
      </c>
      <c r="E2042" s="219">
        <v>14</v>
      </c>
      <c r="F2042" s="166">
        <v>90</v>
      </c>
      <c r="G2042" s="166">
        <v>71</v>
      </c>
      <c r="H2042" s="21">
        <v>169</v>
      </c>
      <c r="I2042" s="21">
        <v>22</v>
      </c>
      <c r="J2042" s="21">
        <v>82</v>
      </c>
      <c r="K2042" s="21">
        <v>22</v>
      </c>
      <c r="L2042" s="21">
        <v>121</v>
      </c>
      <c r="M2042" s="21">
        <v>61</v>
      </c>
      <c r="N2042" s="21">
        <v>92</v>
      </c>
      <c r="O2042" s="19">
        <v>198</v>
      </c>
      <c r="P2042" s="22">
        <v>3</v>
      </c>
      <c r="Q2042" s="22">
        <v>2</v>
      </c>
      <c r="R2042" s="20"/>
      <c r="S2042" s="234">
        <f>COUNTIFS(INP_DATA!$R$5:$R$3027,S$4,INP_DATA!$D$5:$D$3027,$D2042,INP_DATA!$B$5:$B$3027,$B2042)</f>
        <v>0</v>
      </c>
      <c r="T2042" s="235">
        <f>COUNTIFS(INP_DATA!$R$5:$R$3027,T$4,INP_DATA!$D$5:$D$3027,$D2042,INP_DATA!$B$5:$B$3027,$B2042)</f>
        <v>0</v>
      </c>
    </row>
    <row r="2043" spans="1:20" x14ac:dyDescent="0.35">
      <c r="A2043" s="3" t="str">
        <f>IF(D2043="","",(VLOOKUP($D2043,KEY!$B$5:$D$74,3,FALSE)))</f>
        <v>Arizona</v>
      </c>
      <c r="B2043" s="165">
        <f t="shared" si="23"/>
        <v>45931</v>
      </c>
      <c r="C2043" s="57" t="str">
        <f>IF($B2043="","",YEAR($B2043)&amp;"-"&amp;IFERROR(VLOOKUP(MONTH(B2043),KEY!$AE$5:$AF$16,2,FALSE),""))</f>
        <v>2025-Q4</v>
      </c>
      <c r="D2043" s="3" t="s">
        <v>144</v>
      </c>
      <c r="E2043" s="219">
        <v>30</v>
      </c>
      <c r="F2043" s="166">
        <v>207</v>
      </c>
      <c r="G2043" s="166">
        <v>225</v>
      </c>
      <c r="H2043" s="21">
        <v>230</v>
      </c>
      <c r="I2043" s="21">
        <v>40</v>
      </c>
      <c r="J2043" s="21">
        <v>111</v>
      </c>
      <c r="K2043" s="21">
        <v>31</v>
      </c>
      <c r="L2043" s="21">
        <v>288</v>
      </c>
      <c r="M2043" s="21">
        <v>161</v>
      </c>
      <c r="N2043" s="21">
        <v>218</v>
      </c>
      <c r="O2043" s="19">
        <v>396</v>
      </c>
      <c r="P2043" s="22">
        <v>12</v>
      </c>
      <c r="Q2043" s="22">
        <v>11</v>
      </c>
      <c r="R2043" s="20"/>
      <c r="S2043" s="234">
        <f>COUNTIFS(INP_DATA!$R$5:$R$3027,S$4,INP_DATA!$D$5:$D$3027,$D2043,INP_DATA!$B$5:$B$3027,$B2043)</f>
        <v>0</v>
      </c>
      <c r="T2043" s="235">
        <f>COUNTIFS(INP_DATA!$R$5:$R$3027,T$4,INP_DATA!$D$5:$D$3027,$D2043,INP_DATA!$B$5:$B$3027,$B2043)</f>
        <v>0</v>
      </c>
    </row>
    <row r="2044" spans="1:20" x14ac:dyDescent="0.35">
      <c r="A2044" s="3" t="str">
        <f>IF(D2044="","",(VLOOKUP($D2044,KEY!$B$5:$D$74,3,FALSE)))</f>
        <v>Southern California</v>
      </c>
      <c r="B2044" s="165">
        <f t="shared" si="23"/>
        <v>45931</v>
      </c>
      <c r="C2044" s="57" t="str">
        <f>IF($B2044="","",YEAR($B2044)&amp;"-"&amp;IFERROR(VLOOKUP(MONTH(B2044),KEY!$AE$5:$AF$16,2,FALSE),""))</f>
        <v>2025-Q4</v>
      </c>
      <c r="D2044" s="3" t="s">
        <v>145</v>
      </c>
      <c r="E2044" s="219">
        <v>42</v>
      </c>
      <c r="F2044" s="166">
        <v>151</v>
      </c>
      <c r="G2044" s="166">
        <v>150</v>
      </c>
      <c r="H2044" s="21">
        <v>258</v>
      </c>
      <c r="I2044" s="21">
        <v>31</v>
      </c>
      <c r="J2044" s="21">
        <v>100</v>
      </c>
      <c r="K2044" s="21">
        <v>30</v>
      </c>
      <c r="L2044" s="21">
        <v>240</v>
      </c>
      <c r="M2044" s="21">
        <v>100</v>
      </c>
      <c r="N2044" s="21">
        <v>155</v>
      </c>
      <c r="O2044" s="19">
        <v>352</v>
      </c>
      <c r="P2044" s="22">
        <v>20</v>
      </c>
      <c r="Q2044" s="22">
        <v>14</v>
      </c>
      <c r="R2044" s="20"/>
      <c r="S2044" s="234">
        <f>COUNTIFS(INP_DATA!$R$5:$R$3027,S$4,INP_DATA!$D$5:$D$3027,$D2044,INP_DATA!$B$5:$B$3027,$B2044)</f>
        <v>0</v>
      </c>
      <c r="T2044" s="235">
        <f>COUNTIFS(INP_DATA!$R$5:$R$3027,T$4,INP_DATA!$D$5:$D$3027,$D2044,INP_DATA!$B$5:$B$3027,$B2044)</f>
        <v>0</v>
      </c>
    </row>
    <row r="2045" spans="1:20" x14ac:dyDescent="0.35">
      <c r="A2045" s="3" t="str">
        <f>IF(D2045="","",(VLOOKUP($D2045,KEY!$B$5:$D$74,3,FALSE)))</f>
        <v>Arizona</v>
      </c>
      <c r="B2045" s="165">
        <f t="shared" si="23"/>
        <v>45931</v>
      </c>
      <c r="C2045" s="57" t="str">
        <f>IF($B2045="","",YEAR($B2045)&amp;"-"&amp;IFERROR(VLOOKUP(MONTH(B2045),KEY!$AE$5:$AF$16,2,FALSE),""))</f>
        <v>2025-Q4</v>
      </c>
      <c r="D2045" s="3" t="s">
        <v>146</v>
      </c>
      <c r="E2045" s="219">
        <v>9</v>
      </c>
      <c r="F2045" s="166">
        <v>46</v>
      </c>
      <c r="G2045" s="166">
        <v>39</v>
      </c>
      <c r="H2045" s="21">
        <v>115</v>
      </c>
      <c r="I2045" s="21">
        <v>16</v>
      </c>
      <c r="J2045" s="21">
        <v>14</v>
      </c>
      <c r="K2045" s="21">
        <v>4</v>
      </c>
      <c r="L2045" s="21">
        <v>72</v>
      </c>
      <c r="M2045" s="21">
        <v>38</v>
      </c>
      <c r="N2045" s="21">
        <v>46</v>
      </c>
      <c r="O2045" s="19">
        <v>88</v>
      </c>
      <c r="P2045" s="22">
        <v>3</v>
      </c>
      <c r="Q2045" s="22">
        <v>2</v>
      </c>
      <c r="R2045" s="20"/>
      <c r="S2045" s="234">
        <f>COUNTIFS(INP_DATA!$R$5:$R$3027,S$4,INP_DATA!$D$5:$D$3027,$D2045,INP_DATA!$B$5:$B$3027,$B2045)</f>
        <v>0</v>
      </c>
      <c r="T2045" s="235">
        <f>COUNTIFS(INP_DATA!$R$5:$R$3027,T$4,INP_DATA!$D$5:$D$3027,$D2045,INP_DATA!$B$5:$B$3027,$B2045)</f>
        <v>0</v>
      </c>
    </row>
    <row r="2046" spans="1:20" x14ac:dyDescent="0.35">
      <c r="A2046" s="3" t="str">
        <f>IF(D2046="","",(VLOOKUP($D2046,KEY!$B$5:$D$74,3,FALSE)))</f>
        <v>Texas</v>
      </c>
      <c r="B2046" s="165">
        <f t="shared" si="23"/>
        <v>45931</v>
      </c>
      <c r="C2046" s="57" t="str">
        <f>IF($B2046="","",YEAR($B2046)&amp;"-"&amp;IFERROR(VLOOKUP(MONTH(B2046),KEY!$AE$5:$AF$16,2,FALSE),""))</f>
        <v>2025-Q4</v>
      </c>
      <c r="D2046" s="3" t="s">
        <v>147</v>
      </c>
      <c r="E2046" s="219">
        <v>3</v>
      </c>
      <c r="F2046" s="166">
        <v>37</v>
      </c>
      <c r="G2046" s="166">
        <v>53</v>
      </c>
      <c r="H2046" s="21">
        <v>84</v>
      </c>
      <c r="I2046" s="21">
        <v>19</v>
      </c>
      <c r="J2046" s="21">
        <v>15</v>
      </c>
      <c r="K2046" s="21">
        <v>6</v>
      </c>
      <c r="L2046" s="21">
        <v>52</v>
      </c>
      <c r="M2046" s="21">
        <v>34</v>
      </c>
      <c r="N2046" s="21">
        <v>37</v>
      </c>
      <c r="O2046" s="19">
        <v>88</v>
      </c>
      <c r="P2046" s="22">
        <v>4</v>
      </c>
      <c r="Q2046" s="22">
        <v>1</v>
      </c>
      <c r="R2046" s="20"/>
      <c r="S2046" s="234">
        <f>COUNTIFS(INP_DATA!$R$5:$R$3027,S$4,INP_DATA!$D$5:$D$3027,$D2046,INP_DATA!$B$5:$B$3027,$B2046)</f>
        <v>0</v>
      </c>
      <c r="T2046" s="235">
        <f>COUNTIFS(INP_DATA!$R$5:$R$3027,T$4,INP_DATA!$D$5:$D$3027,$D2046,INP_DATA!$B$5:$B$3027,$B2046)</f>
        <v>0</v>
      </c>
    </row>
    <row r="2047" spans="1:20" x14ac:dyDescent="0.35">
      <c r="A2047" s="3" t="str">
        <f>IF(D2047="","",(VLOOKUP($D2047,KEY!$B$5:$D$74,3,FALSE)))</f>
        <v>Northern California</v>
      </c>
      <c r="B2047" s="165">
        <f t="shared" si="23"/>
        <v>45931</v>
      </c>
      <c r="C2047" s="57" t="str">
        <f>IF($B2047="","",YEAR($B2047)&amp;"-"&amp;IFERROR(VLOOKUP(MONTH(B2047),KEY!$AE$5:$AF$16,2,FALSE),""))</f>
        <v>2025-Q4</v>
      </c>
      <c r="D2047" s="3" t="s">
        <v>148</v>
      </c>
      <c r="E2047" s="219">
        <v>4</v>
      </c>
      <c r="F2047" s="166">
        <v>34</v>
      </c>
      <c r="G2047" s="166">
        <v>43</v>
      </c>
      <c r="H2047" s="21">
        <v>63</v>
      </c>
      <c r="I2047" s="21">
        <v>11</v>
      </c>
      <c r="J2047" s="21">
        <v>25</v>
      </c>
      <c r="K2047" s="21">
        <v>5</v>
      </c>
      <c r="L2047" s="21">
        <v>41</v>
      </c>
      <c r="M2047" s="21">
        <v>23</v>
      </c>
      <c r="N2047" s="21">
        <v>35</v>
      </c>
      <c r="O2047" s="19">
        <v>88</v>
      </c>
      <c r="P2047" s="22">
        <v>8</v>
      </c>
      <c r="Q2047" s="22">
        <v>7</v>
      </c>
      <c r="R2047" s="20"/>
      <c r="S2047" s="234">
        <f>COUNTIFS(INP_DATA!$R$5:$R$3027,S$4,INP_DATA!$D$5:$D$3027,$D2047,INP_DATA!$B$5:$B$3027,$B2047)</f>
        <v>0</v>
      </c>
      <c r="T2047" s="235">
        <f>COUNTIFS(INP_DATA!$R$5:$R$3027,T$4,INP_DATA!$D$5:$D$3027,$D2047,INP_DATA!$B$5:$B$3027,$B2047)</f>
        <v>0</v>
      </c>
    </row>
    <row r="2048" spans="1:20" x14ac:dyDescent="0.35">
      <c r="A2048" s="3" t="str">
        <f>IF(D2048="","",(VLOOKUP($D2048,KEY!$B$5:$D$74,3,FALSE)))</f>
        <v>Orange County</v>
      </c>
      <c r="B2048" s="165">
        <f t="shared" si="23"/>
        <v>45931</v>
      </c>
      <c r="C2048" s="57" t="str">
        <f>IF($B2048="","",YEAR($B2048)&amp;"-"&amp;IFERROR(VLOOKUP(MONTH(B2048),KEY!$AE$5:$AF$16,2,FALSE),""))</f>
        <v>2025-Q4</v>
      </c>
      <c r="D2048" s="3" t="s">
        <v>149</v>
      </c>
      <c r="E2048" s="219">
        <v>3</v>
      </c>
      <c r="F2048" s="166">
        <v>0</v>
      </c>
      <c r="G2048" s="166">
        <v>0</v>
      </c>
      <c r="H2048" s="21">
        <v>51</v>
      </c>
      <c r="I2048" s="21">
        <v>10</v>
      </c>
      <c r="J2048" s="21">
        <v>13</v>
      </c>
      <c r="K2048" s="21">
        <v>1</v>
      </c>
      <c r="L2048" s="21">
        <v>34</v>
      </c>
      <c r="M2048" s="21">
        <v>14</v>
      </c>
      <c r="N2048" s="21">
        <v>25</v>
      </c>
      <c r="O2048" s="19">
        <v>66</v>
      </c>
      <c r="P2048" s="22">
        <v>0</v>
      </c>
      <c r="Q2048" s="22">
        <v>0</v>
      </c>
      <c r="R2048" s="20"/>
      <c r="S2048" s="234">
        <f>COUNTIFS(INP_DATA!$R$5:$R$3027,S$4,INP_DATA!$D$5:$D$3027,$D2048,INP_DATA!$B$5:$B$3027,$B2048)</f>
        <v>0</v>
      </c>
      <c r="T2048" s="235">
        <f>COUNTIFS(INP_DATA!$R$5:$R$3027,T$4,INP_DATA!$D$5:$D$3027,$D2048,INP_DATA!$B$5:$B$3027,$B2048)</f>
        <v>0</v>
      </c>
    </row>
    <row r="2049" spans="1:20" x14ac:dyDescent="0.35">
      <c r="A2049" s="3" t="str">
        <f>IF(D2049="","",(VLOOKUP($D2049,KEY!$B$5:$D$74,3,FALSE)))</f>
        <v>Southern California</v>
      </c>
      <c r="B2049" s="165">
        <f t="shared" si="23"/>
        <v>45931</v>
      </c>
      <c r="C2049" s="57" t="str">
        <f>IF($B2049="","",YEAR($B2049)&amp;"-"&amp;IFERROR(VLOOKUP(MONTH(B2049),KEY!$AE$5:$AF$16,2,FALSE),""))</f>
        <v>2025-Q4</v>
      </c>
      <c r="D2049" s="3" t="s">
        <v>150</v>
      </c>
      <c r="E2049" s="219">
        <v>9</v>
      </c>
      <c r="F2049" s="166">
        <v>41</v>
      </c>
      <c r="G2049" s="166">
        <v>45</v>
      </c>
      <c r="H2049" s="21">
        <v>56</v>
      </c>
      <c r="I2049" s="21">
        <v>9</v>
      </c>
      <c r="J2049" s="21">
        <v>19</v>
      </c>
      <c r="K2049" s="21">
        <v>7</v>
      </c>
      <c r="L2049" s="21">
        <v>54</v>
      </c>
      <c r="M2049" s="21">
        <v>29</v>
      </c>
      <c r="N2049" s="21">
        <v>41</v>
      </c>
      <c r="O2049" s="19">
        <v>88</v>
      </c>
      <c r="P2049" s="22">
        <v>8</v>
      </c>
      <c r="Q2049" s="22">
        <v>6</v>
      </c>
      <c r="R2049" s="20"/>
      <c r="S2049" s="234">
        <f>COUNTIFS(INP_DATA!$R$5:$R$3027,S$4,INP_DATA!$D$5:$D$3027,$D2049,INP_DATA!$B$5:$B$3027,$B2049)</f>
        <v>0</v>
      </c>
      <c r="T2049" s="235">
        <f>COUNTIFS(INP_DATA!$R$5:$R$3027,T$4,INP_DATA!$D$5:$D$3027,$D2049,INP_DATA!$B$5:$B$3027,$B2049)</f>
        <v>0</v>
      </c>
    </row>
    <row r="2050" spans="1:20" x14ac:dyDescent="0.35">
      <c r="A2050" s="3" t="str">
        <f>IF(D2050="","",(VLOOKUP($D2050,KEY!$B$5:$D$74,3,FALSE)))</f>
        <v>Arizona</v>
      </c>
      <c r="B2050" s="165">
        <f t="shared" si="23"/>
        <v>45931</v>
      </c>
      <c r="C2050" s="57" t="str">
        <f>IF($B2050="","",YEAR($B2050)&amp;"-"&amp;IFERROR(VLOOKUP(MONTH(B2050),KEY!$AE$5:$AF$16,2,FALSE),""))</f>
        <v>2025-Q4</v>
      </c>
      <c r="D2050" s="3" t="s">
        <v>151</v>
      </c>
      <c r="E2050" s="219">
        <v>8</v>
      </c>
      <c r="F2050" s="166">
        <v>42</v>
      </c>
      <c r="G2050" s="166">
        <v>27</v>
      </c>
      <c r="H2050" s="21">
        <v>87</v>
      </c>
      <c r="I2050" s="21">
        <v>10</v>
      </c>
      <c r="J2050" s="21">
        <v>19</v>
      </c>
      <c r="K2050" s="21">
        <v>8</v>
      </c>
      <c r="L2050" s="21">
        <v>59</v>
      </c>
      <c r="M2050" s="21">
        <v>38</v>
      </c>
      <c r="N2050" s="21">
        <v>42</v>
      </c>
      <c r="O2050" s="19">
        <v>88</v>
      </c>
      <c r="P2050" s="22">
        <v>0</v>
      </c>
      <c r="Q2050" s="22">
        <v>0</v>
      </c>
      <c r="R2050" s="20"/>
      <c r="S2050" s="234">
        <f>COUNTIFS(INP_DATA!$R$5:$R$3027,S$4,INP_DATA!$D$5:$D$3027,$D2050,INP_DATA!$B$5:$B$3027,$B2050)</f>
        <v>0</v>
      </c>
      <c r="T2050" s="235">
        <f>COUNTIFS(INP_DATA!$R$5:$R$3027,T$4,INP_DATA!$D$5:$D$3027,$D2050,INP_DATA!$B$5:$B$3027,$B2050)</f>
        <v>0</v>
      </c>
    </row>
    <row r="2051" spans="1:20" x14ac:dyDescent="0.35">
      <c r="A2051" s="3" t="str">
        <f>IF(D2051="","",(VLOOKUP($D2051,KEY!$B$5:$D$74,3,FALSE)))</f>
        <v>Michigan &amp; Minnesota</v>
      </c>
      <c r="B2051" s="165">
        <f t="shared" si="23"/>
        <v>45931</v>
      </c>
      <c r="C2051" s="57" t="str">
        <f>IF($B2051="","",YEAR($B2051)&amp;"-"&amp;IFERROR(VLOOKUP(MONTH(B2051),KEY!$AE$5:$AF$16,2,FALSE),""))</f>
        <v>2025-Q4</v>
      </c>
      <c r="D2051" s="3" t="s">
        <v>206</v>
      </c>
      <c r="E2051" s="219">
        <v>62</v>
      </c>
      <c r="F2051" s="166">
        <v>256</v>
      </c>
      <c r="G2051" s="166">
        <v>256</v>
      </c>
      <c r="H2051" s="21">
        <v>304</v>
      </c>
      <c r="I2051" s="21">
        <v>78</v>
      </c>
      <c r="J2051" s="21">
        <v>164</v>
      </c>
      <c r="K2051" s="21">
        <v>41</v>
      </c>
      <c r="L2051" s="21">
        <v>434</v>
      </c>
      <c r="M2051" s="21">
        <v>148</v>
      </c>
      <c r="N2051" s="21">
        <v>258</v>
      </c>
      <c r="O2051" s="19">
        <v>418</v>
      </c>
      <c r="P2051" s="22">
        <v>15</v>
      </c>
      <c r="Q2051" s="22">
        <v>12</v>
      </c>
      <c r="R2051" s="20"/>
      <c r="S2051" s="234">
        <f>COUNTIFS(INP_DATA!$R$5:$R$3027,S$4,INP_DATA!$D$5:$D$3027,$D2051,INP_DATA!$B$5:$B$3027,$B2051)</f>
        <v>0</v>
      </c>
      <c r="T2051" s="235">
        <f>COUNTIFS(INP_DATA!$R$5:$R$3027,T$4,INP_DATA!$D$5:$D$3027,$D2051,INP_DATA!$B$5:$B$3027,$B2051)</f>
        <v>0</v>
      </c>
    </row>
    <row r="2052" spans="1:20" x14ac:dyDescent="0.35">
      <c r="A2052" s="3" t="str">
        <f>IF(D2052="","",(VLOOKUP($D2052,KEY!$B$5:$D$74,3,FALSE)))</f>
        <v>Michigan &amp; Minnesota</v>
      </c>
      <c r="B2052" s="165">
        <f t="shared" si="23"/>
        <v>45931</v>
      </c>
      <c r="C2052" s="57" t="str">
        <f>IF($B2052="","",YEAR($B2052)&amp;"-"&amp;IFERROR(VLOOKUP(MONTH(B2052),KEY!$AE$5:$AF$16,2,FALSE),""))</f>
        <v>2025-Q4</v>
      </c>
      <c r="D2052" s="3" t="s">
        <v>207</v>
      </c>
      <c r="E2052" s="219">
        <v>6</v>
      </c>
      <c r="F2052" s="166">
        <v>82</v>
      </c>
      <c r="G2052" s="166">
        <v>51</v>
      </c>
      <c r="H2052" s="21">
        <v>159</v>
      </c>
      <c r="I2052" s="21">
        <v>28</v>
      </c>
      <c r="J2052" s="21">
        <v>45</v>
      </c>
      <c r="K2052" s="21">
        <v>15</v>
      </c>
      <c r="L2052" s="21">
        <v>79</v>
      </c>
      <c r="M2052" s="21">
        <v>38</v>
      </c>
      <c r="N2052" s="21">
        <v>82</v>
      </c>
      <c r="O2052" s="19">
        <v>132</v>
      </c>
      <c r="P2052" s="22">
        <v>3</v>
      </c>
      <c r="Q2052" s="22">
        <v>2</v>
      </c>
      <c r="R2052" s="20"/>
      <c r="S2052" s="234">
        <f>COUNTIFS(INP_DATA!$R$5:$R$3027,S$4,INP_DATA!$D$5:$D$3027,$D2052,INP_DATA!$B$5:$B$3027,$B2052)</f>
        <v>0</v>
      </c>
      <c r="T2052" s="235">
        <f>COUNTIFS(INP_DATA!$R$5:$R$3027,T$4,INP_DATA!$D$5:$D$3027,$D2052,INP_DATA!$B$5:$B$3027,$B2052)</f>
        <v>0</v>
      </c>
    </row>
    <row r="2053" spans="1:20" x14ac:dyDescent="0.35">
      <c r="A2053" s="3" t="str">
        <f>IF(D2053="","",(VLOOKUP($D2053,KEY!$B$5:$D$74,3,FALSE)))</f>
        <v>Indiana</v>
      </c>
      <c r="B2053" s="165">
        <f t="shared" si="23"/>
        <v>45931</v>
      </c>
      <c r="C2053" s="57" t="str">
        <f>IF($B2053="","",YEAR($B2053)&amp;"-"&amp;IFERROR(VLOOKUP(MONTH(B2053),KEY!$AE$5:$AF$16,2,FALSE),""))</f>
        <v>2025-Q4</v>
      </c>
      <c r="D2053" s="3" t="s">
        <v>208</v>
      </c>
      <c r="E2053" s="219">
        <v>3</v>
      </c>
      <c r="F2053" s="166">
        <v>115</v>
      </c>
      <c r="G2053" s="166">
        <v>125</v>
      </c>
      <c r="H2053" s="21">
        <v>219</v>
      </c>
      <c r="I2053" s="21">
        <v>36</v>
      </c>
      <c r="J2053" s="21">
        <v>105</v>
      </c>
      <c r="K2053" s="21">
        <v>25</v>
      </c>
      <c r="L2053" s="21">
        <v>161</v>
      </c>
      <c r="M2053" s="21">
        <v>53</v>
      </c>
      <c r="N2053" s="21">
        <v>116</v>
      </c>
      <c r="O2053" s="19">
        <v>242</v>
      </c>
      <c r="P2053" s="22">
        <v>12</v>
      </c>
      <c r="Q2053" s="22">
        <v>9</v>
      </c>
      <c r="R2053" s="20"/>
      <c r="S2053" s="234">
        <f>COUNTIFS(INP_DATA!$R$5:$R$3027,S$4,INP_DATA!$D$5:$D$3027,$D2053,INP_DATA!$B$5:$B$3027,$B2053)</f>
        <v>0</v>
      </c>
      <c r="T2053" s="235">
        <f>COUNTIFS(INP_DATA!$R$5:$R$3027,T$4,INP_DATA!$D$5:$D$3027,$D2053,INP_DATA!$B$5:$B$3027,$B2053)</f>
        <v>0</v>
      </c>
    </row>
    <row r="2054" spans="1:20" x14ac:dyDescent="0.35">
      <c r="A2054" s="3" t="str">
        <f>IF(D2054="","",(VLOOKUP($D2054,KEY!$B$5:$D$74,3,FALSE)))</f>
        <v>Indiana</v>
      </c>
      <c r="B2054" s="165">
        <f t="shared" si="23"/>
        <v>45931</v>
      </c>
      <c r="C2054" s="57" t="str">
        <f>IF($B2054="","",YEAR($B2054)&amp;"-"&amp;IFERROR(VLOOKUP(MONTH(B2054),KEY!$AE$5:$AF$16,2,FALSE),""))</f>
        <v>2025-Q4</v>
      </c>
      <c r="D2054" s="3" t="s">
        <v>209</v>
      </c>
      <c r="E2054" s="219">
        <v>32</v>
      </c>
      <c r="F2054" s="166">
        <v>486</v>
      </c>
      <c r="G2054" s="166">
        <v>450</v>
      </c>
      <c r="H2054" s="21">
        <v>560</v>
      </c>
      <c r="I2054" s="21">
        <v>115</v>
      </c>
      <c r="J2054" s="21">
        <v>279</v>
      </c>
      <c r="K2054" s="21">
        <v>78</v>
      </c>
      <c r="L2054" s="21">
        <v>426</v>
      </c>
      <c r="M2054" s="21">
        <v>203</v>
      </c>
      <c r="N2054" s="21">
        <v>496</v>
      </c>
      <c r="O2054" s="19">
        <v>572</v>
      </c>
      <c r="P2054" s="22">
        <v>71</v>
      </c>
      <c r="Q2054" s="22">
        <v>48</v>
      </c>
      <c r="R2054" s="20"/>
      <c r="S2054" s="234">
        <f>COUNTIFS(INP_DATA!$R$5:$R$3027,S$4,INP_DATA!$D$5:$D$3027,$D2054,INP_DATA!$B$5:$B$3027,$B2054)</f>
        <v>0</v>
      </c>
      <c r="T2054" s="235">
        <f>COUNTIFS(INP_DATA!$R$5:$R$3027,T$4,INP_DATA!$D$5:$D$3027,$D2054,INP_DATA!$B$5:$B$3027,$B2054)</f>
        <v>0</v>
      </c>
    </row>
    <row r="2055" spans="1:20" x14ac:dyDescent="0.35">
      <c r="A2055" s="3" t="str">
        <f>IF(D2055="","",(VLOOKUP($D2055,KEY!$B$5:$D$74,3,FALSE)))</f>
        <v>Northern California</v>
      </c>
      <c r="B2055" s="165">
        <f t="shared" si="23"/>
        <v>45931</v>
      </c>
      <c r="C2055" s="57" t="str">
        <f>IF($B2055="","",YEAR($B2055)&amp;"-"&amp;IFERROR(VLOOKUP(MONTH(B2055),KEY!$AE$5:$AF$16,2,FALSE),""))</f>
        <v>2025-Q4</v>
      </c>
      <c r="D2055" s="3" t="s">
        <v>152</v>
      </c>
      <c r="E2055" s="219">
        <v>43</v>
      </c>
      <c r="F2055" s="166">
        <v>141</v>
      </c>
      <c r="G2055" s="166">
        <v>175</v>
      </c>
      <c r="H2055" s="21">
        <v>315</v>
      </c>
      <c r="I2055" s="21">
        <v>47</v>
      </c>
      <c r="J2055" s="21">
        <v>146</v>
      </c>
      <c r="K2055" s="21">
        <v>37</v>
      </c>
      <c r="L2055" s="21">
        <v>296</v>
      </c>
      <c r="M2055" s="21">
        <v>101</v>
      </c>
      <c r="N2055" s="21">
        <v>142</v>
      </c>
      <c r="O2055" s="19">
        <v>264</v>
      </c>
      <c r="P2055" s="22">
        <v>53</v>
      </c>
      <c r="Q2055" s="22">
        <v>40</v>
      </c>
      <c r="R2055" s="20"/>
      <c r="S2055" s="234">
        <f>COUNTIFS(INP_DATA!$R$5:$R$3027,S$4,INP_DATA!$D$5:$D$3027,$D2055,INP_DATA!$B$5:$B$3027,$B2055)</f>
        <v>0</v>
      </c>
      <c r="T2055" s="235">
        <f>COUNTIFS(INP_DATA!$R$5:$R$3027,T$4,INP_DATA!$D$5:$D$3027,$D2055,INP_DATA!$B$5:$B$3027,$B2055)</f>
        <v>0</v>
      </c>
    </row>
    <row r="2056" spans="1:20" x14ac:dyDescent="0.35">
      <c r="A2056" s="3" t="str">
        <f>IF(D2056="","",(VLOOKUP($D2056,KEY!$B$5:$D$74,3,FALSE)))</f>
        <v>Arizona</v>
      </c>
      <c r="B2056" s="165">
        <f t="shared" si="23"/>
        <v>45931</v>
      </c>
      <c r="C2056" s="57" t="str">
        <f>IF($B2056="","",YEAR($B2056)&amp;"-"&amp;IFERROR(VLOOKUP(MONTH(B2056),KEY!$AE$5:$AF$16,2,FALSE),""))</f>
        <v>2025-Q4</v>
      </c>
      <c r="D2056" s="3" t="s">
        <v>153</v>
      </c>
      <c r="E2056" s="219">
        <v>29</v>
      </c>
      <c r="F2056" s="166">
        <v>104</v>
      </c>
      <c r="G2056" s="166">
        <v>109</v>
      </c>
      <c r="H2056" s="21">
        <v>197</v>
      </c>
      <c r="I2056" s="21">
        <v>23</v>
      </c>
      <c r="J2056" s="21">
        <v>97</v>
      </c>
      <c r="K2056" s="21">
        <v>14</v>
      </c>
      <c r="L2056" s="21">
        <v>352</v>
      </c>
      <c r="M2056" s="21">
        <v>73</v>
      </c>
      <c r="N2056" s="21">
        <v>103</v>
      </c>
      <c r="O2056" s="19">
        <v>286</v>
      </c>
      <c r="P2056" s="22">
        <v>5</v>
      </c>
      <c r="Q2056" s="22">
        <v>5</v>
      </c>
      <c r="R2056" s="20"/>
      <c r="S2056" s="234">
        <f>COUNTIFS(INP_DATA!$R$5:$R$3027,S$4,INP_DATA!$D$5:$D$3027,$D2056,INP_DATA!$B$5:$B$3027,$B2056)</f>
        <v>0</v>
      </c>
      <c r="T2056" s="235">
        <f>COUNTIFS(INP_DATA!$R$5:$R$3027,T$4,INP_DATA!$D$5:$D$3027,$D2056,INP_DATA!$B$5:$B$3027,$B2056)</f>
        <v>0</v>
      </c>
    </row>
    <row r="2057" spans="1:20" x14ac:dyDescent="0.35">
      <c r="A2057" s="3" t="str">
        <f>IF(D2057="","",(VLOOKUP($D2057,KEY!$B$5:$D$74,3,FALSE)))</f>
        <v>Northern California</v>
      </c>
      <c r="B2057" s="165">
        <f t="shared" si="23"/>
        <v>45931</v>
      </c>
      <c r="C2057" s="57" t="str">
        <f>IF($B2057="","",YEAR($B2057)&amp;"-"&amp;IFERROR(VLOOKUP(MONTH(B2057),KEY!$AE$5:$AF$16,2,FALSE),""))</f>
        <v>2025-Q4</v>
      </c>
      <c r="D2057" s="3" t="s">
        <v>154</v>
      </c>
      <c r="E2057" s="219">
        <v>19</v>
      </c>
      <c r="F2057" s="166">
        <v>62</v>
      </c>
      <c r="G2057" s="166">
        <v>81</v>
      </c>
      <c r="H2057" s="21">
        <v>313</v>
      </c>
      <c r="I2057" s="21">
        <v>23</v>
      </c>
      <c r="J2057" s="21">
        <v>179</v>
      </c>
      <c r="K2057" s="21">
        <v>20</v>
      </c>
      <c r="L2057" s="21">
        <v>189</v>
      </c>
      <c r="M2057" s="21">
        <v>34</v>
      </c>
      <c r="N2057" s="21">
        <v>62</v>
      </c>
      <c r="O2057" s="19">
        <v>198</v>
      </c>
      <c r="P2057" s="22">
        <v>8</v>
      </c>
      <c r="Q2057" s="22">
        <v>7</v>
      </c>
      <c r="R2057" s="20"/>
      <c r="S2057" s="234">
        <f>COUNTIFS(INP_DATA!$R$5:$R$3027,S$4,INP_DATA!$D$5:$D$3027,$D2057,INP_DATA!$B$5:$B$3027,$B2057)</f>
        <v>0</v>
      </c>
      <c r="T2057" s="235">
        <f>COUNTIFS(INP_DATA!$R$5:$R$3027,T$4,INP_DATA!$D$5:$D$3027,$D2057,INP_DATA!$B$5:$B$3027,$B2057)</f>
        <v>0</v>
      </c>
    </row>
    <row r="2058" spans="1:20" x14ac:dyDescent="0.35">
      <c r="A2058" s="3" t="str">
        <f>IF(D2058="","",(VLOOKUP($D2058,KEY!$B$5:$D$74,3,FALSE)))</f>
        <v>Texas</v>
      </c>
      <c r="B2058" s="165">
        <f t="shared" si="23"/>
        <v>45931</v>
      </c>
      <c r="C2058" s="57" t="str">
        <f>IF($B2058="","",YEAR($B2058)&amp;"-"&amp;IFERROR(VLOOKUP(MONTH(B2058),KEY!$AE$5:$AF$16,2,FALSE),""))</f>
        <v>2025-Q4</v>
      </c>
      <c r="D2058" s="3" t="s">
        <v>155</v>
      </c>
      <c r="E2058" s="219">
        <v>49</v>
      </c>
      <c r="F2058" s="166">
        <v>269</v>
      </c>
      <c r="G2058" s="166">
        <v>284</v>
      </c>
      <c r="H2058" s="21">
        <v>705</v>
      </c>
      <c r="I2058" s="21">
        <v>85</v>
      </c>
      <c r="J2058" s="21">
        <v>212</v>
      </c>
      <c r="K2058" s="21">
        <v>43</v>
      </c>
      <c r="L2058" s="21">
        <v>445</v>
      </c>
      <c r="M2058" s="21">
        <v>137</v>
      </c>
      <c r="N2058" s="21">
        <v>270</v>
      </c>
      <c r="O2058" s="19">
        <v>528</v>
      </c>
      <c r="P2058" s="22">
        <v>16</v>
      </c>
      <c r="Q2058" s="22">
        <v>13</v>
      </c>
      <c r="R2058" s="20"/>
      <c r="S2058" s="234">
        <f>COUNTIFS(INP_DATA!$R$5:$R$3027,S$4,INP_DATA!$D$5:$D$3027,$D2058,INP_DATA!$B$5:$B$3027,$B2058)</f>
        <v>0</v>
      </c>
      <c r="T2058" s="235">
        <f>COUNTIFS(INP_DATA!$R$5:$R$3027,T$4,INP_DATA!$D$5:$D$3027,$D2058,INP_DATA!$B$5:$B$3027,$B2058)</f>
        <v>0</v>
      </c>
    </row>
    <row r="2059" spans="1:20" x14ac:dyDescent="0.35">
      <c r="A2059" s="3" t="str">
        <f>IF(D2059="","",(VLOOKUP($D2059,KEY!$B$5:$D$74,3,FALSE)))</f>
        <v>Texas</v>
      </c>
      <c r="B2059" s="165">
        <f t="shared" si="23"/>
        <v>45931</v>
      </c>
      <c r="C2059" s="57" t="str">
        <f>IF($B2059="","",YEAR($B2059)&amp;"-"&amp;IFERROR(VLOOKUP(MONTH(B2059),KEY!$AE$5:$AF$16,2,FALSE),""))</f>
        <v>2025-Q4</v>
      </c>
      <c r="D2059" s="3" t="s">
        <v>156</v>
      </c>
      <c r="E2059" s="219">
        <v>24</v>
      </c>
      <c r="F2059" s="166">
        <v>170</v>
      </c>
      <c r="G2059" s="166">
        <v>212</v>
      </c>
      <c r="H2059" s="21">
        <v>319</v>
      </c>
      <c r="I2059" s="21">
        <v>34</v>
      </c>
      <c r="J2059" s="21">
        <v>220</v>
      </c>
      <c r="K2059" s="21">
        <v>54</v>
      </c>
      <c r="L2059" s="21">
        <v>194</v>
      </c>
      <c r="M2059" s="21">
        <v>67</v>
      </c>
      <c r="N2059" s="21">
        <v>172</v>
      </c>
      <c r="O2059" s="19">
        <v>242</v>
      </c>
      <c r="P2059" s="22">
        <v>7</v>
      </c>
      <c r="Q2059" s="22">
        <v>4</v>
      </c>
      <c r="R2059" s="20"/>
      <c r="S2059" s="234">
        <f>COUNTIFS(INP_DATA!$R$5:$R$3027,S$4,INP_DATA!$D$5:$D$3027,$D2059,INP_DATA!$B$5:$B$3027,$B2059)</f>
        <v>0</v>
      </c>
      <c r="T2059" s="235">
        <f>COUNTIFS(INP_DATA!$R$5:$R$3027,T$4,INP_DATA!$D$5:$D$3027,$D2059,INP_DATA!$B$5:$B$3027,$B2059)</f>
        <v>0</v>
      </c>
    </row>
    <row r="2060" spans="1:20" x14ac:dyDescent="0.35">
      <c r="A2060" s="3" t="str">
        <f>IF(D2060="","",(VLOOKUP($D2060,KEY!$B$5:$D$74,3,FALSE)))</f>
        <v>Texas</v>
      </c>
      <c r="B2060" s="165">
        <f t="shared" si="23"/>
        <v>45931</v>
      </c>
      <c r="C2060" s="57" t="str">
        <f>IF($B2060="","",YEAR($B2060)&amp;"-"&amp;IFERROR(VLOOKUP(MONTH(B2060),KEY!$AE$5:$AF$16,2,FALSE),""))</f>
        <v>2025-Q4</v>
      </c>
      <c r="D2060" s="3" t="s">
        <v>157</v>
      </c>
      <c r="E2060" s="219">
        <v>25</v>
      </c>
      <c r="F2060" s="166">
        <v>570</v>
      </c>
      <c r="G2060" s="166">
        <v>383</v>
      </c>
      <c r="H2060" s="21">
        <v>1028</v>
      </c>
      <c r="I2060" s="21">
        <v>118</v>
      </c>
      <c r="J2060" s="21">
        <v>399</v>
      </c>
      <c r="K2060" s="21">
        <v>55</v>
      </c>
      <c r="L2060" s="21">
        <v>926</v>
      </c>
      <c r="M2060" s="21">
        <v>233</v>
      </c>
      <c r="N2060" s="21">
        <v>577</v>
      </c>
      <c r="O2060" s="19">
        <v>858</v>
      </c>
      <c r="P2060" s="22">
        <v>8</v>
      </c>
      <c r="Q2060" s="22">
        <v>7</v>
      </c>
      <c r="R2060" s="20"/>
      <c r="S2060" s="234">
        <f>COUNTIFS(INP_DATA!$R$5:$R$3027,S$4,INP_DATA!$D$5:$D$3027,$D2060,INP_DATA!$B$5:$B$3027,$B2060)</f>
        <v>0</v>
      </c>
      <c r="T2060" s="235">
        <f>COUNTIFS(INP_DATA!$R$5:$R$3027,T$4,INP_DATA!$D$5:$D$3027,$D2060,INP_DATA!$B$5:$B$3027,$B2060)</f>
        <v>0</v>
      </c>
    </row>
    <row r="2061" spans="1:20" x14ac:dyDescent="0.35">
      <c r="A2061" s="3" t="str">
        <f>IF(D2061="","",(VLOOKUP($D2061,KEY!$B$5:$D$74,3,FALSE)))</f>
        <v>Arizona</v>
      </c>
      <c r="B2061" s="165">
        <f t="shared" si="23"/>
        <v>45931</v>
      </c>
      <c r="C2061" s="57" t="str">
        <f>IF($B2061="","",YEAR($B2061)&amp;"-"&amp;IFERROR(VLOOKUP(MONTH(B2061),KEY!$AE$5:$AF$16,2,FALSE),""))</f>
        <v>2025-Q4</v>
      </c>
      <c r="D2061" s="3" t="s">
        <v>158</v>
      </c>
      <c r="E2061" s="219">
        <v>1</v>
      </c>
      <c r="F2061" s="166">
        <v>21</v>
      </c>
      <c r="G2061" s="166">
        <v>23</v>
      </c>
      <c r="H2061" s="21">
        <v>53</v>
      </c>
      <c r="I2061" s="21">
        <v>5</v>
      </c>
      <c r="J2061" s="21">
        <v>57</v>
      </c>
      <c r="K2061" s="21">
        <v>11</v>
      </c>
      <c r="L2061" s="21">
        <v>58</v>
      </c>
      <c r="M2061" s="21">
        <v>7</v>
      </c>
      <c r="N2061" s="21">
        <v>23</v>
      </c>
      <c r="O2061" s="19">
        <v>72</v>
      </c>
      <c r="P2061" s="22">
        <v>4</v>
      </c>
      <c r="Q2061" s="22">
        <v>0</v>
      </c>
      <c r="R2061" s="20"/>
      <c r="S2061" s="234">
        <f>COUNTIFS(INP_DATA!$R$5:$R$3027,S$4,INP_DATA!$D$5:$D$3027,$D2061,INP_DATA!$B$5:$B$3027,$B2061)</f>
        <v>0</v>
      </c>
      <c r="T2061" s="235">
        <f>COUNTIFS(INP_DATA!$R$5:$R$3027,T$4,INP_DATA!$D$5:$D$3027,$D2061,INP_DATA!$B$5:$B$3027,$B2061)</f>
        <v>0</v>
      </c>
    </row>
    <row r="2062" spans="1:20" x14ac:dyDescent="0.35">
      <c r="A2062" s="3" t="str">
        <f>IF(D2062="","",(VLOOKUP($D2062,KEY!$B$5:$D$74,3,FALSE)))</f>
        <v>Orange County</v>
      </c>
      <c r="B2062" s="165">
        <f t="shared" si="23"/>
        <v>45931</v>
      </c>
      <c r="C2062" s="57" t="str">
        <f>IF($B2062="","",YEAR($B2062)&amp;"-"&amp;IFERROR(VLOOKUP(MONTH(B2062),KEY!$AE$5:$AF$16,2,FALSE),""))</f>
        <v>2025-Q4</v>
      </c>
      <c r="D2062" s="3" t="s">
        <v>159</v>
      </c>
      <c r="E2062" s="219">
        <v>11</v>
      </c>
      <c r="F2062" s="166">
        <v>57</v>
      </c>
      <c r="G2062" s="166">
        <v>100</v>
      </c>
      <c r="H2062" s="21">
        <v>182</v>
      </c>
      <c r="I2062" s="21">
        <v>26</v>
      </c>
      <c r="J2062" s="21">
        <v>53</v>
      </c>
      <c r="K2062" s="21">
        <v>12</v>
      </c>
      <c r="L2062" s="21">
        <v>134</v>
      </c>
      <c r="M2062" s="21">
        <v>44</v>
      </c>
      <c r="N2062" s="21">
        <v>58</v>
      </c>
      <c r="O2062" s="19">
        <v>154</v>
      </c>
      <c r="P2062" s="22">
        <v>11</v>
      </c>
      <c r="Q2062" s="22">
        <v>9</v>
      </c>
      <c r="R2062" s="20"/>
      <c r="S2062" s="234">
        <f>COUNTIFS(INP_DATA!$R$5:$R$3027,S$4,INP_DATA!$D$5:$D$3027,$D2062,INP_DATA!$B$5:$B$3027,$B2062)</f>
        <v>0</v>
      </c>
      <c r="T2062" s="235">
        <f>COUNTIFS(INP_DATA!$R$5:$R$3027,T$4,INP_DATA!$D$5:$D$3027,$D2062,INP_DATA!$B$5:$B$3027,$B2062)</f>
        <v>0</v>
      </c>
    </row>
    <row r="2063" spans="1:20" x14ac:dyDescent="0.35">
      <c r="A2063" s="3" t="str">
        <f>IF(D2063="","",(VLOOKUP($D2063,KEY!$B$5:$D$74,3,FALSE)))</f>
        <v>Arizona</v>
      </c>
      <c r="B2063" s="165">
        <f t="shared" si="23"/>
        <v>45931</v>
      </c>
      <c r="C2063" s="57" t="str">
        <f>IF($B2063="","",YEAR($B2063)&amp;"-"&amp;IFERROR(VLOOKUP(MONTH(B2063),KEY!$AE$5:$AF$16,2,FALSE),""))</f>
        <v>2025-Q4</v>
      </c>
      <c r="D2063" s="3" t="s">
        <v>160</v>
      </c>
      <c r="E2063" s="219">
        <v>49</v>
      </c>
      <c r="F2063" s="166">
        <v>323</v>
      </c>
      <c r="G2063" s="166">
        <v>331</v>
      </c>
      <c r="H2063" s="21">
        <v>587</v>
      </c>
      <c r="I2063" s="21">
        <v>104</v>
      </c>
      <c r="J2063" s="21">
        <v>157</v>
      </c>
      <c r="K2063" s="21">
        <v>40</v>
      </c>
      <c r="L2063" s="21">
        <v>452</v>
      </c>
      <c r="M2063" s="21">
        <v>204</v>
      </c>
      <c r="N2063" s="21">
        <v>342</v>
      </c>
      <c r="O2063" s="19">
        <v>440</v>
      </c>
      <c r="P2063" s="22">
        <v>25</v>
      </c>
      <c r="Q2063" s="22">
        <v>18</v>
      </c>
      <c r="R2063" s="20"/>
      <c r="S2063" s="234">
        <f>COUNTIFS(INP_DATA!$R$5:$R$3027,S$4,INP_DATA!$D$5:$D$3027,$D2063,INP_DATA!$B$5:$B$3027,$B2063)</f>
        <v>0</v>
      </c>
      <c r="T2063" s="235">
        <f>COUNTIFS(INP_DATA!$R$5:$R$3027,T$4,INP_DATA!$D$5:$D$3027,$D2063,INP_DATA!$B$5:$B$3027,$B2063)</f>
        <v>0</v>
      </c>
    </row>
    <row r="2064" spans="1:20" x14ac:dyDescent="0.35">
      <c r="A2064" s="3" t="str">
        <f>IF(D2064="","",(VLOOKUP($D2064,KEY!$B$5:$D$74,3,FALSE)))</f>
        <v>Northern California</v>
      </c>
      <c r="B2064" s="165">
        <f t="shared" si="23"/>
        <v>45931</v>
      </c>
      <c r="C2064" s="57" t="str">
        <f>IF($B2064="","",YEAR($B2064)&amp;"-"&amp;IFERROR(VLOOKUP(MONTH(B2064),KEY!$AE$5:$AF$16,2,FALSE),""))</f>
        <v>2025-Q4</v>
      </c>
      <c r="D2064" s="3" t="s">
        <v>161</v>
      </c>
      <c r="E2064" s="219">
        <v>38</v>
      </c>
      <c r="F2064" s="166">
        <v>296</v>
      </c>
      <c r="G2064" s="166">
        <v>243</v>
      </c>
      <c r="H2064" s="21">
        <v>353</v>
      </c>
      <c r="I2064" s="21">
        <v>68</v>
      </c>
      <c r="J2064" s="21">
        <v>218</v>
      </c>
      <c r="K2064" s="21">
        <v>45</v>
      </c>
      <c r="L2064" s="21">
        <v>336</v>
      </c>
      <c r="M2064" s="21">
        <v>100</v>
      </c>
      <c r="N2064" s="21">
        <v>302</v>
      </c>
      <c r="O2064" s="19">
        <v>440</v>
      </c>
      <c r="P2064" s="22">
        <v>2</v>
      </c>
      <c r="Q2064" s="22">
        <v>2</v>
      </c>
      <c r="R2064" s="20"/>
      <c r="S2064" s="234">
        <f>COUNTIFS(INP_DATA!$R$5:$R$3027,S$4,INP_DATA!$D$5:$D$3027,$D2064,INP_DATA!$B$5:$B$3027,$B2064)</f>
        <v>0</v>
      </c>
      <c r="T2064" s="235">
        <f>COUNTIFS(INP_DATA!$R$5:$R$3027,T$4,INP_DATA!$D$5:$D$3027,$D2064,INP_DATA!$B$5:$B$3027,$B2064)</f>
        <v>0</v>
      </c>
    </row>
    <row r="2065" spans="1:20" x14ac:dyDescent="0.35">
      <c r="A2065" s="3" t="str">
        <f>IF(D2065="","",(VLOOKUP($D2065,KEY!$B$5:$D$74,3,FALSE)))</f>
        <v>Arizona</v>
      </c>
      <c r="B2065" s="165">
        <f t="shared" si="23"/>
        <v>45931</v>
      </c>
      <c r="C2065" s="57" t="str">
        <f>IF($B2065="","",YEAR($B2065)&amp;"-"&amp;IFERROR(VLOOKUP(MONTH(B2065),KEY!$AE$5:$AF$16,2,FALSE),""))</f>
        <v>2025-Q4</v>
      </c>
      <c r="D2065" s="3" t="s">
        <v>163</v>
      </c>
      <c r="E2065" s="219">
        <v>59</v>
      </c>
      <c r="F2065" s="166">
        <v>304</v>
      </c>
      <c r="G2065" s="166">
        <v>273</v>
      </c>
      <c r="H2065" s="21">
        <v>459</v>
      </c>
      <c r="I2065" s="21">
        <v>80</v>
      </c>
      <c r="J2065" s="21">
        <v>142</v>
      </c>
      <c r="K2065" s="21">
        <v>32</v>
      </c>
      <c r="L2065" s="21">
        <v>340</v>
      </c>
      <c r="M2065" s="21">
        <v>163</v>
      </c>
      <c r="N2065" s="21">
        <v>313</v>
      </c>
      <c r="O2065" s="19">
        <v>440</v>
      </c>
      <c r="P2065" s="22">
        <v>2</v>
      </c>
      <c r="Q2065" s="22">
        <v>0</v>
      </c>
      <c r="R2065" s="20"/>
      <c r="S2065" s="234">
        <f>COUNTIFS(INP_DATA!$R$5:$R$3027,S$4,INP_DATA!$D$5:$D$3027,$D2065,INP_DATA!$B$5:$B$3027,$B2065)</f>
        <v>0</v>
      </c>
      <c r="T2065" s="235">
        <f>COUNTIFS(INP_DATA!$R$5:$R$3027,T$4,INP_DATA!$D$5:$D$3027,$D2065,INP_DATA!$B$5:$B$3027,$B2065)</f>
        <v>0</v>
      </c>
    </row>
    <row r="2066" spans="1:20" x14ac:dyDescent="0.35">
      <c r="A2066" s="3" t="str">
        <f>IF(D2066="","",(VLOOKUP($D2066,KEY!$B$5:$D$74,3,FALSE)))</f>
        <v>Arizona</v>
      </c>
      <c r="B2066" s="165">
        <f t="shared" si="23"/>
        <v>45931</v>
      </c>
      <c r="C2066" s="57" t="str">
        <f>IF($B2066="","",YEAR($B2066)&amp;"-"&amp;IFERROR(VLOOKUP(MONTH(B2066),KEY!$AE$5:$AF$16,2,FALSE),""))</f>
        <v>2025-Q4</v>
      </c>
      <c r="D2066" s="3" t="s">
        <v>164</v>
      </c>
      <c r="E2066" s="219">
        <v>5</v>
      </c>
      <c r="F2066" s="166">
        <v>49</v>
      </c>
      <c r="G2066" s="166">
        <v>66</v>
      </c>
      <c r="H2066" s="21">
        <v>132</v>
      </c>
      <c r="I2066" s="21">
        <v>16</v>
      </c>
      <c r="J2066" s="21">
        <v>25</v>
      </c>
      <c r="K2066" s="21">
        <v>4</v>
      </c>
      <c r="L2066" s="21">
        <v>82</v>
      </c>
      <c r="M2066" s="21">
        <v>36</v>
      </c>
      <c r="N2066" s="21">
        <v>51</v>
      </c>
      <c r="O2066" s="19">
        <v>132</v>
      </c>
      <c r="P2066" s="22">
        <v>8</v>
      </c>
      <c r="Q2066" s="22">
        <v>6</v>
      </c>
      <c r="R2066" s="20"/>
      <c r="S2066" s="234">
        <f>COUNTIFS(INP_DATA!$R$5:$R$3027,S$4,INP_DATA!$D$5:$D$3027,$D2066,INP_DATA!$B$5:$B$3027,$B2066)</f>
        <v>0</v>
      </c>
      <c r="T2066" s="235">
        <f>COUNTIFS(INP_DATA!$R$5:$R$3027,T$4,INP_DATA!$D$5:$D$3027,$D2066,INP_DATA!$B$5:$B$3027,$B2066)</f>
        <v>0</v>
      </c>
    </row>
    <row r="2067" spans="1:20" x14ac:dyDescent="0.35">
      <c r="A2067" s="3" t="str">
        <f>IF(D2067="","",(VLOOKUP($D2067,KEY!$B$5:$D$74,3,FALSE)))</f>
        <v>Orange County</v>
      </c>
      <c r="B2067" s="165">
        <f t="shared" si="23"/>
        <v>45931</v>
      </c>
      <c r="C2067" s="57" t="str">
        <f>IF($B2067="","",YEAR($B2067)&amp;"-"&amp;IFERROR(VLOOKUP(MONTH(B2067),KEY!$AE$5:$AF$16,2,FALSE),""))</f>
        <v>2025-Q4</v>
      </c>
      <c r="D2067" s="3" t="s">
        <v>165</v>
      </c>
      <c r="E2067" s="219">
        <v>0</v>
      </c>
      <c r="F2067" s="166">
        <v>46</v>
      </c>
      <c r="G2067" s="166">
        <v>58</v>
      </c>
      <c r="H2067" s="21">
        <v>146</v>
      </c>
      <c r="I2067" s="21">
        <v>10</v>
      </c>
      <c r="J2067" s="21">
        <v>45</v>
      </c>
      <c r="K2067" s="21">
        <v>6</v>
      </c>
      <c r="L2067" s="21">
        <v>43</v>
      </c>
      <c r="M2067" s="21">
        <v>28</v>
      </c>
      <c r="N2067" s="21">
        <v>46</v>
      </c>
      <c r="O2067" s="19">
        <v>132</v>
      </c>
      <c r="P2067" s="22">
        <v>24</v>
      </c>
      <c r="Q2067" s="22">
        <v>12</v>
      </c>
      <c r="R2067" s="20"/>
      <c r="S2067" s="234">
        <f>COUNTIFS(INP_DATA!$R$5:$R$3027,S$4,INP_DATA!$D$5:$D$3027,$D2067,INP_DATA!$B$5:$B$3027,$B2067)</f>
        <v>0</v>
      </c>
      <c r="T2067" s="235">
        <f>COUNTIFS(INP_DATA!$R$5:$R$3027,T$4,INP_DATA!$D$5:$D$3027,$D2067,INP_DATA!$B$5:$B$3027,$B2067)</f>
        <v>0</v>
      </c>
    </row>
    <row r="2068" spans="1:20" x14ac:dyDescent="0.35">
      <c r="A2068" s="3" t="str">
        <f>IF(D2068="","",(VLOOKUP($D2068,KEY!$B$5:$D$74,3,FALSE)))</f>
        <v/>
      </c>
      <c r="B2068" s="165">
        <f t="shared" ref="B2068:B2072" si="24">B2067</f>
        <v>45931</v>
      </c>
      <c r="C2068" s="57" t="str">
        <f>IF($B2068="","",YEAR($B2068)&amp;"-"&amp;IFERROR(VLOOKUP(MONTH(B2068),KEY!$AE$5:$AF$16,2,FALSE),""))</f>
        <v>2025-Q4</v>
      </c>
      <c r="D2068" s="3"/>
      <c r="E2068" s="219" t="s">
        <v>211</v>
      </c>
      <c r="F2068" s="166" t="s">
        <v>211</v>
      </c>
      <c r="G2068" s="166" t="s">
        <v>211</v>
      </c>
      <c r="H2068" s="21" t="s">
        <v>211</v>
      </c>
      <c r="I2068" s="21" t="s">
        <v>211</v>
      </c>
      <c r="J2068" s="21" t="s">
        <v>211</v>
      </c>
      <c r="K2068" s="21" t="s">
        <v>211</v>
      </c>
      <c r="L2068" s="21" t="s">
        <v>211</v>
      </c>
      <c r="M2068" s="21" t="s">
        <v>211</v>
      </c>
      <c r="N2068" s="21" t="s">
        <v>211</v>
      </c>
      <c r="O2068" s="19" t="s">
        <v>211</v>
      </c>
      <c r="P2068" s="22" t="s">
        <v>211</v>
      </c>
      <c r="Q2068" s="22" t="s">
        <v>211</v>
      </c>
      <c r="R2068" s="20"/>
      <c r="S2068" s="234">
        <f>COUNTIFS(INP_DATA!$R$5:$R$3027,S$4,INP_DATA!$D$5:$D$3027,$D2068,INP_DATA!$B$5:$B$3027,$B2068)</f>
        <v>0</v>
      </c>
      <c r="T2068" s="235">
        <f>COUNTIFS(INP_DATA!$R$5:$R$3027,T$4,INP_DATA!$D$5:$D$3027,$D2068,INP_DATA!$B$5:$B$3027,$B2068)</f>
        <v>0</v>
      </c>
    </row>
    <row r="2069" spans="1:20" x14ac:dyDescent="0.35">
      <c r="A2069" s="3" t="str">
        <f>IF(D2069="","",(VLOOKUP($D2069,KEY!$B$5:$D$74,3,FALSE)))</f>
        <v/>
      </c>
      <c r="B2069" s="165">
        <f t="shared" si="24"/>
        <v>45931</v>
      </c>
      <c r="C2069" s="57" t="str">
        <f>IF($B2069="","",YEAR($B2069)&amp;"-"&amp;IFERROR(VLOOKUP(MONTH(B2069),KEY!$AE$5:$AF$16,2,FALSE),""))</f>
        <v>2025-Q4</v>
      </c>
      <c r="D2069" s="3"/>
      <c r="E2069" s="219"/>
      <c r="F2069" s="166"/>
      <c r="G2069" s="166"/>
      <c r="H2069" s="21"/>
      <c r="I2069" s="21"/>
      <c r="J2069" s="21"/>
      <c r="K2069" s="21"/>
      <c r="L2069" s="21"/>
      <c r="M2069" s="21"/>
      <c r="N2069" s="21"/>
      <c r="O2069" s="19"/>
      <c r="P2069" s="22"/>
      <c r="Q2069" s="22"/>
      <c r="R2069" s="20"/>
      <c r="S2069" s="234">
        <f>COUNTIFS(INP_DATA!$R$5:$R$3027,S$4,INP_DATA!$D$5:$D$3027,$D2069,INP_DATA!$B$5:$B$3027,$B2069)</f>
        <v>0</v>
      </c>
      <c r="T2069" s="235">
        <f>COUNTIFS(INP_DATA!$R$5:$R$3027,T$4,INP_DATA!$D$5:$D$3027,$D2069,INP_DATA!$B$5:$B$3027,$B2069)</f>
        <v>0</v>
      </c>
    </row>
    <row r="2070" spans="1:20" x14ac:dyDescent="0.35">
      <c r="A2070" s="3" t="str">
        <f>IF(D2070="","",(VLOOKUP($D2070,KEY!$B$5:$D$74,3,FALSE)))</f>
        <v/>
      </c>
      <c r="B2070" s="165">
        <f t="shared" si="24"/>
        <v>45931</v>
      </c>
      <c r="C2070" s="57" t="str">
        <f>IF($B2070="","",YEAR($B2070)&amp;"-"&amp;IFERROR(VLOOKUP(MONTH(B2070),KEY!$AE$5:$AF$16,2,FALSE),""))</f>
        <v>2025-Q4</v>
      </c>
      <c r="D2070" s="3"/>
      <c r="E2070" s="219"/>
      <c r="F2070" s="166"/>
      <c r="G2070" s="166"/>
      <c r="H2070" s="21"/>
      <c r="I2070" s="21"/>
      <c r="J2070" s="21"/>
      <c r="K2070" s="21"/>
      <c r="L2070" s="21"/>
      <c r="M2070" s="21"/>
      <c r="N2070" s="21"/>
      <c r="O2070" s="19"/>
      <c r="P2070" s="22"/>
      <c r="Q2070" s="22"/>
      <c r="R2070" s="20"/>
      <c r="S2070" s="234">
        <f>COUNTIFS(INP_DATA!$R$5:$R$3027,S$4,INP_DATA!$D$5:$D$3027,$D2070,INP_DATA!$B$5:$B$3027,$B2070)</f>
        <v>0</v>
      </c>
      <c r="T2070" s="235">
        <f>COUNTIFS(INP_DATA!$R$5:$R$3027,T$4,INP_DATA!$D$5:$D$3027,$D2070,INP_DATA!$B$5:$B$3027,$B2070)</f>
        <v>0</v>
      </c>
    </row>
    <row r="2071" spans="1:20" x14ac:dyDescent="0.35">
      <c r="A2071" s="3" t="str">
        <f>IF(D2071="","",(VLOOKUP($D2071,KEY!$B$5:$D$74,3,FALSE)))</f>
        <v/>
      </c>
      <c r="B2071" s="165">
        <f t="shared" si="24"/>
        <v>45931</v>
      </c>
      <c r="C2071" s="57" t="str">
        <f>IF($B2071="","",YEAR($B2071)&amp;"-"&amp;IFERROR(VLOOKUP(MONTH(B2071),KEY!$AE$5:$AF$16,2,FALSE),""))</f>
        <v>2025-Q4</v>
      </c>
      <c r="D2071" s="3"/>
      <c r="E2071" s="219"/>
      <c r="F2071" s="166"/>
      <c r="G2071" s="166"/>
      <c r="H2071" s="21"/>
      <c r="I2071" s="21"/>
      <c r="J2071" s="21"/>
      <c r="K2071" s="21"/>
      <c r="L2071" s="21"/>
      <c r="M2071" s="21"/>
      <c r="N2071" s="21"/>
      <c r="O2071" s="19"/>
      <c r="P2071" s="22"/>
      <c r="Q2071" s="22"/>
      <c r="R2071" s="20"/>
      <c r="S2071" s="234">
        <f>COUNTIFS(INP_DATA!$R$5:$R$3027,S$4,INP_DATA!$D$5:$D$3027,$D2071,INP_DATA!$B$5:$B$3027,$B2071)</f>
        <v>0</v>
      </c>
      <c r="T2071" s="235">
        <f>COUNTIFS(INP_DATA!$R$5:$R$3027,T$4,INP_DATA!$D$5:$D$3027,$D2071,INP_DATA!$B$5:$B$3027,$B2071)</f>
        <v>0</v>
      </c>
    </row>
    <row r="2072" spans="1:20" x14ac:dyDescent="0.35">
      <c r="A2072" s="3" t="str">
        <f>IF(D2072="","",(VLOOKUP($D2072,KEY!$B$5:$D$74,3,FALSE)))</f>
        <v/>
      </c>
      <c r="B2072" s="426">
        <f t="shared" si="24"/>
        <v>45931</v>
      </c>
      <c r="C2072" s="427" t="str">
        <f>IF($B2072="","",YEAR($B2072)&amp;"-"&amp;IFERROR(VLOOKUP(MONTH(B2072),KEY!$AE$5:$AF$16,2,FALSE),""))</f>
        <v>2025-Q4</v>
      </c>
      <c r="D2072" s="428"/>
      <c r="E2072" s="429"/>
      <c r="F2072" s="430"/>
      <c r="G2072" s="430"/>
      <c r="H2072" s="431"/>
      <c r="I2072" s="431"/>
      <c r="J2072" s="431"/>
      <c r="K2072" s="431"/>
      <c r="L2072" s="431"/>
      <c r="M2072" s="431"/>
      <c r="N2072" s="431"/>
      <c r="O2072" s="432"/>
      <c r="P2072" s="433"/>
      <c r="Q2072" s="433"/>
      <c r="R2072" s="20"/>
      <c r="S2072" s="234">
        <f>COUNTIFS(INP_DATA!$R$5:$R$3027,S$4,INP_DATA!$D$5:$D$3027,$D2072,INP_DATA!$B$5:$B$3027,$B2072)</f>
        <v>0</v>
      </c>
      <c r="T2072" s="235">
        <f>COUNTIFS(INP_DATA!$R$5:$R$3027,T$4,INP_DATA!$D$5:$D$3027,$D2072,INP_DATA!$B$5:$B$3027,$B2072)</f>
        <v>0</v>
      </c>
    </row>
    <row r="2073" spans="1:20" x14ac:dyDescent="0.35">
      <c r="A2073" s="3" t="str">
        <f>IF(D2073="","",(VLOOKUP($D2073,KEY!$B$5:$D$74,3,FALSE)))</f>
        <v>Arizona</v>
      </c>
      <c r="B2073" s="165">
        <f>DATE(YEAR(B2072+31),MONTH(B2072+31),1)</f>
        <v>45962</v>
      </c>
      <c r="C2073" s="57" t="str">
        <f>IF($B2073="","",YEAR($B2073)&amp;"-"&amp;IFERROR(VLOOKUP(MONTH(B2073),KEY!$AE$5:$AF$16,2,FALSE),""))</f>
        <v>2025-Q4</v>
      </c>
      <c r="D2073" s="3" t="s">
        <v>111</v>
      </c>
      <c r="E2073" s="219">
        <v>8</v>
      </c>
      <c r="F2073" s="166">
        <v>58</v>
      </c>
      <c r="G2073" s="166">
        <v>69</v>
      </c>
      <c r="H2073" s="21">
        <v>138</v>
      </c>
      <c r="I2073" s="21">
        <v>23</v>
      </c>
      <c r="J2073" s="21">
        <v>43</v>
      </c>
      <c r="K2073" s="21">
        <v>10</v>
      </c>
      <c r="L2073" s="21">
        <v>81</v>
      </c>
      <c r="M2073" s="21">
        <v>36</v>
      </c>
      <c r="N2073" s="21">
        <v>58</v>
      </c>
      <c r="O2073" s="19">
        <v>154</v>
      </c>
      <c r="P2073" s="22">
        <v>1</v>
      </c>
      <c r="Q2073" s="22">
        <v>0</v>
      </c>
      <c r="R2073" s="20"/>
      <c r="S2073" s="234">
        <f>COUNTIFS(INP_DATA!$R$5:$R$3027,S$4,INP_DATA!$D$5:$D$3027,$D2073,INP_DATA!$B$5:$B$3027,$B2073)</f>
        <v>0</v>
      </c>
      <c r="T2073" s="235">
        <f>COUNTIFS(INP_DATA!$R$5:$R$3027,T$4,INP_DATA!$D$5:$D$3027,$D2073,INP_DATA!$B$5:$B$3027,$B2073)</f>
        <v>0</v>
      </c>
    </row>
    <row r="2074" spans="1:20" x14ac:dyDescent="0.35">
      <c r="A2074" s="3" t="str">
        <f>IF(D2074="","",(VLOOKUP($D2074,KEY!$B$5:$D$74,3,FALSE)))</f>
        <v>Southern California</v>
      </c>
      <c r="B2074" s="165">
        <f t="shared" ref="B2074:B2137" si="25">B2073</f>
        <v>45962</v>
      </c>
      <c r="C2074" s="57" t="str">
        <f>IF($B2074="","",YEAR($B2074)&amp;"-"&amp;IFERROR(VLOOKUP(MONTH(B2074),KEY!$AE$5:$AF$16,2,FALSE),""))</f>
        <v>2025-Q4</v>
      </c>
      <c r="D2074" s="3" t="s">
        <v>112</v>
      </c>
      <c r="E2074" s="219">
        <v>2</v>
      </c>
      <c r="F2074" s="166">
        <v>34</v>
      </c>
      <c r="G2074" s="166">
        <v>43</v>
      </c>
      <c r="H2074" s="21">
        <v>64</v>
      </c>
      <c r="I2074" s="21">
        <v>14</v>
      </c>
      <c r="J2074" s="21">
        <v>23</v>
      </c>
      <c r="K2074" s="21">
        <v>2</v>
      </c>
      <c r="L2074" s="21">
        <v>61</v>
      </c>
      <c r="M2074" s="21">
        <v>24</v>
      </c>
      <c r="N2074" s="21">
        <v>35</v>
      </c>
      <c r="O2074" s="19">
        <v>110</v>
      </c>
      <c r="P2074" s="22">
        <v>1</v>
      </c>
      <c r="Q2074" s="22">
        <v>1</v>
      </c>
      <c r="R2074" s="20"/>
      <c r="S2074" s="234">
        <f>COUNTIFS(INP_DATA!$R$5:$R$3027,S$4,INP_DATA!$D$5:$D$3027,$D2074,INP_DATA!$B$5:$B$3027,$B2074)</f>
        <v>0</v>
      </c>
      <c r="T2074" s="235">
        <f>COUNTIFS(INP_DATA!$R$5:$R$3027,T$4,INP_DATA!$D$5:$D$3027,$D2074,INP_DATA!$B$5:$B$3027,$B2074)</f>
        <v>0</v>
      </c>
    </row>
    <row r="2075" spans="1:20" x14ac:dyDescent="0.35">
      <c r="A2075" s="3" t="str">
        <f>IF(D2075="","",(VLOOKUP($D2075,KEY!$B$5:$D$74,3,FALSE)))</f>
        <v>Arizona</v>
      </c>
      <c r="B2075" s="165">
        <f t="shared" si="25"/>
        <v>45962</v>
      </c>
      <c r="C2075" s="57" t="str">
        <f>IF($B2075="","",YEAR($B2075)&amp;"-"&amp;IFERROR(VLOOKUP(MONTH(B2075),KEY!$AE$5:$AF$16,2,FALSE),""))</f>
        <v>2025-Q4</v>
      </c>
      <c r="D2075" s="3" t="s">
        <v>113</v>
      </c>
      <c r="E2075" s="219">
        <v>4</v>
      </c>
      <c r="F2075" s="166">
        <v>66</v>
      </c>
      <c r="G2075" s="166">
        <v>89</v>
      </c>
      <c r="H2075" s="21">
        <v>185</v>
      </c>
      <c r="I2075" s="21">
        <v>19</v>
      </c>
      <c r="J2075" s="21">
        <v>38</v>
      </c>
      <c r="K2075" s="21">
        <v>11</v>
      </c>
      <c r="L2075" s="21">
        <v>129</v>
      </c>
      <c r="M2075" s="21">
        <v>65</v>
      </c>
      <c r="N2075" s="21">
        <v>67</v>
      </c>
      <c r="O2075" s="19">
        <v>154</v>
      </c>
      <c r="P2075" s="22">
        <v>6</v>
      </c>
      <c r="Q2075" s="22">
        <v>1</v>
      </c>
      <c r="R2075" s="20"/>
      <c r="S2075" s="234">
        <f>COUNTIFS(INP_DATA!$R$5:$R$3027,S$4,INP_DATA!$D$5:$D$3027,$D2075,INP_DATA!$B$5:$B$3027,$B2075)</f>
        <v>0</v>
      </c>
      <c r="T2075" s="235">
        <f>COUNTIFS(INP_DATA!$R$5:$R$3027,T$4,INP_DATA!$D$5:$D$3027,$D2075,INP_DATA!$B$5:$B$3027,$B2075)</f>
        <v>0</v>
      </c>
    </row>
    <row r="2076" spans="1:20" x14ac:dyDescent="0.35">
      <c r="A2076" s="3" t="str">
        <f>IF(D2076="","",(VLOOKUP($D2076,KEY!$B$5:$D$74,3,FALSE)))</f>
        <v>Southern California</v>
      </c>
      <c r="B2076" s="165">
        <f t="shared" si="25"/>
        <v>45962</v>
      </c>
      <c r="C2076" s="57" t="str">
        <f>IF($B2076="","",YEAR($B2076)&amp;"-"&amp;IFERROR(VLOOKUP(MONTH(B2076),KEY!$AE$5:$AF$16,2,FALSE),""))</f>
        <v>2025-Q4</v>
      </c>
      <c r="D2076" s="3" t="s">
        <v>114</v>
      </c>
      <c r="E2076" s="219">
        <v>12</v>
      </c>
      <c r="F2076" s="166">
        <v>42</v>
      </c>
      <c r="G2076" s="166">
        <v>55</v>
      </c>
      <c r="H2076" s="21">
        <v>66</v>
      </c>
      <c r="I2076" s="21">
        <v>9</v>
      </c>
      <c r="J2076" s="21">
        <v>26</v>
      </c>
      <c r="K2076" s="21">
        <v>7</v>
      </c>
      <c r="L2076" s="21">
        <v>42</v>
      </c>
      <c r="M2076" s="21">
        <v>23</v>
      </c>
      <c r="N2076" s="21">
        <v>42</v>
      </c>
      <c r="O2076" s="19">
        <v>110</v>
      </c>
      <c r="P2076" s="22">
        <v>15</v>
      </c>
      <c r="Q2076" s="22">
        <v>11</v>
      </c>
      <c r="R2076" s="20"/>
      <c r="S2076" s="234">
        <f>COUNTIFS(INP_DATA!$R$5:$R$3027,S$4,INP_DATA!$D$5:$D$3027,$D2076,INP_DATA!$B$5:$B$3027,$B2076)</f>
        <v>0</v>
      </c>
      <c r="T2076" s="235">
        <f>COUNTIFS(INP_DATA!$R$5:$R$3027,T$4,INP_DATA!$D$5:$D$3027,$D2076,INP_DATA!$B$5:$B$3027,$B2076)</f>
        <v>0</v>
      </c>
    </row>
    <row r="2077" spans="1:20" x14ac:dyDescent="0.35">
      <c r="A2077" s="3" t="str">
        <f>IF(D2077="","",(VLOOKUP($D2077,KEY!$B$5:$D$74,3,FALSE)))</f>
        <v>Orange County</v>
      </c>
      <c r="B2077" s="165">
        <f t="shared" si="25"/>
        <v>45962</v>
      </c>
      <c r="C2077" s="57" t="str">
        <f>IF($B2077="","",YEAR($B2077)&amp;"-"&amp;IFERROR(VLOOKUP(MONTH(B2077),KEY!$AE$5:$AF$16,2,FALSE),""))</f>
        <v>2025-Q4</v>
      </c>
      <c r="D2077" s="3" t="s">
        <v>115</v>
      </c>
      <c r="E2077" s="219">
        <v>9</v>
      </c>
      <c r="F2077" s="166">
        <v>50</v>
      </c>
      <c r="G2077" s="166">
        <v>45</v>
      </c>
      <c r="H2077" s="21">
        <v>60</v>
      </c>
      <c r="I2077" s="21">
        <v>15</v>
      </c>
      <c r="J2077" s="21">
        <v>37</v>
      </c>
      <c r="K2077" s="21">
        <v>14</v>
      </c>
      <c r="L2077" s="21">
        <v>74</v>
      </c>
      <c r="M2077" s="21">
        <v>53</v>
      </c>
      <c r="N2077" s="21">
        <v>50</v>
      </c>
      <c r="O2077" s="19">
        <v>110</v>
      </c>
      <c r="P2077" s="22">
        <v>15</v>
      </c>
      <c r="Q2077" s="22">
        <v>4</v>
      </c>
      <c r="R2077" s="20"/>
      <c r="S2077" s="234">
        <f>COUNTIFS(INP_DATA!$R$5:$R$3027,S$4,INP_DATA!$D$5:$D$3027,$D2077,INP_DATA!$B$5:$B$3027,$B2077)</f>
        <v>0</v>
      </c>
      <c r="T2077" s="235">
        <f>COUNTIFS(INP_DATA!$R$5:$R$3027,T$4,INP_DATA!$D$5:$D$3027,$D2077,INP_DATA!$B$5:$B$3027,$B2077)</f>
        <v>0</v>
      </c>
    </row>
    <row r="2078" spans="1:20" x14ac:dyDescent="0.35">
      <c r="A2078" s="3" t="str">
        <f>IF(D2078="","",(VLOOKUP($D2078,KEY!$B$5:$D$74,3,FALSE)))</f>
        <v>Arizona</v>
      </c>
      <c r="B2078" s="165">
        <f t="shared" si="25"/>
        <v>45962</v>
      </c>
      <c r="C2078" s="57" t="str">
        <f>IF($B2078="","",YEAR($B2078)&amp;"-"&amp;IFERROR(VLOOKUP(MONTH(B2078),KEY!$AE$5:$AF$16,2,FALSE),""))</f>
        <v>2025-Q4</v>
      </c>
      <c r="D2078" s="3" t="s">
        <v>116</v>
      </c>
      <c r="E2078" s="219">
        <v>18</v>
      </c>
      <c r="F2078" s="166">
        <v>123</v>
      </c>
      <c r="G2078" s="166">
        <v>127</v>
      </c>
      <c r="H2078" s="21">
        <v>278</v>
      </c>
      <c r="I2078" s="21">
        <v>30</v>
      </c>
      <c r="J2078" s="21">
        <v>103</v>
      </c>
      <c r="K2078" s="21">
        <v>20</v>
      </c>
      <c r="L2078" s="21">
        <v>225</v>
      </c>
      <c r="M2078" s="21">
        <v>92</v>
      </c>
      <c r="N2078" s="21">
        <v>125</v>
      </c>
      <c r="O2078" s="19">
        <v>220</v>
      </c>
      <c r="P2078" s="22">
        <v>35</v>
      </c>
      <c r="Q2078" s="22">
        <v>9</v>
      </c>
      <c r="R2078" s="20"/>
      <c r="S2078" s="234">
        <f>COUNTIFS(INP_DATA!$R$5:$R$3027,S$4,INP_DATA!$D$5:$D$3027,$D2078,INP_DATA!$B$5:$B$3027,$B2078)</f>
        <v>0</v>
      </c>
      <c r="T2078" s="235">
        <f>COUNTIFS(INP_DATA!$R$5:$R$3027,T$4,INP_DATA!$D$5:$D$3027,$D2078,INP_DATA!$B$5:$B$3027,$B2078)</f>
        <v>0</v>
      </c>
    </row>
    <row r="2079" spans="1:20" x14ac:dyDescent="0.35">
      <c r="A2079" s="3" t="str">
        <f>IF(D2079="","",(VLOOKUP($D2079,KEY!$B$5:$D$74,3,FALSE)))</f>
        <v>Northern California</v>
      </c>
      <c r="B2079" s="165">
        <f t="shared" si="25"/>
        <v>45962</v>
      </c>
      <c r="C2079" s="57" t="str">
        <f>IF($B2079="","",YEAR($B2079)&amp;"-"&amp;IFERROR(VLOOKUP(MONTH(B2079),KEY!$AE$5:$AF$16,2,FALSE),""))</f>
        <v>2025-Q4</v>
      </c>
      <c r="D2079" s="3" t="s">
        <v>118</v>
      </c>
      <c r="E2079" s="219">
        <v>12</v>
      </c>
      <c r="F2079" s="166">
        <v>106</v>
      </c>
      <c r="G2079" s="166">
        <v>176</v>
      </c>
      <c r="H2079" s="21">
        <v>243</v>
      </c>
      <c r="I2079" s="21">
        <v>26</v>
      </c>
      <c r="J2079" s="21">
        <v>106</v>
      </c>
      <c r="K2079" s="21">
        <v>15</v>
      </c>
      <c r="L2079" s="21">
        <v>201</v>
      </c>
      <c r="M2079" s="21">
        <v>86</v>
      </c>
      <c r="N2079" s="21">
        <v>105</v>
      </c>
      <c r="O2079" s="19">
        <v>220</v>
      </c>
      <c r="P2079" s="22">
        <v>43</v>
      </c>
      <c r="Q2079" s="22">
        <v>23</v>
      </c>
      <c r="R2079" s="20"/>
      <c r="S2079" s="234">
        <f>COUNTIFS(INP_DATA!$R$5:$R$3027,S$4,INP_DATA!$D$5:$D$3027,$D2079,INP_DATA!$B$5:$B$3027,$B2079)</f>
        <v>0</v>
      </c>
      <c r="T2079" s="235">
        <f>COUNTIFS(INP_DATA!$R$5:$R$3027,T$4,INP_DATA!$D$5:$D$3027,$D2079,INP_DATA!$B$5:$B$3027,$B2079)</f>
        <v>0</v>
      </c>
    </row>
    <row r="2080" spans="1:20" x14ac:dyDescent="0.35">
      <c r="A2080" s="3" t="str">
        <f>IF(D2080="","",(VLOOKUP($D2080,KEY!$B$5:$D$74,3,FALSE)))</f>
        <v>Orange County</v>
      </c>
      <c r="B2080" s="165">
        <f t="shared" si="25"/>
        <v>45962</v>
      </c>
      <c r="C2080" s="57" t="str">
        <f>IF($B2080="","",YEAR($B2080)&amp;"-"&amp;IFERROR(VLOOKUP(MONTH(B2080),KEY!$AE$5:$AF$16,2,FALSE),""))</f>
        <v>2025-Q4</v>
      </c>
      <c r="D2080" s="3" t="s">
        <v>117</v>
      </c>
      <c r="E2080" s="219">
        <v>13</v>
      </c>
      <c r="F2080" s="166">
        <v>77</v>
      </c>
      <c r="G2080" s="166">
        <v>67</v>
      </c>
      <c r="H2080" s="21">
        <v>98</v>
      </c>
      <c r="I2080" s="21">
        <v>14</v>
      </c>
      <c r="J2080" s="21">
        <v>62</v>
      </c>
      <c r="K2080" s="21">
        <v>20</v>
      </c>
      <c r="L2080" s="21">
        <v>110</v>
      </c>
      <c r="M2080" s="21">
        <v>65</v>
      </c>
      <c r="N2080" s="21">
        <v>77</v>
      </c>
      <c r="O2080" s="19">
        <v>132</v>
      </c>
      <c r="P2080" s="22">
        <v>34</v>
      </c>
      <c r="Q2080" s="22">
        <v>12</v>
      </c>
      <c r="R2080" s="20"/>
      <c r="S2080" s="234">
        <f>COUNTIFS(INP_DATA!$R$5:$R$3027,S$4,INP_DATA!$D$5:$D$3027,$D2080,INP_DATA!$B$5:$B$3027,$B2080)</f>
        <v>0</v>
      </c>
      <c r="T2080" s="235">
        <f>COUNTIFS(INP_DATA!$R$5:$R$3027,T$4,INP_DATA!$D$5:$D$3027,$D2080,INP_DATA!$B$5:$B$3027,$B2080)</f>
        <v>0</v>
      </c>
    </row>
    <row r="2081" spans="1:20" x14ac:dyDescent="0.35">
      <c r="A2081" s="3" t="str">
        <f>IF(D2081="","",(VLOOKUP($D2081,KEY!$B$5:$D$74,3,FALSE)))</f>
        <v>Arizona</v>
      </c>
      <c r="B2081" s="165">
        <f t="shared" si="25"/>
        <v>45962</v>
      </c>
      <c r="C2081" s="57" t="str">
        <f>IF($B2081="","",YEAR($B2081)&amp;"-"&amp;IFERROR(VLOOKUP(MONTH(B2081),KEY!$AE$5:$AF$16,2,FALSE),""))</f>
        <v>2025-Q4</v>
      </c>
      <c r="D2081" s="3" t="s">
        <v>119</v>
      </c>
      <c r="E2081" s="219">
        <v>4</v>
      </c>
      <c r="F2081" s="166">
        <v>22</v>
      </c>
      <c r="G2081" s="166">
        <v>30</v>
      </c>
      <c r="H2081" s="21">
        <v>35</v>
      </c>
      <c r="I2081" s="21">
        <v>5</v>
      </c>
      <c r="J2081" s="21">
        <v>15</v>
      </c>
      <c r="K2081" s="21">
        <v>6</v>
      </c>
      <c r="L2081" s="21">
        <v>97</v>
      </c>
      <c r="M2081" s="21">
        <v>10</v>
      </c>
      <c r="N2081" s="21">
        <v>20</v>
      </c>
      <c r="O2081" s="19">
        <v>48</v>
      </c>
      <c r="P2081" s="22">
        <v>0</v>
      </c>
      <c r="Q2081" s="22">
        <v>0</v>
      </c>
      <c r="R2081" s="20"/>
      <c r="S2081" s="234">
        <f>COUNTIFS(INP_DATA!$R$5:$R$3027,S$4,INP_DATA!$D$5:$D$3027,$D2081,INP_DATA!$B$5:$B$3027,$B2081)</f>
        <v>0</v>
      </c>
      <c r="T2081" s="235">
        <f>COUNTIFS(INP_DATA!$R$5:$R$3027,T$4,INP_DATA!$D$5:$D$3027,$D2081,INP_DATA!$B$5:$B$3027,$B2081)</f>
        <v>0</v>
      </c>
    </row>
    <row r="2082" spans="1:20" x14ac:dyDescent="0.35">
      <c r="A2082" s="3" t="str">
        <f>IF(D2082="","",(VLOOKUP($D2082,KEY!$B$5:$D$74,3,FALSE)))</f>
        <v/>
      </c>
      <c r="B2082" s="165">
        <f t="shared" si="25"/>
        <v>45962</v>
      </c>
      <c r="C2082" s="57" t="str">
        <f>IF($B2082="","",YEAR($B2082)&amp;"-"&amp;IFERROR(VLOOKUP(MONTH(B2082),KEY!$AE$5:$AF$16,2,FALSE),""))</f>
        <v>2025-Q4</v>
      </c>
      <c r="D2082" s="3"/>
      <c r="E2082" s="219"/>
      <c r="F2082" s="166"/>
      <c r="G2082" s="166"/>
      <c r="H2082" s="21"/>
      <c r="I2082" s="21"/>
      <c r="J2082" s="21"/>
      <c r="K2082" s="21"/>
      <c r="L2082" s="21"/>
      <c r="M2082" s="21"/>
      <c r="N2082" s="21"/>
      <c r="O2082" s="19"/>
      <c r="P2082" s="22"/>
      <c r="Q2082" s="22"/>
      <c r="R2082" s="20"/>
      <c r="S2082" s="234">
        <f>COUNTIFS(INP_DATA!$R$5:$R$3027,S$4,INP_DATA!$D$5:$D$3027,$D2082,INP_DATA!$B$5:$B$3027,$B2082)</f>
        <v>0</v>
      </c>
      <c r="T2082" s="235">
        <f>COUNTIFS(INP_DATA!$R$5:$R$3027,T$4,INP_DATA!$D$5:$D$3027,$D2082,INP_DATA!$B$5:$B$3027,$B2082)</f>
        <v>0</v>
      </c>
    </row>
    <row r="2083" spans="1:20" x14ac:dyDescent="0.35">
      <c r="A2083" s="3" t="str">
        <f>IF(D2083="","",(VLOOKUP($D2083,KEY!$B$5:$D$74,3,FALSE)))</f>
        <v>Arizona</v>
      </c>
      <c r="B2083" s="165">
        <f t="shared" si="25"/>
        <v>45962</v>
      </c>
      <c r="C2083" s="57" t="str">
        <f>IF($B2083="","",YEAR($B2083)&amp;"-"&amp;IFERROR(VLOOKUP(MONTH(B2083),KEY!$AE$5:$AF$16,2,FALSE),""))</f>
        <v>2025-Q4</v>
      </c>
      <c r="D2083" s="3" t="s">
        <v>120</v>
      </c>
      <c r="E2083" s="219">
        <v>68</v>
      </c>
      <c r="F2083" s="166">
        <v>356</v>
      </c>
      <c r="G2083" s="166">
        <v>377</v>
      </c>
      <c r="H2083" s="21">
        <v>534</v>
      </c>
      <c r="I2083" s="21">
        <v>93</v>
      </c>
      <c r="J2083" s="21">
        <v>203</v>
      </c>
      <c r="K2083" s="21">
        <v>45</v>
      </c>
      <c r="L2083" s="21">
        <v>509</v>
      </c>
      <c r="M2083" s="21">
        <v>217</v>
      </c>
      <c r="N2083" s="21">
        <v>358</v>
      </c>
      <c r="O2083" s="19">
        <v>616</v>
      </c>
      <c r="P2083" s="22">
        <v>48</v>
      </c>
      <c r="Q2083" s="22">
        <v>29</v>
      </c>
      <c r="R2083" s="20"/>
      <c r="S2083" s="234">
        <f>COUNTIFS(INP_DATA!$R$5:$R$3027,S$4,INP_DATA!$D$5:$D$3027,$D2083,INP_DATA!$B$5:$B$3027,$B2083)</f>
        <v>0</v>
      </c>
      <c r="T2083" s="235">
        <f>COUNTIFS(INP_DATA!$R$5:$R$3027,T$4,INP_DATA!$D$5:$D$3027,$D2083,INP_DATA!$B$5:$B$3027,$B2083)</f>
        <v>0</v>
      </c>
    </row>
    <row r="2084" spans="1:20" x14ac:dyDescent="0.35">
      <c r="A2084" s="3" t="str">
        <f>IF(D2084="","",(VLOOKUP($D2084,KEY!$B$5:$D$74,3,FALSE)))</f>
        <v>Texas</v>
      </c>
      <c r="B2084" s="165">
        <f t="shared" si="25"/>
        <v>45962</v>
      </c>
      <c r="C2084" s="57" t="str">
        <f>IF($B2084="","",YEAR($B2084)&amp;"-"&amp;IFERROR(VLOOKUP(MONTH(B2084),KEY!$AE$5:$AF$16,2,FALSE),""))</f>
        <v>2025-Q4</v>
      </c>
      <c r="D2084" s="3" t="s">
        <v>121</v>
      </c>
      <c r="E2084" s="219">
        <v>34</v>
      </c>
      <c r="F2084" s="166">
        <v>247</v>
      </c>
      <c r="G2084" s="166">
        <v>268</v>
      </c>
      <c r="H2084" s="21">
        <v>574</v>
      </c>
      <c r="I2084" s="21">
        <v>96</v>
      </c>
      <c r="J2084" s="21">
        <v>241</v>
      </c>
      <c r="K2084" s="21">
        <v>41</v>
      </c>
      <c r="L2084" s="21">
        <v>422</v>
      </c>
      <c r="M2084" s="21">
        <v>139</v>
      </c>
      <c r="N2084" s="21">
        <v>248</v>
      </c>
      <c r="O2084" s="19">
        <v>528</v>
      </c>
      <c r="P2084" s="22">
        <v>31</v>
      </c>
      <c r="Q2084" s="22">
        <v>20</v>
      </c>
      <c r="R2084" s="20"/>
      <c r="S2084" s="234">
        <f>COUNTIFS(INP_DATA!$R$5:$R$3027,S$4,INP_DATA!$D$5:$D$3027,$D2084,INP_DATA!$B$5:$B$3027,$B2084)</f>
        <v>0</v>
      </c>
      <c r="T2084" s="235">
        <f>COUNTIFS(INP_DATA!$R$5:$R$3027,T$4,INP_DATA!$D$5:$D$3027,$D2084,INP_DATA!$B$5:$B$3027,$B2084)</f>
        <v>0</v>
      </c>
    </row>
    <row r="2085" spans="1:20" x14ac:dyDescent="0.35">
      <c r="A2085" s="3" t="str">
        <f>IF(D2085="","",(VLOOKUP($D2085,KEY!$B$5:$D$74,3,FALSE)))</f>
        <v>Michigan &amp; Minnesota</v>
      </c>
      <c r="B2085" s="165">
        <f t="shared" si="25"/>
        <v>45962</v>
      </c>
      <c r="C2085" s="57" t="str">
        <f>IF($B2085="","",YEAR($B2085)&amp;"-"&amp;IFERROR(VLOOKUP(MONTH(B2085),KEY!$AE$5:$AF$16,2,FALSE),""))</f>
        <v>2025-Q4</v>
      </c>
      <c r="D2085" s="3" t="s">
        <v>200</v>
      </c>
      <c r="E2085" s="219">
        <v>4</v>
      </c>
      <c r="F2085" s="166">
        <v>134</v>
      </c>
      <c r="G2085" s="166">
        <v>169</v>
      </c>
      <c r="H2085" s="21">
        <v>351</v>
      </c>
      <c r="I2085" s="21">
        <v>35</v>
      </c>
      <c r="J2085" s="21">
        <v>206</v>
      </c>
      <c r="K2085" s="21">
        <v>36</v>
      </c>
      <c r="L2085" s="21">
        <v>327</v>
      </c>
      <c r="M2085" s="21">
        <v>82</v>
      </c>
      <c r="N2085" s="21">
        <v>134</v>
      </c>
      <c r="O2085" s="19">
        <v>242</v>
      </c>
      <c r="P2085" s="22">
        <v>21</v>
      </c>
      <c r="Q2085" s="22">
        <v>1</v>
      </c>
      <c r="R2085" s="20"/>
      <c r="S2085" s="234">
        <f>COUNTIFS(INP_DATA!$R$5:$R$3027,S$4,INP_DATA!$D$5:$D$3027,$D2085,INP_DATA!$B$5:$B$3027,$B2085)</f>
        <v>0</v>
      </c>
      <c r="T2085" s="235">
        <f>COUNTIFS(INP_DATA!$R$5:$R$3027,T$4,INP_DATA!$D$5:$D$3027,$D2085,INP_DATA!$B$5:$B$3027,$B2085)</f>
        <v>0</v>
      </c>
    </row>
    <row r="2086" spans="1:20" x14ac:dyDescent="0.35">
      <c r="A2086" s="3" t="str">
        <f>IF(D2086="","",(VLOOKUP($D2086,KEY!$B$5:$D$74,3,FALSE)))</f>
        <v>Southern California</v>
      </c>
      <c r="B2086" s="165">
        <f t="shared" si="25"/>
        <v>45962</v>
      </c>
      <c r="C2086" s="57" t="str">
        <f>IF($B2086="","",YEAR($B2086)&amp;"-"&amp;IFERROR(VLOOKUP(MONTH(B2086),KEY!$AE$5:$AF$16,2,FALSE),""))</f>
        <v>2025-Q4</v>
      </c>
      <c r="D2086" s="3" t="s">
        <v>122</v>
      </c>
      <c r="E2086" s="219">
        <v>15</v>
      </c>
      <c r="F2086" s="166">
        <v>72</v>
      </c>
      <c r="G2086" s="166">
        <v>90</v>
      </c>
      <c r="H2086" s="21">
        <v>232</v>
      </c>
      <c r="I2086" s="21">
        <v>17</v>
      </c>
      <c r="J2086" s="21">
        <v>99</v>
      </c>
      <c r="K2086" s="21">
        <v>13</v>
      </c>
      <c r="L2086" s="21">
        <v>128</v>
      </c>
      <c r="M2086" s="21">
        <v>48</v>
      </c>
      <c r="N2086" s="21">
        <v>73</v>
      </c>
      <c r="O2086" s="19">
        <v>176</v>
      </c>
      <c r="P2086" s="22">
        <v>10</v>
      </c>
      <c r="Q2086" s="22">
        <v>4</v>
      </c>
      <c r="R2086" s="20"/>
      <c r="S2086" s="234">
        <f>COUNTIFS(INP_DATA!$R$5:$R$3027,S$4,INP_DATA!$D$5:$D$3027,$D2086,INP_DATA!$B$5:$B$3027,$B2086)</f>
        <v>0</v>
      </c>
      <c r="T2086" s="235">
        <f>COUNTIFS(INP_DATA!$R$5:$R$3027,T$4,INP_DATA!$D$5:$D$3027,$D2086,INP_DATA!$B$5:$B$3027,$B2086)</f>
        <v>0</v>
      </c>
    </row>
    <row r="2087" spans="1:20" x14ac:dyDescent="0.35">
      <c r="A2087" s="3" t="str">
        <f>IF(D2087="","",(VLOOKUP($D2087,KEY!$B$5:$D$74,3,FALSE)))</f>
        <v>Orange County</v>
      </c>
      <c r="B2087" s="165">
        <f t="shared" si="25"/>
        <v>45962</v>
      </c>
      <c r="C2087" s="57" t="str">
        <f>IF($B2087="","",YEAR($B2087)&amp;"-"&amp;IFERROR(VLOOKUP(MONTH(B2087),KEY!$AE$5:$AF$16,2,FALSE),""))</f>
        <v>2025-Q4</v>
      </c>
      <c r="D2087" s="3" t="s">
        <v>123</v>
      </c>
      <c r="E2087" s="219">
        <v>57</v>
      </c>
      <c r="F2087" s="166">
        <v>299</v>
      </c>
      <c r="G2087" s="166">
        <v>306</v>
      </c>
      <c r="H2087" s="21">
        <v>425</v>
      </c>
      <c r="I2087" s="21">
        <v>72</v>
      </c>
      <c r="J2087" s="21">
        <v>175</v>
      </c>
      <c r="K2087" s="21">
        <v>35</v>
      </c>
      <c r="L2087" s="21">
        <v>446</v>
      </c>
      <c r="M2087" s="21">
        <v>202</v>
      </c>
      <c r="N2087" s="21">
        <v>275</v>
      </c>
      <c r="O2087" s="19">
        <v>396</v>
      </c>
      <c r="P2087" s="22">
        <v>16</v>
      </c>
      <c r="Q2087" s="22">
        <v>8</v>
      </c>
      <c r="R2087" s="20"/>
      <c r="S2087" s="234">
        <f>COUNTIFS(INP_DATA!$R$5:$R$3027,S$4,INP_DATA!$D$5:$D$3027,$D2087,INP_DATA!$B$5:$B$3027,$B2087)</f>
        <v>0</v>
      </c>
      <c r="T2087" s="235">
        <f>COUNTIFS(INP_DATA!$R$5:$R$3027,T$4,INP_DATA!$D$5:$D$3027,$D2087,INP_DATA!$B$5:$B$3027,$B2087)</f>
        <v>0</v>
      </c>
    </row>
    <row r="2088" spans="1:20" x14ac:dyDescent="0.35">
      <c r="A2088" s="3" t="str">
        <f>IF(D2088="","",(VLOOKUP($D2088,KEY!$B$5:$D$74,3,FALSE)))</f>
        <v>Southern California</v>
      </c>
      <c r="B2088" s="165">
        <f t="shared" si="25"/>
        <v>45962</v>
      </c>
      <c r="C2088" s="57" t="str">
        <f>IF($B2088="","",YEAR($B2088)&amp;"-"&amp;IFERROR(VLOOKUP(MONTH(B2088),KEY!$AE$5:$AF$16,2,FALSE),""))</f>
        <v>2025-Q4</v>
      </c>
      <c r="D2088" s="3" t="s">
        <v>124</v>
      </c>
      <c r="E2088" s="219">
        <v>61</v>
      </c>
      <c r="F2088" s="166">
        <v>237</v>
      </c>
      <c r="G2088" s="166">
        <v>275</v>
      </c>
      <c r="H2088" s="21">
        <v>314</v>
      </c>
      <c r="I2088" s="21">
        <v>51</v>
      </c>
      <c r="J2088" s="21">
        <v>206</v>
      </c>
      <c r="K2088" s="21">
        <v>56</v>
      </c>
      <c r="L2088" s="21">
        <v>394</v>
      </c>
      <c r="M2088" s="21">
        <v>158</v>
      </c>
      <c r="N2088" s="21">
        <v>238</v>
      </c>
      <c r="O2088" s="19">
        <v>506</v>
      </c>
      <c r="P2088" s="22">
        <v>34</v>
      </c>
      <c r="Q2088" s="22">
        <v>27</v>
      </c>
      <c r="R2088" s="20"/>
      <c r="S2088" s="234">
        <f>COUNTIFS(INP_DATA!$R$5:$R$3027,S$4,INP_DATA!$D$5:$D$3027,$D2088,INP_DATA!$B$5:$B$3027,$B2088)</f>
        <v>0</v>
      </c>
      <c r="T2088" s="235">
        <f>COUNTIFS(INP_DATA!$R$5:$R$3027,T$4,INP_DATA!$D$5:$D$3027,$D2088,INP_DATA!$B$5:$B$3027,$B2088)</f>
        <v>0</v>
      </c>
    </row>
    <row r="2089" spans="1:20" x14ac:dyDescent="0.35">
      <c r="A2089" s="3" t="str">
        <f>IF(D2089="","",(VLOOKUP($D2089,KEY!$B$5:$D$74,3,FALSE)))</f>
        <v>Northern California</v>
      </c>
      <c r="B2089" s="165">
        <f t="shared" si="25"/>
        <v>45962</v>
      </c>
      <c r="C2089" s="57" t="str">
        <f>IF($B2089="","",YEAR($B2089)&amp;"-"&amp;IFERROR(VLOOKUP(MONTH(B2089),KEY!$AE$5:$AF$16,2,FALSE),""))</f>
        <v>2025-Q4</v>
      </c>
      <c r="D2089" s="3" t="s">
        <v>195</v>
      </c>
      <c r="E2089" s="219">
        <v>7</v>
      </c>
      <c r="F2089" s="166">
        <v>48</v>
      </c>
      <c r="G2089" s="166">
        <v>53</v>
      </c>
      <c r="H2089" s="21">
        <v>110</v>
      </c>
      <c r="I2089" s="21">
        <v>16</v>
      </c>
      <c r="J2089" s="21">
        <v>40</v>
      </c>
      <c r="K2089" s="21">
        <v>12</v>
      </c>
      <c r="L2089" s="21">
        <v>134</v>
      </c>
      <c r="M2089" s="21">
        <v>34</v>
      </c>
      <c r="N2089" s="21">
        <v>48</v>
      </c>
      <c r="O2089" s="19">
        <v>132</v>
      </c>
      <c r="P2089" s="22">
        <v>4</v>
      </c>
      <c r="Q2089" s="22">
        <v>4</v>
      </c>
      <c r="R2089" s="20"/>
      <c r="S2089" s="234">
        <f>COUNTIFS(INP_DATA!$R$5:$R$3027,S$4,INP_DATA!$D$5:$D$3027,$D2089,INP_DATA!$B$5:$B$3027,$B2089)</f>
        <v>0</v>
      </c>
      <c r="T2089" s="235">
        <f>COUNTIFS(INP_DATA!$R$5:$R$3027,T$4,INP_DATA!$D$5:$D$3027,$D2089,INP_DATA!$B$5:$B$3027,$B2089)</f>
        <v>0</v>
      </c>
    </row>
    <row r="2090" spans="1:20" x14ac:dyDescent="0.35">
      <c r="A2090" s="3" t="str">
        <f>IF(D2090="","",(VLOOKUP($D2090,KEY!$B$5:$D$74,3,FALSE)))</f>
        <v>Northern California</v>
      </c>
      <c r="B2090" s="165">
        <f t="shared" si="25"/>
        <v>45962</v>
      </c>
      <c r="C2090" s="57" t="str">
        <f>IF($B2090="","",YEAR($B2090)&amp;"-"&amp;IFERROR(VLOOKUP(MONTH(B2090),KEY!$AE$5:$AF$16,2,FALSE),""))</f>
        <v>2025-Q4</v>
      </c>
      <c r="D2090" s="3" t="s">
        <v>125</v>
      </c>
      <c r="E2090" s="219">
        <v>35</v>
      </c>
      <c r="F2090" s="166">
        <v>233</v>
      </c>
      <c r="G2090" s="166">
        <v>268</v>
      </c>
      <c r="H2090" s="21">
        <v>400</v>
      </c>
      <c r="I2090" s="21">
        <v>46</v>
      </c>
      <c r="J2090" s="21">
        <v>154</v>
      </c>
      <c r="K2090" s="21">
        <v>37</v>
      </c>
      <c r="L2090" s="21">
        <v>400</v>
      </c>
      <c r="M2090" s="21">
        <v>102</v>
      </c>
      <c r="N2090" s="21">
        <v>241</v>
      </c>
      <c r="O2090" s="19">
        <v>506</v>
      </c>
      <c r="P2090" s="22">
        <v>27</v>
      </c>
      <c r="Q2090" s="22">
        <v>17</v>
      </c>
      <c r="R2090" s="20"/>
      <c r="S2090" s="234">
        <f>COUNTIFS(INP_DATA!$R$5:$R$3027,S$4,INP_DATA!$D$5:$D$3027,$D2090,INP_DATA!$B$5:$B$3027,$B2090)</f>
        <v>0</v>
      </c>
      <c r="T2090" s="235">
        <f>COUNTIFS(INP_DATA!$R$5:$R$3027,T$4,INP_DATA!$D$5:$D$3027,$D2090,INP_DATA!$B$5:$B$3027,$B2090)</f>
        <v>0</v>
      </c>
    </row>
    <row r="2091" spans="1:20" x14ac:dyDescent="0.35">
      <c r="A2091" s="3" t="str">
        <f>IF(D2091="","",(VLOOKUP($D2091,KEY!$B$5:$D$74,3,FALSE)))</f>
        <v>Orange County</v>
      </c>
      <c r="B2091" s="165">
        <f t="shared" si="25"/>
        <v>45962</v>
      </c>
      <c r="C2091" s="57" t="str">
        <f>IF($B2091="","",YEAR($B2091)&amp;"-"&amp;IFERROR(VLOOKUP(MONTH(B2091),KEY!$AE$5:$AF$16,2,FALSE),""))</f>
        <v>2025-Q4</v>
      </c>
      <c r="D2091" s="3" t="s">
        <v>126</v>
      </c>
      <c r="E2091" s="219">
        <v>88</v>
      </c>
      <c r="F2091" s="166">
        <v>461</v>
      </c>
      <c r="G2091" s="166">
        <v>527</v>
      </c>
      <c r="H2091" s="21">
        <v>627</v>
      </c>
      <c r="I2091" s="21">
        <v>111</v>
      </c>
      <c r="J2091" s="21">
        <v>332</v>
      </c>
      <c r="K2091" s="21">
        <v>96</v>
      </c>
      <c r="L2091" s="21">
        <v>812</v>
      </c>
      <c r="M2091" s="21">
        <v>315</v>
      </c>
      <c r="N2091" s="21">
        <v>463</v>
      </c>
      <c r="O2091" s="19">
        <v>583</v>
      </c>
      <c r="P2091" s="22">
        <v>135</v>
      </c>
      <c r="Q2091" s="22">
        <v>94</v>
      </c>
      <c r="R2091" s="20"/>
      <c r="S2091" s="234">
        <f>COUNTIFS(INP_DATA!$R$5:$R$3027,S$4,INP_DATA!$D$5:$D$3027,$D2091,INP_DATA!$B$5:$B$3027,$B2091)</f>
        <v>0</v>
      </c>
      <c r="T2091" s="235">
        <f>COUNTIFS(INP_DATA!$R$5:$R$3027,T$4,INP_DATA!$D$5:$D$3027,$D2091,INP_DATA!$B$5:$B$3027,$B2091)</f>
        <v>0</v>
      </c>
    </row>
    <row r="2092" spans="1:20" x14ac:dyDescent="0.35">
      <c r="A2092" s="3" t="str">
        <f>IF(D2092="","",(VLOOKUP($D2092,KEY!$B$5:$D$74,3,FALSE)))</f>
        <v>Orange County</v>
      </c>
      <c r="B2092" s="165">
        <f t="shared" si="25"/>
        <v>45962</v>
      </c>
      <c r="C2092" s="57" t="str">
        <f>IF($B2092="","",YEAR($B2092)&amp;"-"&amp;IFERROR(VLOOKUP(MONTH(B2092),KEY!$AE$5:$AF$16,2,FALSE),""))</f>
        <v>2025-Q4</v>
      </c>
      <c r="D2092" s="3" t="s">
        <v>127</v>
      </c>
      <c r="E2092" s="219">
        <v>7</v>
      </c>
      <c r="F2092" s="166">
        <v>47</v>
      </c>
      <c r="G2092" s="166">
        <v>55</v>
      </c>
      <c r="H2092" s="21">
        <v>56</v>
      </c>
      <c r="I2092" s="21">
        <v>14</v>
      </c>
      <c r="J2092" s="21">
        <v>18</v>
      </c>
      <c r="K2092" s="21">
        <v>13</v>
      </c>
      <c r="L2092" s="21">
        <v>59</v>
      </c>
      <c r="M2092" s="21">
        <v>39</v>
      </c>
      <c r="N2092" s="21">
        <v>47</v>
      </c>
      <c r="O2092" s="19">
        <v>77</v>
      </c>
      <c r="P2092" s="22">
        <v>15</v>
      </c>
      <c r="Q2092" s="22">
        <v>6</v>
      </c>
      <c r="R2092" s="20"/>
      <c r="S2092" s="234">
        <f>COUNTIFS(INP_DATA!$R$5:$R$3027,S$4,INP_DATA!$D$5:$D$3027,$D2092,INP_DATA!$B$5:$B$3027,$B2092)</f>
        <v>0</v>
      </c>
      <c r="T2092" s="235">
        <f>COUNTIFS(INP_DATA!$R$5:$R$3027,T$4,INP_DATA!$D$5:$D$3027,$D2092,INP_DATA!$B$5:$B$3027,$B2092)</f>
        <v>0</v>
      </c>
    </row>
    <row r="2093" spans="1:20" x14ac:dyDescent="0.35">
      <c r="A2093" s="3" t="str">
        <f>IF(D2093="","",(VLOOKUP($D2093,KEY!$B$5:$D$74,3,FALSE)))</f>
        <v>Wisconsin</v>
      </c>
      <c r="B2093" s="165">
        <f t="shared" si="25"/>
        <v>45962</v>
      </c>
      <c r="C2093" s="57" t="str">
        <f>IF($B2093="","",YEAR($B2093)&amp;"-"&amp;IFERROR(VLOOKUP(MONTH(B2093),KEY!$AE$5:$AF$16,2,FALSE),""))</f>
        <v>2025-Q4</v>
      </c>
      <c r="D2093" s="3" t="s">
        <v>201</v>
      </c>
      <c r="E2093" s="219">
        <v>38</v>
      </c>
      <c r="F2093" s="166">
        <v>218</v>
      </c>
      <c r="G2093" s="166">
        <v>233</v>
      </c>
      <c r="H2093" s="21">
        <v>289</v>
      </c>
      <c r="I2093" s="21">
        <v>42</v>
      </c>
      <c r="J2093" s="21">
        <v>149</v>
      </c>
      <c r="K2093" s="21">
        <v>27</v>
      </c>
      <c r="L2093" s="21">
        <v>213</v>
      </c>
      <c r="M2093" s="21">
        <v>87</v>
      </c>
      <c r="N2093" s="21">
        <v>217</v>
      </c>
      <c r="O2093" s="19">
        <v>308</v>
      </c>
      <c r="P2093" s="22">
        <v>10</v>
      </c>
      <c r="Q2093" s="22">
        <v>8</v>
      </c>
      <c r="R2093" s="20"/>
      <c r="S2093" s="234">
        <f>COUNTIFS(INP_DATA!$R$5:$R$3027,S$4,INP_DATA!$D$5:$D$3027,$D2093,INP_DATA!$B$5:$B$3027,$B2093)</f>
        <v>0</v>
      </c>
      <c r="T2093" s="235">
        <f>COUNTIFS(INP_DATA!$R$5:$R$3027,T$4,INP_DATA!$D$5:$D$3027,$D2093,INP_DATA!$B$5:$B$3027,$B2093)</f>
        <v>0</v>
      </c>
    </row>
    <row r="2094" spans="1:20" x14ac:dyDescent="0.35">
      <c r="A2094" s="3" t="str">
        <f>IF(D2094="","",(VLOOKUP($D2094,KEY!$B$5:$D$74,3,FALSE)))</f>
        <v>Texas</v>
      </c>
      <c r="B2094" s="165">
        <f t="shared" si="25"/>
        <v>45962</v>
      </c>
      <c r="C2094" s="57" t="str">
        <f>IF($B2094="","",YEAR($B2094)&amp;"-"&amp;IFERROR(VLOOKUP(MONTH(B2094),KEY!$AE$5:$AF$16,2,FALSE),""))</f>
        <v>2025-Q4</v>
      </c>
      <c r="D2094" s="3" t="s">
        <v>198</v>
      </c>
      <c r="E2094" s="219">
        <v>6</v>
      </c>
      <c r="F2094" s="166">
        <v>71</v>
      </c>
      <c r="G2094" s="166">
        <v>67</v>
      </c>
      <c r="H2094" s="21">
        <v>198</v>
      </c>
      <c r="I2094" s="21">
        <v>22</v>
      </c>
      <c r="J2094" s="21">
        <v>56</v>
      </c>
      <c r="K2094" s="21">
        <v>12</v>
      </c>
      <c r="L2094" s="21">
        <v>87</v>
      </c>
      <c r="M2094" s="21">
        <v>32</v>
      </c>
      <c r="N2094" s="21">
        <v>71</v>
      </c>
      <c r="O2094" s="19">
        <v>132</v>
      </c>
      <c r="P2094" s="22">
        <v>4</v>
      </c>
      <c r="Q2094" s="22">
        <v>2</v>
      </c>
      <c r="R2094" s="20"/>
      <c r="S2094" s="234">
        <f>COUNTIFS(INP_DATA!$R$5:$R$3027,S$4,INP_DATA!$D$5:$D$3027,$D2094,INP_DATA!$B$5:$B$3027,$B2094)</f>
        <v>0</v>
      </c>
      <c r="T2094" s="235">
        <f>COUNTIFS(INP_DATA!$R$5:$R$3027,T$4,INP_DATA!$D$5:$D$3027,$D2094,INP_DATA!$B$5:$B$3027,$B2094)</f>
        <v>0</v>
      </c>
    </row>
    <row r="2095" spans="1:20" x14ac:dyDescent="0.35">
      <c r="A2095" s="3" t="str">
        <f>IF(D2095="","",(VLOOKUP($D2095,KEY!$B$5:$D$74,3,FALSE)))</f>
        <v>Texas</v>
      </c>
      <c r="B2095" s="165">
        <f t="shared" si="25"/>
        <v>45962</v>
      </c>
      <c r="C2095" s="57" t="str">
        <f>IF($B2095="","",YEAR($B2095)&amp;"-"&amp;IFERROR(VLOOKUP(MONTH(B2095),KEY!$AE$5:$AF$16,2,FALSE),""))</f>
        <v>2025-Q4</v>
      </c>
      <c r="D2095" s="3" t="s">
        <v>128</v>
      </c>
      <c r="E2095" s="219">
        <v>37</v>
      </c>
      <c r="F2095" s="166">
        <v>212</v>
      </c>
      <c r="G2095" s="166">
        <v>186</v>
      </c>
      <c r="H2095" s="21">
        <v>727</v>
      </c>
      <c r="I2095" s="21">
        <v>92</v>
      </c>
      <c r="J2095" s="21">
        <v>108</v>
      </c>
      <c r="K2095" s="21">
        <v>27</v>
      </c>
      <c r="L2095" s="21">
        <v>377</v>
      </c>
      <c r="M2095" s="21">
        <v>109</v>
      </c>
      <c r="N2095" s="21">
        <v>214</v>
      </c>
      <c r="O2095" s="19">
        <v>308</v>
      </c>
      <c r="P2095" s="22">
        <v>5</v>
      </c>
      <c r="Q2095" s="22">
        <v>3</v>
      </c>
      <c r="R2095" s="20"/>
      <c r="S2095" s="234">
        <f>COUNTIFS(INP_DATA!$R$5:$R$3027,S$4,INP_DATA!$D$5:$D$3027,$D2095,INP_DATA!$B$5:$B$3027,$B2095)</f>
        <v>0</v>
      </c>
      <c r="T2095" s="235">
        <f>COUNTIFS(INP_DATA!$R$5:$R$3027,T$4,INP_DATA!$D$5:$D$3027,$D2095,INP_DATA!$B$5:$B$3027,$B2095)</f>
        <v>0</v>
      </c>
    </row>
    <row r="2096" spans="1:20" x14ac:dyDescent="0.35">
      <c r="A2096" s="3" t="str">
        <f>IF(D2096="","",(VLOOKUP($D2096,KEY!$B$5:$D$74,3,FALSE)))</f>
        <v>Northern California</v>
      </c>
      <c r="B2096" s="165">
        <f t="shared" si="25"/>
        <v>45962</v>
      </c>
      <c r="C2096" s="57" t="str">
        <f>IF($B2096="","",YEAR($B2096)&amp;"-"&amp;IFERROR(VLOOKUP(MONTH(B2096),KEY!$AE$5:$AF$16,2,FALSE),""))</f>
        <v>2025-Q4</v>
      </c>
      <c r="D2096" s="3" t="s">
        <v>129</v>
      </c>
      <c r="E2096" s="219">
        <v>33</v>
      </c>
      <c r="F2096" s="166">
        <v>169</v>
      </c>
      <c r="G2096" s="166">
        <v>201</v>
      </c>
      <c r="H2096" s="21">
        <v>264</v>
      </c>
      <c r="I2096" s="21">
        <v>45</v>
      </c>
      <c r="J2096" s="21">
        <v>153</v>
      </c>
      <c r="K2096" s="21">
        <v>39</v>
      </c>
      <c r="L2096" s="21">
        <v>213</v>
      </c>
      <c r="M2096" s="21">
        <v>61</v>
      </c>
      <c r="N2096" s="21">
        <v>170</v>
      </c>
      <c r="O2096" s="19">
        <v>308</v>
      </c>
      <c r="P2096" s="22">
        <v>28</v>
      </c>
      <c r="Q2096" s="22">
        <v>20</v>
      </c>
      <c r="R2096" s="20"/>
      <c r="S2096" s="234">
        <f>COUNTIFS(INP_DATA!$R$5:$R$3027,S$4,INP_DATA!$D$5:$D$3027,$D2096,INP_DATA!$B$5:$B$3027,$B2096)</f>
        <v>0</v>
      </c>
      <c r="T2096" s="235">
        <f>COUNTIFS(INP_DATA!$R$5:$R$3027,T$4,INP_DATA!$D$5:$D$3027,$D2096,INP_DATA!$B$5:$B$3027,$B2096)</f>
        <v>0</v>
      </c>
    </row>
    <row r="2097" spans="1:20" x14ac:dyDescent="0.35">
      <c r="A2097" s="3" t="str">
        <f>IF(D2097="","",(VLOOKUP($D2097,KEY!$B$5:$D$74,3,FALSE)))</f>
        <v>Southern California</v>
      </c>
      <c r="B2097" s="165">
        <f t="shared" si="25"/>
        <v>45962</v>
      </c>
      <c r="C2097" s="57" t="str">
        <f>IF($B2097="","",YEAR($B2097)&amp;"-"&amp;IFERROR(VLOOKUP(MONTH(B2097),KEY!$AE$5:$AF$16,2,FALSE),""))</f>
        <v>2025-Q4</v>
      </c>
      <c r="D2097" s="3" t="s">
        <v>130</v>
      </c>
      <c r="E2097" s="219">
        <v>25</v>
      </c>
      <c r="F2097" s="166">
        <v>162</v>
      </c>
      <c r="G2097" s="166">
        <v>152</v>
      </c>
      <c r="H2097" s="21">
        <v>388</v>
      </c>
      <c r="I2097" s="21">
        <v>58</v>
      </c>
      <c r="J2097" s="21">
        <v>155</v>
      </c>
      <c r="K2097" s="21">
        <v>33</v>
      </c>
      <c r="L2097" s="21">
        <v>192</v>
      </c>
      <c r="M2097" s="21">
        <v>85</v>
      </c>
      <c r="N2097" s="21">
        <v>167</v>
      </c>
      <c r="O2097" s="19">
        <v>264</v>
      </c>
      <c r="P2097" s="22">
        <v>19</v>
      </c>
      <c r="Q2097" s="22">
        <v>14</v>
      </c>
      <c r="R2097" s="20"/>
      <c r="S2097" s="234">
        <f>COUNTIFS(INP_DATA!$R$5:$R$3027,S$4,INP_DATA!$D$5:$D$3027,$D2097,INP_DATA!$B$5:$B$3027,$B2097)</f>
        <v>0</v>
      </c>
      <c r="T2097" s="235">
        <f>COUNTIFS(INP_DATA!$R$5:$R$3027,T$4,INP_DATA!$D$5:$D$3027,$D2097,INP_DATA!$B$5:$B$3027,$B2097)</f>
        <v>0</v>
      </c>
    </row>
    <row r="2098" spans="1:20" x14ac:dyDescent="0.35">
      <c r="A2098" s="3" t="str">
        <f>IF(D2098="","",(VLOOKUP($D2098,KEY!$B$5:$D$74,3,FALSE)))</f>
        <v>Texas</v>
      </c>
      <c r="B2098" s="165">
        <f t="shared" si="25"/>
        <v>45962</v>
      </c>
      <c r="C2098" s="57" t="str">
        <f>IF($B2098="","",YEAR($B2098)&amp;"-"&amp;IFERROR(VLOOKUP(MONTH(B2098),KEY!$AE$5:$AF$16,2,FALSE),""))</f>
        <v>2025-Q4</v>
      </c>
      <c r="D2098" s="3" t="s">
        <v>210</v>
      </c>
      <c r="E2098" s="219">
        <v>1</v>
      </c>
      <c r="F2098" s="166">
        <v>149</v>
      </c>
      <c r="G2098" s="166">
        <v>0</v>
      </c>
      <c r="H2098" s="21">
        <v>340</v>
      </c>
      <c r="I2098" s="21">
        <v>50</v>
      </c>
      <c r="J2098" s="21">
        <v>117</v>
      </c>
      <c r="K2098" s="21">
        <v>17</v>
      </c>
      <c r="L2098" s="21">
        <v>179</v>
      </c>
      <c r="M2098" s="21">
        <v>54</v>
      </c>
      <c r="N2098" s="21">
        <v>149</v>
      </c>
      <c r="O2098" s="19">
        <v>198</v>
      </c>
      <c r="P2098" s="22">
        <v>0</v>
      </c>
      <c r="Q2098" s="22">
        <v>0</v>
      </c>
      <c r="R2098" s="20"/>
      <c r="S2098" s="234">
        <f>COUNTIFS(INP_DATA!$R$5:$R$3027,S$4,INP_DATA!$D$5:$D$3027,$D2098,INP_DATA!$B$5:$B$3027,$B2098)</f>
        <v>0</v>
      </c>
      <c r="T2098" s="235">
        <f>COUNTIFS(INP_DATA!$R$5:$R$3027,T$4,INP_DATA!$D$5:$D$3027,$D2098,INP_DATA!$B$5:$B$3027,$B2098)</f>
        <v>0</v>
      </c>
    </row>
    <row r="2099" spans="1:20" x14ac:dyDescent="0.35">
      <c r="A2099" s="3">
        <f>IF(D2099="","",(VLOOKUP($D2099,KEY!$B$5:$D$74,3,FALSE)))</f>
        <v>0</v>
      </c>
      <c r="B2099" s="165">
        <f t="shared" si="25"/>
        <v>45962</v>
      </c>
      <c r="C2099" s="57" t="str">
        <f>IF($B2099="","",YEAR($B2099)&amp;"-"&amp;IFERROR(VLOOKUP(MONTH(B2099),KEY!$AE$5:$AF$16,2,FALSE),""))</f>
        <v>2025-Q4</v>
      </c>
      <c r="D2099" s="3" t="s">
        <v>131</v>
      </c>
      <c r="E2099" s="219">
        <v>51</v>
      </c>
      <c r="F2099" s="166">
        <v>109</v>
      </c>
      <c r="G2099" s="166">
        <v>154</v>
      </c>
      <c r="H2099" s="21">
        <v>100</v>
      </c>
      <c r="I2099" s="21">
        <v>15</v>
      </c>
      <c r="J2099" s="21">
        <v>90</v>
      </c>
      <c r="K2099" s="21">
        <v>10</v>
      </c>
      <c r="L2099" s="21">
        <v>212</v>
      </c>
      <c r="M2099" s="21">
        <v>75</v>
      </c>
      <c r="N2099" s="21">
        <v>111</v>
      </c>
      <c r="O2099" s="19">
        <v>198</v>
      </c>
      <c r="P2099" s="22">
        <v>2</v>
      </c>
      <c r="Q2099" s="22">
        <v>1</v>
      </c>
      <c r="R2099" s="20"/>
      <c r="S2099" s="234">
        <f>COUNTIFS(INP_DATA!$R$5:$R$3027,S$4,INP_DATA!$D$5:$D$3027,$D2099,INP_DATA!$B$5:$B$3027,$B2099)</f>
        <v>0</v>
      </c>
      <c r="T2099" s="235">
        <f>COUNTIFS(INP_DATA!$R$5:$R$3027,T$4,INP_DATA!$D$5:$D$3027,$D2099,INP_DATA!$B$5:$B$3027,$B2099)</f>
        <v>0</v>
      </c>
    </row>
    <row r="2100" spans="1:20" x14ac:dyDescent="0.35">
      <c r="A2100" s="3" t="str">
        <f>IF(D2100="","",(VLOOKUP($D2100,KEY!$B$5:$D$74,3,FALSE)))</f>
        <v>Southern California</v>
      </c>
      <c r="B2100" s="165">
        <f t="shared" si="25"/>
        <v>45962</v>
      </c>
      <c r="C2100" s="57" t="str">
        <f>IF($B2100="","",YEAR($B2100)&amp;"-"&amp;IFERROR(VLOOKUP(MONTH(B2100),KEY!$AE$5:$AF$16,2,FALSE),""))</f>
        <v>2025-Q4</v>
      </c>
      <c r="D2100" s="3" t="s">
        <v>135</v>
      </c>
      <c r="E2100" s="219">
        <v>38</v>
      </c>
      <c r="F2100" s="166">
        <v>266</v>
      </c>
      <c r="G2100" s="166">
        <v>239</v>
      </c>
      <c r="H2100" s="21">
        <v>535</v>
      </c>
      <c r="I2100" s="21">
        <v>70</v>
      </c>
      <c r="J2100" s="21">
        <v>287</v>
      </c>
      <c r="K2100" s="21">
        <v>62</v>
      </c>
      <c r="L2100" s="21">
        <v>480</v>
      </c>
      <c r="M2100" s="21">
        <v>132</v>
      </c>
      <c r="N2100" s="21">
        <v>267</v>
      </c>
      <c r="O2100" s="19">
        <v>374</v>
      </c>
      <c r="P2100" s="22">
        <v>8</v>
      </c>
      <c r="Q2100" s="22">
        <v>6</v>
      </c>
      <c r="R2100" s="20"/>
      <c r="S2100" s="234">
        <f>COUNTIFS(INP_DATA!$R$5:$R$3027,S$4,INP_DATA!$D$5:$D$3027,$D2100,INP_DATA!$B$5:$B$3027,$B2100)</f>
        <v>0</v>
      </c>
      <c r="T2100" s="235">
        <f>COUNTIFS(INP_DATA!$R$5:$R$3027,T$4,INP_DATA!$D$5:$D$3027,$D2100,INP_DATA!$B$5:$B$3027,$B2100)</f>
        <v>0</v>
      </c>
    </row>
    <row r="2101" spans="1:20" x14ac:dyDescent="0.35">
      <c r="A2101" s="3" t="str">
        <f>IF(D2101="","",(VLOOKUP($D2101,KEY!$B$5:$D$74,3,FALSE)))</f>
        <v>Arizona</v>
      </c>
      <c r="B2101" s="165">
        <f t="shared" si="25"/>
        <v>45962</v>
      </c>
      <c r="C2101" s="57" t="str">
        <f>IF($B2101="","",YEAR($B2101)&amp;"-"&amp;IFERROR(VLOOKUP(MONTH(B2101),KEY!$AE$5:$AF$16,2,FALSE),""))</f>
        <v>2025-Q4</v>
      </c>
      <c r="D2101" s="3" t="s">
        <v>204</v>
      </c>
      <c r="E2101" s="219">
        <v>2</v>
      </c>
      <c r="F2101" s="166">
        <v>9</v>
      </c>
      <c r="G2101" s="166">
        <v>10</v>
      </c>
      <c r="H2101" s="21">
        <v>17</v>
      </c>
      <c r="I2101" s="21">
        <v>3</v>
      </c>
      <c r="J2101" s="21">
        <v>10</v>
      </c>
      <c r="K2101" s="21">
        <v>4</v>
      </c>
      <c r="L2101" s="21">
        <v>22</v>
      </c>
      <c r="M2101" s="21">
        <v>2</v>
      </c>
      <c r="N2101" s="21">
        <v>9</v>
      </c>
      <c r="O2101" s="19">
        <v>12</v>
      </c>
      <c r="P2101" s="22">
        <v>0</v>
      </c>
      <c r="Q2101" s="22">
        <v>0</v>
      </c>
      <c r="R2101" s="20"/>
      <c r="S2101" s="234">
        <f>COUNTIFS(INP_DATA!$R$5:$R$3027,S$4,INP_DATA!$D$5:$D$3027,$D2101,INP_DATA!$B$5:$B$3027,$B2101)</f>
        <v>0</v>
      </c>
      <c r="T2101" s="235">
        <f>COUNTIFS(INP_DATA!$R$5:$R$3027,T$4,INP_DATA!$D$5:$D$3027,$D2101,INP_DATA!$B$5:$B$3027,$B2101)</f>
        <v>0</v>
      </c>
    </row>
    <row r="2102" spans="1:20" x14ac:dyDescent="0.35">
      <c r="A2102" s="3" t="str">
        <f>IF(D2102="","",(VLOOKUP($D2102,KEY!$B$5:$D$74,3,FALSE)))</f>
        <v>Arizona</v>
      </c>
      <c r="B2102" s="165">
        <f t="shared" si="25"/>
        <v>45962</v>
      </c>
      <c r="C2102" s="57" t="str">
        <f>IF($B2102="","",YEAR($B2102)&amp;"-"&amp;IFERROR(VLOOKUP(MONTH(B2102),KEY!$AE$5:$AF$16,2,FALSE),""))</f>
        <v>2025-Q4</v>
      </c>
      <c r="D2102" s="3" t="s">
        <v>196</v>
      </c>
      <c r="E2102" s="219">
        <v>10</v>
      </c>
      <c r="F2102" s="166">
        <v>47</v>
      </c>
      <c r="G2102" s="166">
        <v>51</v>
      </c>
      <c r="H2102" s="21">
        <v>94</v>
      </c>
      <c r="I2102" s="21">
        <v>21</v>
      </c>
      <c r="J2102" s="21">
        <v>55</v>
      </c>
      <c r="K2102" s="21">
        <v>14</v>
      </c>
      <c r="L2102" s="21">
        <v>119</v>
      </c>
      <c r="M2102" s="21">
        <v>43</v>
      </c>
      <c r="N2102" s="21">
        <v>47</v>
      </c>
      <c r="O2102" s="19">
        <v>88</v>
      </c>
      <c r="P2102" s="22">
        <v>1</v>
      </c>
      <c r="Q2102" s="22">
        <v>0</v>
      </c>
      <c r="R2102" s="20"/>
      <c r="S2102" s="234">
        <f>COUNTIFS(INP_DATA!$R$5:$R$3027,S$4,INP_DATA!$D$5:$D$3027,$D2102,INP_DATA!$B$5:$B$3027,$B2102)</f>
        <v>0</v>
      </c>
      <c r="T2102" s="235">
        <f>COUNTIFS(INP_DATA!$R$5:$R$3027,T$4,INP_DATA!$D$5:$D$3027,$D2102,INP_DATA!$B$5:$B$3027,$B2102)</f>
        <v>0</v>
      </c>
    </row>
    <row r="2103" spans="1:20" x14ac:dyDescent="0.35">
      <c r="A2103" s="3" t="str">
        <f>IF(D2103="","",(VLOOKUP($D2103,KEY!$B$5:$D$74,3,FALSE)))</f>
        <v>Arizona</v>
      </c>
      <c r="B2103" s="165">
        <f t="shared" si="25"/>
        <v>45962</v>
      </c>
      <c r="C2103" s="57" t="str">
        <f>IF($B2103="","",YEAR($B2103)&amp;"-"&amp;IFERROR(VLOOKUP(MONTH(B2103),KEY!$AE$5:$AF$16,2,FALSE),""))</f>
        <v>2025-Q4</v>
      </c>
      <c r="D2103" s="3" t="s">
        <v>197</v>
      </c>
      <c r="E2103" s="219">
        <v>13</v>
      </c>
      <c r="F2103" s="166">
        <v>88</v>
      </c>
      <c r="G2103" s="166">
        <v>108</v>
      </c>
      <c r="H2103" s="21">
        <v>136</v>
      </c>
      <c r="I2103" s="21">
        <v>20</v>
      </c>
      <c r="J2103" s="21">
        <v>75</v>
      </c>
      <c r="K2103" s="21">
        <v>15</v>
      </c>
      <c r="L2103" s="21">
        <v>192</v>
      </c>
      <c r="M2103" s="21">
        <v>65</v>
      </c>
      <c r="N2103" s="21">
        <v>94</v>
      </c>
      <c r="O2103" s="19">
        <v>220</v>
      </c>
      <c r="P2103" s="22">
        <v>2</v>
      </c>
      <c r="Q2103" s="22">
        <v>2</v>
      </c>
      <c r="R2103" s="20"/>
      <c r="S2103" s="234">
        <f>COUNTIFS(INP_DATA!$R$5:$R$3027,S$4,INP_DATA!$D$5:$D$3027,$D2103,INP_DATA!$B$5:$B$3027,$B2103)</f>
        <v>0</v>
      </c>
      <c r="T2103" s="235">
        <f>COUNTIFS(INP_DATA!$R$5:$R$3027,T$4,INP_DATA!$D$5:$D$3027,$D2103,INP_DATA!$B$5:$B$3027,$B2103)</f>
        <v>0</v>
      </c>
    </row>
    <row r="2104" spans="1:20" x14ac:dyDescent="0.35">
      <c r="A2104" s="3" t="str">
        <f>IF(D2104="","",(VLOOKUP($D2104,KEY!$B$5:$D$74,3,FALSE)))</f>
        <v>Texas</v>
      </c>
      <c r="B2104" s="165">
        <f t="shared" si="25"/>
        <v>45962</v>
      </c>
      <c r="C2104" s="57" t="str">
        <f>IF($B2104="","",YEAR($B2104)&amp;"-"&amp;IFERROR(VLOOKUP(MONTH(B2104),KEY!$AE$5:$AF$16,2,FALSE),""))</f>
        <v>2025-Q4</v>
      </c>
      <c r="D2104" s="3" t="s">
        <v>136</v>
      </c>
      <c r="E2104" s="219">
        <v>37</v>
      </c>
      <c r="F2104" s="166">
        <v>244</v>
      </c>
      <c r="G2104" s="166">
        <v>294</v>
      </c>
      <c r="H2104" s="21">
        <v>538</v>
      </c>
      <c r="I2104" s="21">
        <v>56</v>
      </c>
      <c r="J2104" s="21">
        <v>287</v>
      </c>
      <c r="K2104" s="21">
        <v>42</v>
      </c>
      <c r="L2104" s="21">
        <v>313</v>
      </c>
      <c r="M2104" s="21">
        <v>143</v>
      </c>
      <c r="N2104" s="21">
        <v>244</v>
      </c>
      <c r="O2104" s="19">
        <v>352</v>
      </c>
      <c r="P2104" s="22">
        <v>7</v>
      </c>
      <c r="Q2104" s="22">
        <v>7</v>
      </c>
      <c r="R2104" s="20"/>
      <c r="S2104" s="234">
        <f>COUNTIFS(INP_DATA!$R$5:$R$3027,S$4,INP_DATA!$D$5:$D$3027,$D2104,INP_DATA!$B$5:$B$3027,$B2104)</f>
        <v>0</v>
      </c>
      <c r="T2104" s="235">
        <f>COUNTIFS(INP_DATA!$R$5:$R$3027,T$4,INP_DATA!$D$5:$D$3027,$D2104,INP_DATA!$B$5:$B$3027,$B2104)</f>
        <v>0</v>
      </c>
    </row>
    <row r="2105" spans="1:20" x14ac:dyDescent="0.35">
      <c r="A2105" s="3" t="str">
        <f>IF(D2105="","",(VLOOKUP($D2105,KEY!$B$5:$D$74,3,FALSE)))</f>
        <v>Arizona</v>
      </c>
      <c r="B2105" s="165">
        <f t="shared" si="25"/>
        <v>45962</v>
      </c>
      <c r="C2105" s="57" t="str">
        <f>IF($B2105="","",YEAR($B2105)&amp;"-"&amp;IFERROR(VLOOKUP(MONTH(B2105),KEY!$AE$5:$AF$16,2,FALSE),""))</f>
        <v>2025-Q4</v>
      </c>
      <c r="D2105" s="3" t="s">
        <v>137</v>
      </c>
      <c r="E2105" s="219">
        <v>9</v>
      </c>
      <c r="F2105" s="166">
        <v>92</v>
      </c>
      <c r="G2105" s="166">
        <v>92</v>
      </c>
      <c r="H2105" s="21">
        <v>238</v>
      </c>
      <c r="I2105" s="21">
        <v>24</v>
      </c>
      <c r="J2105" s="21">
        <v>139</v>
      </c>
      <c r="K2105" s="21">
        <v>18</v>
      </c>
      <c r="L2105" s="21">
        <v>172</v>
      </c>
      <c r="M2105" s="21">
        <v>67</v>
      </c>
      <c r="N2105" s="21">
        <v>101</v>
      </c>
      <c r="O2105" s="19">
        <v>198</v>
      </c>
      <c r="P2105" s="22">
        <v>0</v>
      </c>
      <c r="Q2105" s="22">
        <v>0</v>
      </c>
      <c r="R2105" s="20"/>
      <c r="S2105" s="234">
        <f>COUNTIFS(INP_DATA!$R$5:$R$3027,S$4,INP_DATA!$D$5:$D$3027,$D2105,INP_DATA!$B$5:$B$3027,$B2105)</f>
        <v>0</v>
      </c>
      <c r="T2105" s="235">
        <f>COUNTIFS(INP_DATA!$R$5:$R$3027,T$4,INP_DATA!$D$5:$D$3027,$D2105,INP_DATA!$B$5:$B$3027,$B2105)</f>
        <v>0</v>
      </c>
    </row>
    <row r="2106" spans="1:20" x14ac:dyDescent="0.35">
      <c r="A2106" s="3" t="str">
        <f>IF(D2106="","",(VLOOKUP($D2106,KEY!$B$5:$D$74,3,FALSE)))</f>
        <v>Texas</v>
      </c>
      <c r="B2106" s="165">
        <f t="shared" si="25"/>
        <v>45962</v>
      </c>
      <c r="C2106" s="57" t="str">
        <f>IF($B2106="","",YEAR($B2106)&amp;"-"&amp;IFERROR(VLOOKUP(MONTH(B2106),KEY!$AE$5:$AF$16,2,FALSE),""))</f>
        <v>2025-Q4</v>
      </c>
      <c r="D2106" s="3" t="s">
        <v>138</v>
      </c>
      <c r="E2106" s="219">
        <v>35</v>
      </c>
      <c r="F2106" s="166">
        <v>153</v>
      </c>
      <c r="G2106" s="166">
        <v>163</v>
      </c>
      <c r="H2106" s="21">
        <v>250</v>
      </c>
      <c r="I2106" s="21">
        <v>35</v>
      </c>
      <c r="J2106" s="21">
        <v>132</v>
      </c>
      <c r="K2106" s="21">
        <v>48</v>
      </c>
      <c r="L2106" s="21">
        <v>258</v>
      </c>
      <c r="M2106" s="21">
        <v>95</v>
      </c>
      <c r="N2106" s="21">
        <v>152</v>
      </c>
      <c r="O2106" s="19">
        <v>220</v>
      </c>
      <c r="P2106" s="22">
        <v>4</v>
      </c>
      <c r="Q2106" s="22">
        <v>3</v>
      </c>
      <c r="R2106" s="20"/>
      <c r="S2106" s="234">
        <f>COUNTIFS(INP_DATA!$R$5:$R$3027,S$4,INP_DATA!$D$5:$D$3027,$D2106,INP_DATA!$B$5:$B$3027,$B2106)</f>
        <v>0</v>
      </c>
      <c r="T2106" s="235">
        <f>COUNTIFS(INP_DATA!$R$5:$R$3027,T$4,INP_DATA!$D$5:$D$3027,$D2106,INP_DATA!$B$5:$B$3027,$B2106)</f>
        <v>0</v>
      </c>
    </row>
    <row r="2107" spans="1:20" x14ac:dyDescent="0.35">
      <c r="A2107" s="3" t="str">
        <f>IF(D2107="","",(VLOOKUP($D2107,KEY!$B$5:$D$74,3,FALSE)))</f>
        <v>Southern California</v>
      </c>
      <c r="B2107" s="165">
        <f t="shared" si="25"/>
        <v>45962</v>
      </c>
      <c r="C2107" s="57" t="str">
        <f>IF($B2107="","",YEAR($B2107)&amp;"-"&amp;IFERROR(VLOOKUP(MONTH(B2107),KEY!$AE$5:$AF$16,2,FALSE),""))</f>
        <v>2025-Q4</v>
      </c>
      <c r="D2107" s="3" t="s">
        <v>139</v>
      </c>
      <c r="E2107" s="219">
        <v>45</v>
      </c>
      <c r="F2107" s="166">
        <v>274</v>
      </c>
      <c r="G2107" s="166">
        <v>223</v>
      </c>
      <c r="H2107" s="21">
        <v>477</v>
      </c>
      <c r="I2107" s="21">
        <v>70</v>
      </c>
      <c r="J2107" s="21">
        <v>131</v>
      </c>
      <c r="K2107" s="21">
        <v>31</v>
      </c>
      <c r="L2107" s="21">
        <v>604</v>
      </c>
      <c r="M2107" s="21">
        <v>178</v>
      </c>
      <c r="N2107" s="21">
        <v>277</v>
      </c>
      <c r="O2107" s="19">
        <v>352</v>
      </c>
      <c r="P2107" s="22">
        <v>12</v>
      </c>
      <c r="Q2107" s="22">
        <v>10</v>
      </c>
      <c r="R2107" s="20"/>
      <c r="S2107" s="234">
        <f>COUNTIFS(INP_DATA!$R$5:$R$3027,S$4,INP_DATA!$D$5:$D$3027,$D2107,INP_DATA!$B$5:$B$3027,$B2107)</f>
        <v>0</v>
      </c>
      <c r="T2107" s="235">
        <f>COUNTIFS(INP_DATA!$R$5:$R$3027,T$4,INP_DATA!$D$5:$D$3027,$D2107,INP_DATA!$B$5:$B$3027,$B2107)</f>
        <v>0</v>
      </c>
    </row>
    <row r="2108" spans="1:20" x14ac:dyDescent="0.35">
      <c r="A2108" s="3" t="str">
        <f>IF(D2108="","",(VLOOKUP($D2108,KEY!$B$5:$D$74,3,FALSE)))</f>
        <v>Orange County</v>
      </c>
      <c r="B2108" s="165">
        <f t="shared" si="25"/>
        <v>45962</v>
      </c>
      <c r="C2108" s="57" t="str">
        <f>IF($B2108="","",YEAR($B2108)&amp;"-"&amp;IFERROR(VLOOKUP(MONTH(B2108),KEY!$AE$5:$AF$16,2,FALSE),""))</f>
        <v>2025-Q4</v>
      </c>
      <c r="D2108" s="3" t="s">
        <v>140</v>
      </c>
      <c r="E2108" s="219">
        <v>5</v>
      </c>
      <c r="F2108" s="166">
        <v>35</v>
      </c>
      <c r="G2108" s="166">
        <v>30</v>
      </c>
      <c r="H2108" s="21">
        <v>62</v>
      </c>
      <c r="I2108" s="21">
        <v>16</v>
      </c>
      <c r="J2108" s="21">
        <v>33</v>
      </c>
      <c r="K2108" s="21">
        <v>8</v>
      </c>
      <c r="L2108" s="21">
        <v>65</v>
      </c>
      <c r="M2108" s="21">
        <v>26</v>
      </c>
      <c r="N2108" s="21">
        <v>36</v>
      </c>
      <c r="O2108" s="19">
        <v>66</v>
      </c>
      <c r="P2108" s="22">
        <v>4</v>
      </c>
      <c r="Q2108" s="22">
        <v>2</v>
      </c>
      <c r="R2108" s="20"/>
      <c r="S2108" s="234">
        <f>COUNTIFS(INP_DATA!$R$5:$R$3027,S$4,INP_DATA!$D$5:$D$3027,$D2108,INP_DATA!$B$5:$B$3027,$B2108)</f>
        <v>0</v>
      </c>
      <c r="T2108" s="235">
        <f>COUNTIFS(INP_DATA!$R$5:$R$3027,T$4,INP_DATA!$D$5:$D$3027,$D2108,INP_DATA!$B$5:$B$3027,$B2108)</f>
        <v>0</v>
      </c>
    </row>
    <row r="2109" spans="1:20" x14ac:dyDescent="0.35">
      <c r="A2109" s="3" t="str">
        <f>IF(D2109="","",(VLOOKUP($D2109,KEY!$B$5:$D$74,3,FALSE)))</f>
        <v>Southern California</v>
      </c>
      <c r="B2109" s="165">
        <f t="shared" si="25"/>
        <v>45962</v>
      </c>
      <c r="C2109" s="57" t="str">
        <f>IF($B2109="","",YEAR($B2109)&amp;"-"&amp;IFERROR(VLOOKUP(MONTH(B2109),KEY!$AE$5:$AF$16,2,FALSE),""))</f>
        <v>2025-Q4</v>
      </c>
      <c r="D2109" s="3" t="s">
        <v>142</v>
      </c>
      <c r="E2109" s="219">
        <v>9</v>
      </c>
      <c r="F2109" s="166">
        <v>82</v>
      </c>
      <c r="G2109" s="166">
        <v>85</v>
      </c>
      <c r="H2109" s="21">
        <v>168</v>
      </c>
      <c r="I2109" s="21">
        <v>29</v>
      </c>
      <c r="J2109" s="21">
        <v>54</v>
      </c>
      <c r="K2109" s="21">
        <v>15</v>
      </c>
      <c r="L2109" s="21">
        <v>119</v>
      </c>
      <c r="M2109" s="21">
        <v>56</v>
      </c>
      <c r="N2109" s="21">
        <v>82</v>
      </c>
      <c r="O2109" s="19">
        <v>132</v>
      </c>
      <c r="P2109" s="22">
        <v>15</v>
      </c>
      <c r="Q2109" s="22">
        <v>13</v>
      </c>
      <c r="R2109" s="20"/>
      <c r="S2109" s="234">
        <f>COUNTIFS(INP_DATA!$R$5:$R$3027,S$4,INP_DATA!$D$5:$D$3027,$D2109,INP_DATA!$B$5:$B$3027,$B2109)</f>
        <v>0</v>
      </c>
      <c r="T2109" s="235">
        <f>COUNTIFS(INP_DATA!$R$5:$R$3027,T$4,INP_DATA!$D$5:$D$3027,$D2109,INP_DATA!$B$5:$B$3027,$B2109)</f>
        <v>0</v>
      </c>
    </row>
    <row r="2110" spans="1:20" x14ac:dyDescent="0.35">
      <c r="A2110" s="3" t="str">
        <f>IF(D2110="","",(VLOOKUP($D2110,KEY!$B$5:$D$74,3,FALSE)))</f>
        <v>Arizona</v>
      </c>
      <c r="B2110" s="165">
        <f t="shared" si="25"/>
        <v>45962</v>
      </c>
      <c r="C2110" s="57" t="str">
        <f>IF($B2110="","",YEAR($B2110)&amp;"-"&amp;IFERROR(VLOOKUP(MONTH(B2110),KEY!$AE$5:$AF$16,2,FALSE),""))</f>
        <v>2025-Q4</v>
      </c>
      <c r="D2110" s="3" t="s">
        <v>143</v>
      </c>
      <c r="E2110" s="219">
        <v>13</v>
      </c>
      <c r="F2110" s="166">
        <v>70</v>
      </c>
      <c r="G2110" s="166">
        <v>78</v>
      </c>
      <c r="H2110" s="21">
        <v>201</v>
      </c>
      <c r="I2110" s="21">
        <v>24</v>
      </c>
      <c r="J2110" s="21">
        <v>73</v>
      </c>
      <c r="K2110" s="21">
        <v>16</v>
      </c>
      <c r="L2110" s="21">
        <v>97</v>
      </c>
      <c r="M2110" s="21">
        <v>42</v>
      </c>
      <c r="N2110" s="21">
        <v>71</v>
      </c>
      <c r="O2110" s="19">
        <v>198</v>
      </c>
      <c r="P2110" s="22">
        <v>2</v>
      </c>
      <c r="Q2110" s="22">
        <v>2</v>
      </c>
      <c r="R2110" s="20"/>
      <c r="S2110" s="234">
        <f>COUNTIFS(INP_DATA!$R$5:$R$3027,S$4,INP_DATA!$D$5:$D$3027,$D2110,INP_DATA!$B$5:$B$3027,$B2110)</f>
        <v>0</v>
      </c>
      <c r="T2110" s="235">
        <f>COUNTIFS(INP_DATA!$R$5:$R$3027,T$4,INP_DATA!$D$5:$D$3027,$D2110,INP_DATA!$B$5:$B$3027,$B2110)</f>
        <v>0</v>
      </c>
    </row>
    <row r="2111" spans="1:20" x14ac:dyDescent="0.35">
      <c r="A2111" s="3" t="str">
        <f>IF(D2111="","",(VLOOKUP($D2111,KEY!$B$5:$D$74,3,FALSE)))</f>
        <v>Arizona</v>
      </c>
      <c r="B2111" s="165">
        <f t="shared" si="25"/>
        <v>45962</v>
      </c>
      <c r="C2111" s="57" t="str">
        <f>IF($B2111="","",YEAR($B2111)&amp;"-"&amp;IFERROR(VLOOKUP(MONTH(B2111),KEY!$AE$5:$AF$16,2,FALSE),""))</f>
        <v>2025-Q4</v>
      </c>
      <c r="D2111" s="3" t="s">
        <v>144</v>
      </c>
      <c r="E2111" s="219">
        <v>46</v>
      </c>
      <c r="F2111" s="166">
        <v>219</v>
      </c>
      <c r="G2111" s="166">
        <v>268</v>
      </c>
      <c r="H2111" s="21">
        <v>273</v>
      </c>
      <c r="I2111" s="21">
        <v>32</v>
      </c>
      <c r="J2111" s="21">
        <v>91</v>
      </c>
      <c r="K2111" s="21">
        <v>27</v>
      </c>
      <c r="L2111" s="21">
        <v>247</v>
      </c>
      <c r="M2111" s="21">
        <v>138</v>
      </c>
      <c r="N2111" s="21">
        <v>229</v>
      </c>
      <c r="O2111" s="19">
        <v>418</v>
      </c>
      <c r="P2111" s="22">
        <v>11</v>
      </c>
      <c r="Q2111" s="22">
        <v>8</v>
      </c>
      <c r="R2111" s="20"/>
      <c r="S2111" s="234">
        <f>COUNTIFS(INP_DATA!$R$5:$R$3027,S$4,INP_DATA!$D$5:$D$3027,$D2111,INP_DATA!$B$5:$B$3027,$B2111)</f>
        <v>0</v>
      </c>
      <c r="T2111" s="235">
        <f>COUNTIFS(INP_DATA!$R$5:$R$3027,T$4,INP_DATA!$D$5:$D$3027,$D2111,INP_DATA!$B$5:$B$3027,$B2111)</f>
        <v>0</v>
      </c>
    </row>
    <row r="2112" spans="1:20" x14ac:dyDescent="0.35">
      <c r="A2112" s="3" t="str">
        <f>IF(D2112="","",(VLOOKUP($D2112,KEY!$B$5:$D$74,3,FALSE)))</f>
        <v>Southern California</v>
      </c>
      <c r="B2112" s="165">
        <f t="shared" si="25"/>
        <v>45962</v>
      </c>
      <c r="C2112" s="57" t="str">
        <f>IF($B2112="","",YEAR($B2112)&amp;"-"&amp;IFERROR(VLOOKUP(MONTH(B2112),KEY!$AE$5:$AF$16,2,FALSE),""))</f>
        <v>2025-Q4</v>
      </c>
      <c r="D2112" s="3" t="s">
        <v>145</v>
      </c>
      <c r="E2112" s="219">
        <v>52</v>
      </c>
      <c r="F2112" s="166">
        <v>168</v>
      </c>
      <c r="G2112" s="166">
        <v>198</v>
      </c>
      <c r="H2112" s="21">
        <v>241</v>
      </c>
      <c r="I2112" s="21">
        <v>34</v>
      </c>
      <c r="J2112" s="21">
        <v>103</v>
      </c>
      <c r="K2112" s="21">
        <v>25</v>
      </c>
      <c r="L2112" s="21">
        <v>262</v>
      </c>
      <c r="M2112" s="21">
        <v>109</v>
      </c>
      <c r="N2112" s="21">
        <v>174</v>
      </c>
      <c r="O2112" s="19">
        <v>352</v>
      </c>
      <c r="P2112" s="22">
        <v>21</v>
      </c>
      <c r="Q2112" s="22">
        <v>13</v>
      </c>
      <c r="R2112" s="20"/>
      <c r="S2112" s="234">
        <f>COUNTIFS(INP_DATA!$R$5:$R$3027,S$4,INP_DATA!$D$5:$D$3027,$D2112,INP_DATA!$B$5:$B$3027,$B2112)</f>
        <v>0</v>
      </c>
      <c r="T2112" s="235">
        <f>COUNTIFS(INP_DATA!$R$5:$R$3027,T$4,INP_DATA!$D$5:$D$3027,$D2112,INP_DATA!$B$5:$B$3027,$B2112)</f>
        <v>0</v>
      </c>
    </row>
    <row r="2113" spans="1:20" x14ac:dyDescent="0.35">
      <c r="A2113" s="3" t="str">
        <f>IF(D2113="","",(VLOOKUP($D2113,KEY!$B$5:$D$74,3,FALSE)))</f>
        <v>Arizona</v>
      </c>
      <c r="B2113" s="165">
        <f t="shared" si="25"/>
        <v>45962</v>
      </c>
      <c r="C2113" s="57" t="str">
        <f>IF($B2113="","",YEAR($B2113)&amp;"-"&amp;IFERROR(VLOOKUP(MONTH(B2113),KEY!$AE$5:$AF$16,2,FALSE),""))</f>
        <v>2025-Q4</v>
      </c>
      <c r="D2113" s="3" t="s">
        <v>146</v>
      </c>
      <c r="E2113" s="219">
        <v>10</v>
      </c>
      <c r="F2113" s="166">
        <v>37</v>
      </c>
      <c r="G2113" s="166">
        <v>49</v>
      </c>
      <c r="H2113" s="21">
        <v>88</v>
      </c>
      <c r="I2113" s="21">
        <v>10</v>
      </c>
      <c r="J2113" s="21">
        <v>18</v>
      </c>
      <c r="K2113" s="21">
        <v>4</v>
      </c>
      <c r="L2113" s="21">
        <v>55</v>
      </c>
      <c r="M2113" s="21">
        <v>28</v>
      </c>
      <c r="N2113" s="21">
        <v>37</v>
      </c>
      <c r="O2113" s="19">
        <v>88</v>
      </c>
      <c r="P2113" s="22">
        <v>1</v>
      </c>
      <c r="Q2113" s="22">
        <v>1</v>
      </c>
      <c r="R2113" s="20"/>
      <c r="S2113" s="234">
        <f>COUNTIFS(INP_DATA!$R$5:$R$3027,S$4,INP_DATA!$D$5:$D$3027,$D2113,INP_DATA!$B$5:$B$3027,$B2113)</f>
        <v>0</v>
      </c>
      <c r="T2113" s="235">
        <f>COUNTIFS(INP_DATA!$R$5:$R$3027,T$4,INP_DATA!$D$5:$D$3027,$D2113,INP_DATA!$B$5:$B$3027,$B2113)</f>
        <v>0</v>
      </c>
    </row>
    <row r="2114" spans="1:20" x14ac:dyDescent="0.35">
      <c r="A2114" s="3" t="str">
        <f>IF(D2114="","",(VLOOKUP($D2114,KEY!$B$5:$D$74,3,FALSE)))</f>
        <v>Texas</v>
      </c>
      <c r="B2114" s="165">
        <f t="shared" si="25"/>
        <v>45962</v>
      </c>
      <c r="C2114" s="57" t="str">
        <f>IF($B2114="","",YEAR($B2114)&amp;"-"&amp;IFERROR(VLOOKUP(MONTH(B2114),KEY!$AE$5:$AF$16,2,FALSE),""))</f>
        <v>2025-Q4</v>
      </c>
      <c r="D2114" s="3" t="s">
        <v>147</v>
      </c>
      <c r="E2114" s="219">
        <v>1</v>
      </c>
      <c r="F2114" s="166">
        <v>28</v>
      </c>
      <c r="G2114" s="166">
        <v>39</v>
      </c>
      <c r="H2114" s="21">
        <v>55</v>
      </c>
      <c r="I2114" s="21">
        <v>11</v>
      </c>
      <c r="J2114" s="21">
        <v>11</v>
      </c>
      <c r="K2114" s="21">
        <v>6</v>
      </c>
      <c r="L2114" s="21">
        <v>35</v>
      </c>
      <c r="M2114" s="21">
        <v>27</v>
      </c>
      <c r="N2114" s="21">
        <v>28</v>
      </c>
      <c r="O2114" s="19">
        <v>88</v>
      </c>
      <c r="P2114" s="22">
        <v>6</v>
      </c>
      <c r="Q2114" s="22">
        <v>2</v>
      </c>
      <c r="R2114" s="20"/>
      <c r="S2114" s="234">
        <f>COUNTIFS(INP_DATA!$R$5:$R$3027,S$4,INP_DATA!$D$5:$D$3027,$D2114,INP_DATA!$B$5:$B$3027,$B2114)</f>
        <v>0</v>
      </c>
      <c r="T2114" s="235">
        <f>COUNTIFS(INP_DATA!$R$5:$R$3027,T$4,INP_DATA!$D$5:$D$3027,$D2114,INP_DATA!$B$5:$B$3027,$B2114)</f>
        <v>0</v>
      </c>
    </row>
    <row r="2115" spans="1:20" x14ac:dyDescent="0.35">
      <c r="A2115" s="3" t="str">
        <f>IF(D2115="","",(VLOOKUP($D2115,KEY!$B$5:$D$74,3,FALSE)))</f>
        <v>Northern California</v>
      </c>
      <c r="B2115" s="165">
        <f t="shared" si="25"/>
        <v>45962</v>
      </c>
      <c r="C2115" s="57" t="str">
        <f>IF($B2115="","",YEAR($B2115)&amp;"-"&amp;IFERROR(VLOOKUP(MONTH(B2115),KEY!$AE$5:$AF$16,2,FALSE),""))</f>
        <v>2025-Q4</v>
      </c>
      <c r="D2115" s="3" t="s">
        <v>148</v>
      </c>
      <c r="E2115" s="219">
        <v>2</v>
      </c>
      <c r="F2115" s="166">
        <v>42</v>
      </c>
      <c r="G2115" s="166">
        <v>51</v>
      </c>
      <c r="H2115" s="21">
        <v>81</v>
      </c>
      <c r="I2115" s="21">
        <v>15</v>
      </c>
      <c r="J2115" s="21">
        <v>29</v>
      </c>
      <c r="K2115" s="21">
        <v>5</v>
      </c>
      <c r="L2115" s="21">
        <v>72</v>
      </c>
      <c r="M2115" s="21">
        <v>39</v>
      </c>
      <c r="N2115" s="21">
        <v>42</v>
      </c>
      <c r="O2115" s="19">
        <v>88</v>
      </c>
      <c r="P2115" s="22">
        <v>2</v>
      </c>
      <c r="Q2115" s="22">
        <v>1</v>
      </c>
      <c r="R2115" s="20"/>
      <c r="S2115" s="234">
        <f>COUNTIFS(INP_DATA!$R$5:$R$3027,S$4,INP_DATA!$D$5:$D$3027,$D2115,INP_DATA!$B$5:$B$3027,$B2115)</f>
        <v>0</v>
      </c>
      <c r="T2115" s="235">
        <f>COUNTIFS(INP_DATA!$R$5:$R$3027,T$4,INP_DATA!$D$5:$D$3027,$D2115,INP_DATA!$B$5:$B$3027,$B2115)</f>
        <v>0</v>
      </c>
    </row>
    <row r="2116" spans="1:20" x14ac:dyDescent="0.35">
      <c r="A2116" s="3" t="str">
        <f>IF(D2116="","",(VLOOKUP($D2116,KEY!$B$5:$D$74,3,FALSE)))</f>
        <v>Orange County</v>
      </c>
      <c r="B2116" s="165">
        <f t="shared" si="25"/>
        <v>45962</v>
      </c>
      <c r="C2116" s="57" t="str">
        <f>IF($B2116="","",YEAR($B2116)&amp;"-"&amp;IFERROR(VLOOKUP(MONTH(B2116),KEY!$AE$5:$AF$16,2,FALSE),""))</f>
        <v>2025-Q4</v>
      </c>
      <c r="D2116" s="3" t="s">
        <v>149</v>
      </c>
      <c r="E2116" s="219">
        <v>3</v>
      </c>
      <c r="F2116" s="166">
        <v>0</v>
      </c>
      <c r="G2116" s="166">
        <v>0</v>
      </c>
      <c r="H2116" s="21">
        <v>50</v>
      </c>
      <c r="I2116" s="21">
        <v>10</v>
      </c>
      <c r="J2116" s="21">
        <v>11</v>
      </c>
      <c r="K2116" s="21">
        <v>4</v>
      </c>
      <c r="L2116" s="21">
        <v>34</v>
      </c>
      <c r="M2116" s="21">
        <v>21</v>
      </c>
      <c r="N2116" s="21">
        <v>24</v>
      </c>
      <c r="O2116" s="19">
        <v>66</v>
      </c>
      <c r="P2116" s="22">
        <v>0</v>
      </c>
      <c r="Q2116" s="22">
        <v>0</v>
      </c>
      <c r="R2116" s="20"/>
      <c r="S2116" s="234">
        <f>COUNTIFS(INP_DATA!$R$5:$R$3027,S$4,INP_DATA!$D$5:$D$3027,$D2116,INP_DATA!$B$5:$B$3027,$B2116)</f>
        <v>0</v>
      </c>
      <c r="T2116" s="235">
        <f>COUNTIFS(INP_DATA!$R$5:$R$3027,T$4,INP_DATA!$D$5:$D$3027,$D2116,INP_DATA!$B$5:$B$3027,$B2116)</f>
        <v>0</v>
      </c>
    </row>
    <row r="2117" spans="1:20" x14ac:dyDescent="0.35">
      <c r="A2117" s="3" t="str">
        <f>IF(D2117="","",(VLOOKUP($D2117,KEY!$B$5:$D$74,3,FALSE)))</f>
        <v>Southern California</v>
      </c>
      <c r="B2117" s="165">
        <f t="shared" si="25"/>
        <v>45962</v>
      </c>
      <c r="C2117" s="57" t="str">
        <f>IF($B2117="","",YEAR($B2117)&amp;"-"&amp;IFERROR(VLOOKUP(MONTH(B2117),KEY!$AE$5:$AF$16,2,FALSE),""))</f>
        <v>2025-Q4</v>
      </c>
      <c r="D2117" s="3" t="s">
        <v>150</v>
      </c>
      <c r="E2117" s="219">
        <v>5</v>
      </c>
      <c r="F2117" s="166">
        <v>51</v>
      </c>
      <c r="G2117" s="166">
        <v>53</v>
      </c>
      <c r="H2117" s="21">
        <v>87</v>
      </c>
      <c r="I2117" s="21">
        <v>15</v>
      </c>
      <c r="J2117" s="21">
        <v>20</v>
      </c>
      <c r="K2117" s="21">
        <v>3</v>
      </c>
      <c r="L2117" s="21">
        <v>68</v>
      </c>
      <c r="M2117" s="21">
        <v>34</v>
      </c>
      <c r="N2117" s="21">
        <v>51</v>
      </c>
      <c r="O2117" s="19">
        <v>88</v>
      </c>
      <c r="P2117" s="22">
        <v>2</v>
      </c>
      <c r="Q2117" s="22">
        <v>1</v>
      </c>
      <c r="R2117" s="20"/>
      <c r="S2117" s="234">
        <f>COUNTIFS(INP_DATA!$R$5:$R$3027,S$4,INP_DATA!$D$5:$D$3027,$D2117,INP_DATA!$B$5:$B$3027,$B2117)</f>
        <v>0</v>
      </c>
      <c r="T2117" s="235">
        <f>COUNTIFS(INP_DATA!$R$5:$R$3027,T$4,INP_DATA!$D$5:$D$3027,$D2117,INP_DATA!$B$5:$B$3027,$B2117)</f>
        <v>0</v>
      </c>
    </row>
    <row r="2118" spans="1:20" x14ac:dyDescent="0.35">
      <c r="A2118" s="3" t="str">
        <f>IF(D2118="","",(VLOOKUP($D2118,KEY!$B$5:$D$74,3,FALSE)))</f>
        <v>Arizona</v>
      </c>
      <c r="B2118" s="165">
        <f t="shared" si="25"/>
        <v>45962</v>
      </c>
      <c r="C2118" s="57" t="str">
        <f>IF($B2118="","",YEAR($B2118)&amp;"-"&amp;IFERROR(VLOOKUP(MONTH(B2118),KEY!$AE$5:$AF$16,2,FALSE),""))</f>
        <v>2025-Q4</v>
      </c>
      <c r="D2118" s="3" t="s">
        <v>151</v>
      </c>
      <c r="E2118" s="219">
        <v>7</v>
      </c>
      <c r="F2118" s="166">
        <v>34</v>
      </c>
      <c r="G2118" s="166">
        <v>40</v>
      </c>
      <c r="H2118" s="21">
        <v>68</v>
      </c>
      <c r="I2118" s="21">
        <v>13</v>
      </c>
      <c r="J2118" s="21">
        <v>15</v>
      </c>
      <c r="K2118" s="21">
        <v>3</v>
      </c>
      <c r="L2118" s="21">
        <v>50</v>
      </c>
      <c r="M2118" s="21">
        <v>35</v>
      </c>
      <c r="N2118" s="21">
        <v>34</v>
      </c>
      <c r="O2118" s="19">
        <v>88</v>
      </c>
      <c r="P2118" s="22">
        <v>3</v>
      </c>
      <c r="Q2118" s="22">
        <v>1</v>
      </c>
      <c r="R2118" s="20"/>
      <c r="S2118" s="234">
        <f>COUNTIFS(INP_DATA!$R$5:$R$3027,S$4,INP_DATA!$D$5:$D$3027,$D2118,INP_DATA!$B$5:$B$3027,$B2118)</f>
        <v>0</v>
      </c>
      <c r="T2118" s="235">
        <f>COUNTIFS(INP_DATA!$R$5:$R$3027,T$4,INP_DATA!$D$5:$D$3027,$D2118,INP_DATA!$B$5:$B$3027,$B2118)</f>
        <v>0</v>
      </c>
    </row>
    <row r="2119" spans="1:20" x14ac:dyDescent="0.35">
      <c r="A2119" s="3" t="str">
        <f>IF(D2119="","",(VLOOKUP($D2119,KEY!$B$5:$D$74,3,FALSE)))</f>
        <v>Michigan &amp; Minnesota</v>
      </c>
      <c r="B2119" s="165">
        <f t="shared" si="25"/>
        <v>45962</v>
      </c>
      <c r="C2119" s="57" t="str">
        <f>IF($B2119="","",YEAR($B2119)&amp;"-"&amp;IFERROR(VLOOKUP(MONTH(B2119),KEY!$AE$5:$AF$16,2,FALSE),""))</f>
        <v>2025-Q4</v>
      </c>
      <c r="D2119" s="3" t="s">
        <v>206</v>
      </c>
      <c r="E2119" s="219">
        <v>66</v>
      </c>
      <c r="F2119" s="166">
        <v>244</v>
      </c>
      <c r="G2119" s="166">
        <v>322</v>
      </c>
      <c r="H2119" s="21">
        <v>331</v>
      </c>
      <c r="I2119" s="21">
        <v>54</v>
      </c>
      <c r="J2119" s="21">
        <v>139</v>
      </c>
      <c r="K2119" s="21">
        <v>39</v>
      </c>
      <c r="L2119" s="21">
        <v>514</v>
      </c>
      <c r="M2119" s="21">
        <v>147</v>
      </c>
      <c r="N2119" s="21">
        <v>245</v>
      </c>
      <c r="O2119" s="19">
        <v>418</v>
      </c>
      <c r="P2119" s="22">
        <v>22</v>
      </c>
      <c r="Q2119" s="22">
        <v>12</v>
      </c>
      <c r="R2119" s="20"/>
      <c r="S2119" s="234">
        <f>COUNTIFS(INP_DATA!$R$5:$R$3027,S$4,INP_DATA!$D$5:$D$3027,$D2119,INP_DATA!$B$5:$B$3027,$B2119)</f>
        <v>0</v>
      </c>
      <c r="T2119" s="235">
        <f>COUNTIFS(INP_DATA!$R$5:$R$3027,T$4,INP_DATA!$D$5:$D$3027,$D2119,INP_DATA!$B$5:$B$3027,$B2119)</f>
        <v>0</v>
      </c>
    </row>
    <row r="2120" spans="1:20" x14ac:dyDescent="0.35">
      <c r="A2120" s="3" t="str">
        <f>IF(D2120="","",(VLOOKUP($D2120,KEY!$B$5:$D$74,3,FALSE)))</f>
        <v>Michigan &amp; Minnesota</v>
      </c>
      <c r="B2120" s="165">
        <f t="shared" si="25"/>
        <v>45962</v>
      </c>
      <c r="C2120" s="57" t="str">
        <f>IF($B2120="","",YEAR($B2120)&amp;"-"&amp;IFERROR(VLOOKUP(MONTH(B2120),KEY!$AE$5:$AF$16,2,FALSE),""))</f>
        <v>2025-Q4</v>
      </c>
      <c r="D2120" s="3" t="s">
        <v>207</v>
      </c>
      <c r="E2120" s="219">
        <v>8</v>
      </c>
      <c r="F2120" s="166">
        <v>75</v>
      </c>
      <c r="G2120" s="166">
        <v>53</v>
      </c>
      <c r="H2120" s="21">
        <v>121</v>
      </c>
      <c r="I2120" s="21">
        <v>23</v>
      </c>
      <c r="J2120" s="21">
        <v>25</v>
      </c>
      <c r="K2120" s="21">
        <v>10</v>
      </c>
      <c r="L2120" s="21">
        <v>66</v>
      </c>
      <c r="M2120" s="21">
        <v>30</v>
      </c>
      <c r="N2120" s="21">
        <v>76</v>
      </c>
      <c r="O2120" s="19">
        <v>132</v>
      </c>
      <c r="P2120" s="22">
        <v>4</v>
      </c>
      <c r="Q2120" s="22">
        <v>1</v>
      </c>
      <c r="R2120" s="20"/>
      <c r="S2120" s="234">
        <f>COUNTIFS(INP_DATA!$R$5:$R$3027,S$4,INP_DATA!$D$5:$D$3027,$D2120,INP_DATA!$B$5:$B$3027,$B2120)</f>
        <v>0</v>
      </c>
      <c r="T2120" s="235">
        <f>COUNTIFS(INP_DATA!$R$5:$R$3027,T$4,INP_DATA!$D$5:$D$3027,$D2120,INP_DATA!$B$5:$B$3027,$B2120)</f>
        <v>0</v>
      </c>
    </row>
    <row r="2121" spans="1:20" x14ac:dyDescent="0.35">
      <c r="A2121" s="3" t="str">
        <f>IF(D2121="","",(VLOOKUP($D2121,KEY!$B$5:$D$74,3,FALSE)))</f>
        <v>Indiana</v>
      </c>
      <c r="B2121" s="165">
        <f t="shared" si="25"/>
        <v>45962</v>
      </c>
      <c r="C2121" s="57" t="str">
        <f>IF($B2121="","",YEAR($B2121)&amp;"-"&amp;IFERROR(VLOOKUP(MONTH(B2121),KEY!$AE$5:$AF$16,2,FALSE),""))</f>
        <v>2025-Q4</v>
      </c>
      <c r="D2121" s="3" t="s">
        <v>208</v>
      </c>
      <c r="E2121" s="219">
        <v>2</v>
      </c>
      <c r="F2121" s="166">
        <v>108</v>
      </c>
      <c r="G2121" s="166">
        <v>128</v>
      </c>
      <c r="H2121" s="21">
        <v>176</v>
      </c>
      <c r="I2121" s="21">
        <v>36</v>
      </c>
      <c r="J2121" s="21">
        <v>80</v>
      </c>
      <c r="K2121" s="21">
        <v>21</v>
      </c>
      <c r="L2121" s="21">
        <v>151</v>
      </c>
      <c r="M2121" s="21">
        <v>42</v>
      </c>
      <c r="N2121" s="21">
        <v>108</v>
      </c>
      <c r="O2121" s="19">
        <v>242</v>
      </c>
      <c r="P2121" s="22">
        <v>5</v>
      </c>
      <c r="Q2121" s="22">
        <v>2</v>
      </c>
      <c r="R2121" s="20"/>
      <c r="S2121" s="234">
        <f>COUNTIFS(INP_DATA!$R$5:$R$3027,S$4,INP_DATA!$D$5:$D$3027,$D2121,INP_DATA!$B$5:$B$3027,$B2121)</f>
        <v>0</v>
      </c>
      <c r="T2121" s="235">
        <f>COUNTIFS(INP_DATA!$R$5:$R$3027,T$4,INP_DATA!$D$5:$D$3027,$D2121,INP_DATA!$B$5:$B$3027,$B2121)</f>
        <v>0</v>
      </c>
    </row>
    <row r="2122" spans="1:20" x14ac:dyDescent="0.35">
      <c r="A2122" s="3" t="str">
        <f>IF(D2122="","",(VLOOKUP($D2122,KEY!$B$5:$D$74,3,FALSE)))</f>
        <v>Indiana</v>
      </c>
      <c r="B2122" s="165">
        <f t="shared" si="25"/>
        <v>45962</v>
      </c>
      <c r="C2122" s="57" t="str">
        <f>IF($B2122="","",YEAR($B2122)&amp;"-"&amp;IFERROR(VLOOKUP(MONTH(B2122),KEY!$AE$5:$AF$16,2,FALSE),""))</f>
        <v>2025-Q4</v>
      </c>
      <c r="D2122" s="3" t="s">
        <v>209</v>
      </c>
      <c r="E2122" s="219">
        <v>37</v>
      </c>
      <c r="F2122" s="166">
        <v>402</v>
      </c>
      <c r="G2122" s="166">
        <v>418</v>
      </c>
      <c r="H2122" s="21">
        <v>594</v>
      </c>
      <c r="I2122" s="21">
        <v>106</v>
      </c>
      <c r="J2122" s="21">
        <v>255</v>
      </c>
      <c r="K2122" s="21">
        <v>71</v>
      </c>
      <c r="L2122" s="21">
        <v>376</v>
      </c>
      <c r="M2122" s="21">
        <v>186</v>
      </c>
      <c r="N2122" s="21">
        <v>406</v>
      </c>
      <c r="O2122" s="19">
        <v>572</v>
      </c>
      <c r="P2122" s="22">
        <v>84</v>
      </c>
      <c r="Q2122" s="22">
        <v>51</v>
      </c>
      <c r="R2122" s="20"/>
      <c r="S2122" s="234">
        <f>COUNTIFS(INP_DATA!$R$5:$R$3027,S$4,INP_DATA!$D$5:$D$3027,$D2122,INP_DATA!$B$5:$B$3027,$B2122)</f>
        <v>0</v>
      </c>
      <c r="T2122" s="235">
        <f>COUNTIFS(INP_DATA!$R$5:$R$3027,T$4,INP_DATA!$D$5:$D$3027,$D2122,INP_DATA!$B$5:$B$3027,$B2122)</f>
        <v>0</v>
      </c>
    </row>
    <row r="2123" spans="1:20" x14ac:dyDescent="0.35">
      <c r="A2123" s="3" t="str">
        <f>IF(D2123="","",(VLOOKUP($D2123,KEY!$B$5:$D$74,3,FALSE)))</f>
        <v>Northern California</v>
      </c>
      <c r="B2123" s="165">
        <f t="shared" si="25"/>
        <v>45962</v>
      </c>
      <c r="C2123" s="57" t="str">
        <f>IF($B2123="","",YEAR($B2123)&amp;"-"&amp;IFERROR(VLOOKUP(MONTH(B2123),KEY!$AE$5:$AF$16,2,FALSE),""))</f>
        <v>2025-Q4</v>
      </c>
      <c r="D2123" s="3" t="s">
        <v>152</v>
      </c>
      <c r="E2123" s="219">
        <v>48</v>
      </c>
      <c r="F2123" s="166">
        <v>191</v>
      </c>
      <c r="G2123" s="166">
        <v>233</v>
      </c>
      <c r="H2123" s="21">
        <v>360</v>
      </c>
      <c r="I2123" s="21">
        <v>67</v>
      </c>
      <c r="J2123" s="21">
        <v>149</v>
      </c>
      <c r="K2123" s="21">
        <v>39</v>
      </c>
      <c r="L2123" s="21">
        <v>358</v>
      </c>
      <c r="M2123" s="21">
        <v>151</v>
      </c>
      <c r="N2123" s="21">
        <v>190</v>
      </c>
      <c r="O2123" s="19">
        <v>286</v>
      </c>
      <c r="P2123" s="22">
        <v>61</v>
      </c>
      <c r="Q2123" s="22">
        <v>43</v>
      </c>
      <c r="R2123" s="20"/>
      <c r="S2123" s="234">
        <f>COUNTIFS(INP_DATA!$R$5:$R$3027,S$4,INP_DATA!$D$5:$D$3027,$D2123,INP_DATA!$B$5:$B$3027,$B2123)</f>
        <v>0</v>
      </c>
      <c r="T2123" s="235">
        <f>COUNTIFS(INP_DATA!$R$5:$R$3027,T$4,INP_DATA!$D$5:$D$3027,$D2123,INP_DATA!$B$5:$B$3027,$B2123)</f>
        <v>0</v>
      </c>
    </row>
    <row r="2124" spans="1:20" x14ac:dyDescent="0.35">
      <c r="A2124" s="3" t="str">
        <f>IF(D2124="","",(VLOOKUP($D2124,KEY!$B$5:$D$74,3,FALSE)))</f>
        <v>Arizona</v>
      </c>
      <c r="B2124" s="165">
        <f t="shared" si="25"/>
        <v>45962</v>
      </c>
      <c r="C2124" s="57" t="str">
        <f>IF($B2124="","",YEAR($B2124)&amp;"-"&amp;IFERROR(VLOOKUP(MONTH(B2124),KEY!$AE$5:$AF$16,2,FALSE),""))</f>
        <v>2025-Q4</v>
      </c>
      <c r="D2124" s="3" t="s">
        <v>153</v>
      </c>
      <c r="E2124" s="219">
        <v>30</v>
      </c>
      <c r="F2124" s="166">
        <v>71</v>
      </c>
      <c r="G2124" s="166">
        <v>126</v>
      </c>
      <c r="H2124" s="21">
        <v>129</v>
      </c>
      <c r="I2124" s="21">
        <v>10</v>
      </c>
      <c r="J2124" s="21">
        <v>58</v>
      </c>
      <c r="K2124" s="21">
        <v>5</v>
      </c>
      <c r="L2124" s="21">
        <v>328</v>
      </c>
      <c r="M2124" s="21">
        <v>55</v>
      </c>
      <c r="N2124" s="21">
        <v>71</v>
      </c>
      <c r="O2124" s="19">
        <v>286</v>
      </c>
      <c r="P2124" s="22">
        <v>5</v>
      </c>
      <c r="Q2124" s="22">
        <v>3</v>
      </c>
      <c r="R2124" s="20"/>
      <c r="S2124" s="234">
        <f>COUNTIFS(INP_DATA!$R$5:$R$3027,S$4,INP_DATA!$D$5:$D$3027,$D2124,INP_DATA!$B$5:$B$3027,$B2124)</f>
        <v>0</v>
      </c>
      <c r="T2124" s="235">
        <f>COUNTIFS(INP_DATA!$R$5:$R$3027,T$4,INP_DATA!$D$5:$D$3027,$D2124,INP_DATA!$B$5:$B$3027,$B2124)</f>
        <v>0</v>
      </c>
    </row>
    <row r="2125" spans="1:20" x14ac:dyDescent="0.35">
      <c r="A2125" s="3" t="str">
        <f>IF(D2125="","",(VLOOKUP($D2125,KEY!$B$5:$D$74,3,FALSE)))</f>
        <v>Northern California</v>
      </c>
      <c r="B2125" s="165">
        <f t="shared" si="25"/>
        <v>45962</v>
      </c>
      <c r="C2125" s="57" t="str">
        <f>IF($B2125="","",YEAR($B2125)&amp;"-"&amp;IFERROR(VLOOKUP(MONTH(B2125),KEY!$AE$5:$AF$16,2,FALSE),""))</f>
        <v>2025-Q4</v>
      </c>
      <c r="D2125" s="3" t="s">
        <v>154</v>
      </c>
      <c r="E2125" s="219">
        <v>19</v>
      </c>
      <c r="F2125" s="166">
        <v>93</v>
      </c>
      <c r="G2125" s="166">
        <v>64</v>
      </c>
      <c r="H2125" s="21">
        <v>300</v>
      </c>
      <c r="I2125" s="21">
        <v>39</v>
      </c>
      <c r="J2125" s="21">
        <v>165</v>
      </c>
      <c r="K2125" s="21">
        <v>22</v>
      </c>
      <c r="L2125" s="21">
        <v>269</v>
      </c>
      <c r="M2125" s="21">
        <v>48</v>
      </c>
      <c r="N2125" s="21">
        <v>93</v>
      </c>
      <c r="O2125" s="19">
        <v>198</v>
      </c>
      <c r="P2125" s="22">
        <v>4</v>
      </c>
      <c r="Q2125" s="22">
        <v>3</v>
      </c>
      <c r="R2125" s="20"/>
      <c r="S2125" s="234">
        <f>COUNTIFS(INP_DATA!$R$5:$R$3027,S$4,INP_DATA!$D$5:$D$3027,$D2125,INP_DATA!$B$5:$B$3027,$B2125)</f>
        <v>0</v>
      </c>
      <c r="T2125" s="235">
        <f>COUNTIFS(INP_DATA!$R$5:$R$3027,T$4,INP_DATA!$D$5:$D$3027,$D2125,INP_DATA!$B$5:$B$3027,$B2125)</f>
        <v>0</v>
      </c>
    </row>
    <row r="2126" spans="1:20" x14ac:dyDescent="0.35">
      <c r="A2126" s="3" t="str">
        <f>IF(D2126="","",(VLOOKUP($D2126,KEY!$B$5:$D$74,3,FALSE)))</f>
        <v>Texas</v>
      </c>
      <c r="B2126" s="165">
        <f t="shared" si="25"/>
        <v>45962</v>
      </c>
      <c r="C2126" s="57" t="str">
        <f>IF($B2126="","",YEAR($B2126)&amp;"-"&amp;IFERROR(VLOOKUP(MONTH(B2126),KEY!$AE$5:$AF$16,2,FALSE),""))</f>
        <v>2025-Q4</v>
      </c>
      <c r="D2126" s="3" t="s">
        <v>155</v>
      </c>
      <c r="E2126" s="219">
        <v>42</v>
      </c>
      <c r="F2126" s="166">
        <v>267</v>
      </c>
      <c r="G2126" s="166">
        <v>292</v>
      </c>
      <c r="H2126" s="21">
        <v>743</v>
      </c>
      <c r="I2126" s="21">
        <v>82</v>
      </c>
      <c r="J2126" s="21">
        <v>235</v>
      </c>
      <c r="K2126" s="21">
        <v>44</v>
      </c>
      <c r="L2126" s="21">
        <v>463</v>
      </c>
      <c r="M2126" s="21">
        <v>152</v>
      </c>
      <c r="N2126" s="21">
        <v>268</v>
      </c>
      <c r="O2126" s="19">
        <v>528</v>
      </c>
      <c r="P2126" s="22">
        <v>22</v>
      </c>
      <c r="Q2126" s="22">
        <v>16</v>
      </c>
      <c r="R2126" s="20"/>
      <c r="S2126" s="234">
        <f>COUNTIFS(INP_DATA!$R$5:$R$3027,S$4,INP_DATA!$D$5:$D$3027,$D2126,INP_DATA!$B$5:$B$3027,$B2126)</f>
        <v>0</v>
      </c>
      <c r="T2126" s="235">
        <f>COUNTIFS(INP_DATA!$R$5:$R$3027,T$4,INP_DATA!$D$5:$D$3027,$D2126,INP_DATA!$B$5:$B$3027,$B2126)</f>
        <v>0</v>
      </c>
    </row>
    <row r="2127" spans="1:20" x14ac:dyDescent="0.35">
      <c r="A2127" s="3" t="str">
        <f>IF(D2127="","",(VLOOKUP($D2127,KEY!$B$5:$D$74,3,FALSE)))</f>
        <v>Texas</v>
      </c>
      <c r="B2127" s="165">
        <f t="shared" si="25"/>
        <v>45962</v>
      </c>
      <c r="C2127" s="57" t="str">
        <f>IF($B2127="","",YEAR($B2127)&amp;"-"&amp;IFERROR(VLOOKUP(MONTH(B2127),KEY!$AE$5:$AF$16,2,FALSE),""))</f>
        <v>2025-Q4</v>
      </c>
      <c r="D2127" s="3" t="s">
        <v>156</v>
      </c>
      <c r="E2127" s="219">
        <v>21</v>
      </c>
      <c r="F2127" s="166">
        <v>184</v>
      </c>
      <c r="G2127" s="166">
        <v>225</v>
      </c>
      <c r="H2127" s="21">
        <v>339</v>
      </c>
      <c r="I2127" s="21">
        <v>50</v>
      </c>
      <c r="J2127" s="21">
        <v>167</v>
      </c>
      <c r="K2127" s="21">
        <v>42</v>
      </c>
      <c r="L2127" s="21">
        <v>253</v>
      </c>
      <c r="M2127" s="21">
        <v>101</v>
      </c>
      <c r="N2127" s="21">
        <v>184</v>
      </c>
      <c r="O2127" s="19">
        <v>242</v>
      </c>
      <c r="P2127" s="22">
        <v>11</v>
      </c>
      <c r="Q2127" s="22">
        <v>6</v>
      </c>
      <c r="R2127" s="20"/>
      <c r="S2127" s="234">
        <f>COUNTIFS(INP_DATA!$R$5:$R$3027,S$4,INP_DATA!$D$5:$D$3027,$D2127,INP_DATA!$B$5:$B$3027,$B2127)</f>
        <v>0</v>
      </c>
      <c r="T2127" s="235">
        <f>COUNTIFS(INP_DATA!$R$5:$R$3027,T$4,INP_DATA!$D$5:$D$3027,$D2127,INP_DATA!$B$5:$B$3027,$B2127)</f>
        <v>0</v>
      </c>
    </row>
    <row r="2128" spans="1:20" x14ac:dyDescent="0.35">
      <c r="A2128" s="3" t="str">
        <f>IF(D2128="","",(VLOOKUP($D2128,KEY!$B$5:$D$74,3,FALSE)))</f>
        <v>Texas</v>
      </c>
      <c r="B2128" s="165">
        <f t="shared" si="25"/>
        <v>45962</v>
      </c>
      <c r="C2128" s="57" t="str">
        <f>IF($B2128="","",YEAR($B2128)&amp;"-"&amp;IFERROR(VLOOKUP(MONTH(B2128),KEY!$AE$5:$AF$16,2,FALSE),""))</f>
        <v>2025-Q4</v>
      </c>
      <c r="D2128" s="3" t="s">
        <v>157</v>
      </c>
      <c r="E2128" s="219">
        <v>32</v>
      </c>
      <c r="F2128" s="166">
        <v>530</v>
      </c>
      <c r="G2128" s="166">
        <v>472</v>
      </c>
      <c r="H2128" s="21">
        <v>930</v>
      </c>
      <c r="I2128" s="21">
        <v>92</v>
      </c>
      <c r="J2128" s="21">
        <v>420</v>
      </c>
      <c r="K2128" s="21">
        <v>83</v>
      </c>
      <c r="L2128" s="21">
        <v>984</v>
      </c>
      <c r="M2128" s="21">
        <v>223</v>
      </c>
      <c r="N2128" s="21">
        <v>552</v>
      </c>
      <c r="O2128" s="19">
        <v>924</v>
      </c>
      <c r="P2128" s="22">
        <v>2</v>
      </c>
      <c r="Q2128" s="22">
        <v>0</v>
      </c>
      <c r="R2128" s="20"/>
      <c r="S2128" s="234">
        <f>COUNTIFS(INP_DATA!$R$5:$R$3027,S$4,INP_DATA!$D$5:$D$3027,$D2128,INP_DATA!$B$5:$B$3027,$B2128)</f>
        <v>0</v>
      </c>
      <c r="T2128" s="235">
        <f>COUNTIFS(INP_DATA!$R$5:$R$3027,T$4,INP_DATA!$D$5:$D$3027,$D2128,INP_DATA!$B$5:$B$3027,$B2128)</f>
        <v>0</v>
      </c>
    </row>
    <row r="2129" spans="1:20" x14ac:dyDescent="0.35">
      <c r="A2129" s="3" t="str">
        <f>IF(D2129="","",(VLOOKUP($D2129,KEY!$B$5:$D$74,3,FALSE)))</f>
        <v>Arizona</v>
      </c>
      <c r="B2129" s="165">
        <f t="shared" si="25"/>
        <v>45962</v>
      </c>
      <c r="C2129" s="57" t="str">
        <f>IF($B2129="","",YEAR($B2129)&amp;"-"&amp;IFERROR(VLOOKUP(MONTH(B2129),KEY!$AE$5:$AF$16,2,FALSE),""))</f>
        <v>2025-Q4</v>
      </c>
      <c r="D2129" s="3" t="s">
        <v>158</v>
      </c>
      <c r="E2129" s="219">
        <v>1</v>
      </c>
      <c r="F2129" s="166">
        <v>16</v>
      </c>
      <c r="G2129" s="166">
        <v>32</v>
      </c>
      <c r="H2129" s="21">
        <v>71</v>
      </c>
      <c r="I2129" s="21">
        <v>4</v>
      </c>
      <c r="J2129" s="21">
        <v>31</v>
      </c>
      <c r="K2129" s="21">
        <v>3</v>
      </c>
      <c r="L2129" s="21">
        <v>77</v>
      </c>
      <c r="M2129" s="21">
        <v>6</v>
      </c>
      <c r="N2129" s="21">
        <v>16</v>
      </c>
      <c r="O2129" s="19">
        <v>72</v>
      </c>
      <c r="P2129" s="22">
        <v>2</v>
      </c>
      <c r="Q2129" s="22">
        <v>0</v>
      </c>
      <c r="R2129" s="20"/>
      <c r="S2129" s="234">
        <f>COUNTIFS(INP_DATA!$R$5:$R$3027,S$4,INP_DATA!$D$5:$D$3027,$D2129,INP_DATA!$B$5:$B$3027,$B2129)</f>
        <v>0</v>
      </c>
      <c r="T2129" s="235">
        <f>COUNTIFS(INP_DATA!$R$5:$R$3027,T$4,INP_DATA!$D$5:$D$3027,$D2129,INP_DATA!$B$5:$B$3027,$B2129)</f>
        <v>0</v>
      </c>
    </row>
    <row r="2130" spans="1:20" x14ac:dyDescent="0.35">
      <c r="A2130" s="3" t="str">
        <f>IF(D2130="","",(VLOOKUP($D2130,KEY!$B$5:$D$74,3,FALSE)))</f>
        <v>Orange County</v>
      </c>
      <c r="B2130" s="165">
        <f t="shared" si="25"/>
        <v>45962</v>
      </c>
      <c r="C2130" s="57" t="str">
        <f>IF($B2130="","",YEAR($B2130)&amp;"-"&amp;IFERROR(VLOOKUP(MONTH(B2130),KEY!$AE$5:$AF$16,2,FALSE),""))</f>
        <v>2025-Q4</v>
      </c>
      <c r="D2130" s="3" t="s">
        <v>159</v>
      </c>
      <c r="E2130" s="219">
        <v>21</v>
      </c>
      <c r="F2130" s="166">
        <v>84</v>
      </c>
      <c r="G2130" s="166">
        <v>159</v>
      </c>
      <c r="H2130" s="21">
        <v>217</v>
      </c>
      <c r="I2130" s="21">
        <v>32</v>
      </c>
      <c r="J2130" s="21">
        <v>66</v>
      </c>
      <c r="K2130" s="21">
        <v>19</v>
      </c>
      <c r="L2130" s="21">
        <v>189</v>
      </c>
      <c r="M2130" s="21">
        <v>64</v>
      </c>
      <c r="N2130" s="21">
        <v>86</v>
      </c>
      <c r="O2130" s="19">
        <v>154</v>
      </c>
      <c r="P2130" s="22">
        <v>12</v>
      </c>
      <c r="Q2130" s="22">
        <v>9</v>
      </c>
      <c r="R2130" s="20"/>
      <c r="S2130" s="234">
        <f>COUNTIFS(INP_DATA!$R$5:$R$3027,S$4,INP_DATA!$D$5:$D$3027,$D2130,INP_DATA!$B$5:$B$3027,$B2130)</f>
        <v>0</v>
      </c>
      <c r="T2130" s="235">
        <f>COUNTIFS(INP_DATA!$R$5:$R$3027,T$4,INP_DATA!$D$5:$D$3027,$D2130,INP_DATA!$B$5:$B$3027,$B2130)</f>
        <v>0</v>
      </c>
    </row>
    <row r="2131" spans="1:20" x14ac:dyDescent="0.35">
      <c r="A2131" s="3" t="str">
        <f>IF(D2131="","",(VLOOKUP($D2131,KEY!$B$5:$D$74,3,FALSE)))</f>
        <v>Arizona</v>
      </c>
      <c r="B2131" s="165">
        <f t="shared" si="25"/>
        <v>45962</v>
      </c>
      <c r="C2131" s="57" t="str">
        <f>IF($B2131="","",YEAR($B2131)&amp;"-"&amp;IFERROR(VLOOKUP(MONTH(B2131),KEY!$AE$5:$AF$16,2,FALSE),""))</f>
        <v>2025-Q4</v>
      </c>
      <c r="D2131" s="3" t="s">
        <v>160</v>
      </c>
      <c r="E2131" s="219">
        <v>55</v>
      </c>
      <c r="F2131" s="166">
        <v>323</v>
      </c>
      <c r="G2131" s="166">
        <v>344</v>
      </c>
      <c r="H2131" s="21">
        <v>548</v>
      </c>
      <c r="I2131" s="21">
        <v>111</v>
      </c>
      <c r="J2131" s="21">
        <v>152</v>
      </c>
      <c r="K2131" s="21">
        <v>36</v>
      </c>
      <c r="L2131" s="21">
        <v>461</v>
      </c>
      <c r="M2131" s="21">
        <v>201</v>
      </c>
      <c r="N2131" s="21">
        <v>326</v>
      </c>
      <c r="O2131" s="19">
        <v>462</v>
      </c>
      <c r="P2131" s="22">
        <v>22</v>
      </c>
      <c r="Q2131" s="22">
        <v>16</v>
      </c>
      <c r="R2131" s="20"/>
      <c r="S2131" s="234">
        <f>COUNTIFS(INP_DATA!$R$5:$R$3027,S$4,INP_DATA!$D$5:$D$3027,$D2131,INP_DATA!$B$5:$B$3027,$B2131)</f>
        <v>0</v>
      </c>
      <c r="T2131" s="235">
        <f>COUNTIFS(INP_DATA!$R$5:$R$3027,T$4,INP_DATA!$D$5:$D$3027,$D2131,INP_DATA!$B$5:$B$3027,$B2131)</f>
        <v>0</v>
      </c>
    </row>
    <row r="2132" spans="1:20" x14ac:dyDescent="0.35">
      <c r="A2132" s="3" t="str">
        <f>IF(D2132="","",(VLOOKUP($D2132,KEY!$B$5:$D$74,3,FALSE)))</f>
        <v>Northern California</v>
      </c>
      <c r="B2132" s="165">
        <f t="shared" si="25"/>
        <v>45962</v>
      </c>
      <c r="C2132" s="57" t="str">
        <f>IF($B2132="","",YEAR($B2132)&amp;"-"&amp;IFERROR(VLOOKUP(MONTH(B2132),KEY!$AE$5:$AF$16,2,FALSE),""))</f>
        <v>2025-Q4</v>
      </c>
      <c r="D2132" s="3" t="s">
        <v>161</v>
      </c>
      <c r="E2132" s="219">
        <v>22</v>
      </c>
      <c r="F2132" s="166">
        <v>263</v>
      </c>
      <c r="G2132" s="166">
        <v>295</v>
      </c>
      <c r="H2132" s="21">
        <v>389</v>
      </c>
      <c r="I2132" s="21">
        <v>61</v>
      </c>
      <c r="J2132" s="21">
        <v>212</v>
      </c>
      <c r="K2132" s="21">
        <v>43</v>
      </c>
      <c r="L2132" s="21">
        <v>315</v>
      </c>
      <c r="M2132" s="21">
        <v>97</v>
      </c>
      <c r="N2132" s="21">
        <v>269</v>
      </c>
      <c r="O2132" s="19">
        <v>462</v>
      </c>
      <c r="P2132" s="22">
        <v>3</v>
      </c>
      <c r="Q2132" s="22">
        <v>2</v>
      </c>
      <c r="R2132" s="20"/>
      <c r="S2132" s="234">
        <f>COUNTIFS(INP_DATA!$R$5:$R$3027,S$4,INP_DATA!$D$5:$D$3027,$D2132,INP_DATA!$B$5:$B$3027,$B2132)</f>
        <v>0</v>
      </c>
      <c r="T2132" s="235">
        <f>COUNTIFS(INP_DATA!$R$5:$R$3027,T$4,INP_DATA!$D$5:$D$3027,$D2132,INP_DATA!$B$5:$B$3027,$B2132)</f>
        <v>0</v>
      </c>
    </row>
    <row r="2133" spans="1:20" x14ac:dyDescent="0.35">
      <c r="A2133" s="3" t="str">
        <f>IF(D2133="","",(VLOOKUP($D2133,KEY!$B$5:$D$74,3,FALSE)))</f>
        <v>Arizona</v>
      </c>
      <c r="B2133" s="165">
        <f t="shared" si="25"/>
        <v>45962</v>
      </c>
      <c r="C2133" s="57" t="str">
        <f>IF($B2133="","",YEAR($B2133)&amp;"-"&amp;IFERROR(VLOOKUP(MONTH(B2133),KEY!$AE$5:$AF$16,2,FALSE),""))</f>
        <v>2025-Q4</v>
      </c>
      <c r="D2133" s="3" t="s">
        <v>163</v>
      </c>
      <c r="E2133" s="219">
        <v>50</v>
      </c>
      <c r="F2133" s="166">
        <v>283</v>
      </c>
      <c r="G2133" s="166">
        <v>246</v>
      </c>
      <c r="H2133" s="21">
        <v>332</v>
      </c>
      <c r="I2133" s="21">
        <v>55</v>
      </c>
      <c r="J2133" s="21">
        <v>102</v>
      </c>
      <c r="K2133" s="21">
        <v>33</v>
      </c>
      <c r="L2133" s="21">
        <v>311</v>
      </c>
      <c r="M2133" s="21">
        <v>153</v>
      </c>
      <c r="N2133" s="21">
        <v>284</v>
      </c>
      <c r="O2133" s="19">
        <v>440</v>
      </c>
      <c r="P2133" s="22">
        <v>4</v>
      </c>
      <c r="Q2133" s="22">
        <v>1</v>
      </c>
      <c r="R2133" s="20"/>
      <c r="S2133" s="234">
        <f>COUNTIFS(INP_DATA!$R$5:$R$3027,S$4,INP_DATA!$D$5:$D$3027,$D2133,INP_DATA!$B$5:$B$3027,$B2133)</f>
        <v>0</v>
      </c>
      <c r="T2133" s="235">
        <f>COUNTIFS(INP_DATA!$R$5:$R$3027,T$4,INP_DATA!$D$5:$D$3027,$D2133,INP_DATA!$B$5:$B$3027,$B2133)</f>
        <v>0</v>
      </c>
    </row>
    <row r="2134" spans="1:20" x14ac:dyDescent="0.35">
      <c r="A2134" s="3" t="str">
        <f>IF(D2134="","",(VLOOKUP($D2134,KEY!$B$5:$D$74,3,FALSE)))</f>
        <v>Arizona</v>
      </c>
      <c r="B2134" s="165">
        <f t="shared" si="25"/>
        <v>45962</v>
      </c>
      <c r="C2134" s="57" t="str">
        <f>IF($B2134="","",YEAR($B2134)&amp;"-"&amp;IFERROR(VLOOKUP(MONTH(B2134),KEY!$AE$5:$AF$16,2,FALSE),""))</f>
        <v>2025-Q4</v>
      </c>
      <c r="D2134" s="3" t="s">
        <v>164</v>
      </c>
      <c r="E2134" s="219">
        <v>11</v>
      </c>
      <c r="F2134" s="166">
        <v>53</v>
      </c>
      <c r="G2134" s="166">
        <v>57</v>
      </c>
      <c r="H2134" s="21">
        <v>127</v>
      </c>
      <c r="I2134" s="21">
        <v>22</v>
      </c>
      <c r="J2134" s="21">
        <v>28</v>
      </c>
      <c r="K2134" s="21">
        <v>7</v>
      </c>
      <c r="L2134" s="21">
        <v>92</v>
      </c>
      <c r="M2134" s="21">
        <v>55</v>
      </c>
      <c r="N2134" s="21">
        <v>53</v>
      </c>
      <c r="O2134" s="19">
        <v>132</v>
      </c>
      <c r="P2134" s="22">
        <v>5</v>
      </c>
      <c r="Q2134" s="22">
        <v>4</v>
      </c>
      <c r="R2134" s="20"/>
      <c r="S2134" s="234">
        <f>COUNTIFS(INP_DATA!$R$5:$R$3027,S$4,INP_DATA!$D$5:$D$3027,$D2134,INP_DATA!$B$5:$B$3027,$B2134)</f>
        <v>0</v>
      </c>
      <c r="T2134" s="235">
        <f>COUNTIFS(INP_DATA!$R$5:$R$3027,T$4,INP_DATA!$D$5:$D$3027,$D2134,INP_DATA!$B$5:$B$3027,$B2134)</f>
        <v>0</v>
      </c>
    </row>
    <row r="2135" spans="1:20" x14ac:dyDescent="0.35">
      <c r="A2135" s="3" t="str">
        <f>IF(D2135="","",(VLOOKUP($D2135,KEY!$B$5:$D$74,3,FALSE)))</f>
        <v>Orange County</v>
      </c>
      <c r="B2135" s="165">
        <f t="shared" si="25"/>
        <v>45962</v>
      </c>
      <c r="C2135" s="57" t="str">
        <f>IF($B2135="","",YEAR($B2135)&amp;"-"&amp;IFERROR(VLOOKUP(MONTH(B2135),KEY!$AE$5:$AF$16,2,FALSE),""))</f>
        <v>2025-Q4</v>
      </c>
      <c r="D2135" s="3" t="s">
        <v>165</v>
      </c>
      <c r="E2135" s="219">
        <v>7</v>
      </c>
      <c r="F2135" s="166">
        <v>57</v>
      </c>
      <c r="G2135" s="166">
        <v>63</v>
      </c>
      <c r="H2135" s="21">
        <v>219</v>
      </c>
      <c r="I2135" s="21">
        <v>24</v>
      </c>
      <c r="J2135" s="21">
        <v>32</v>
      </c>
      <c r="K2135" s="21">
        <v>10</v>
      </c>
      <c r="L2135" s="21">
        <v>72</v>
      </c>
      <c r="M2135" s="21">
        <v>43</v>
      </c>
      <c r="N2135" s="21">
        <v>57</v>
      </c>
      <c r="O2135" s="19">
        <v>132</v>
      </c>
      <c r="P2135" s="22">
        <v>34</v>
      </c>
      <c r="Q2135" s="22">
        <v>15</v>
      </c>
      <c r="R2135" s="20"/>
      <c r="S2135" s="234">
        <f>COUNTIFS(INP_DATA!$R$5:$R$3027,S$4,INP_DATA!$D$5:$D$3027,$D2135,INP_DATA!$B$5:$B$3027,$B2135)</f>
        <v>0</v>
      </c>
      <c r="T2135" s="235">
        <f>COUNTIFS(INP_DATA!$R$5:$R$3027,T$4,INP_DATA!$D$5:$D$3027,$D2135,INP_DATA!$B$5:$B$3027,$B2135)</f>
        <v>0</v>
      </c>
    </row>
    <row r="2136" spans="1:20" x14ac:dyDescent="0.35">
      <c r="A2136" s="3" t="str">
        <f>IF(D2136="","",(VLOOKUP($D2136,KEY!$B$5:$D$74,3,FALSE)))</f>
        <v/>
      </c>
      <c r="B2136" s="165">
        <f t="shared" si="25"/>
        <v>45962</v>
      </c>
      <c r="C2136" s="57" t="str">
        <f>IF($B2136="","",YEAR($B2136)&amp;"-"&amp;IFERROR(VLOOKUP(MONTH(B2136),KEY!$AE$5:$AF$16,2,FALSE),""))</f>
        <v>2025-Q4</v>
      </c>
      <c r="D2136" s="3"/>
      <c r="E2136" s="219" t="s">
        <v>211</v>
      </c>
      <c r="F2136" s="166" t="s">
        <v>211</v>
      </c>
      <c r="G2136" s="166" t="s">
        <v>211</v>
      </c>
      <c r="H2136" s="21" t="s">
        <v>211</v>
      </c>
      <c r="I2136" s="21" t="s">
        <v>211</v>
      </c>
      <c r="J2136" s="21" t="s">
        <v>211</v>
      </c>
      <c r="K2136" s="21" t="s">
        <v>211</v>
      </c>
      <c r="L2136" s="21" t="s">
        <v>211</v>
      </c>
      <c r="M2136" s="21" t="s">
        <v>211</v>
      </c>
      <c r="N2136" s="21" t="s">
        <v>211</v>
      </c>
      <c r="O2136" s="19" t="s">
        <v>211</v>
      </c>
      <c r="P2136" s="22" t="s">
        <v>211</v>
      </c>
      <c r="Q2136" s="22" t="s">
        <v>211</v>
      </c>
      <c r="R2136" s="20"/>
      <c r="S2136" s="234">
        <f>COUNTIFS(INP_DATA!$R$5:$R$3027,S$4,INP_DATA!$D$5:$D$3027,$D2136,INP_DATA!$B$5:$B$3027,$B2136)</f>
        <v>0</v>
      </c>
      <c r="T2136" s="235">
        <f>COUNTIFS(INP_DATA!$R$5:$R$3027,T$4,INP_DATA!$D$5:$D$3027,$D2136,INP_DATA!$B$5:$B$3027,$B2136)</f>
        <v>0</v>
      </c>
    </row>
    <row r="2137" spans="1:20" x14ac:dyDescent="0.35">
      <c r="A2137" s="3" t="str">
        <f>IF(D2137="","",(VLOOKUP($D2137,KEY!$B$5:$D$74,3,FALSE)))</f>
        <v/>
      </c>
      <c r="B2137" s="165">
        <f t="shared" si="25"/>
        <v>45962</v>
      </c>
      <c r="C2137" s="57" t="str">
        <f>IF($B2137="","",YEAR($B2137)&amp;"-"&amp;IFERROR(VLOOKUP(MONTH(B2137),KEY!$AE$5:$AF$16,2,FALSE),""))</f>
        <v>2025-Q4</v>
      </c>
      <c r="D2137" s="3"/>
      <c r="E2137" s="219" t="s">
        <v>211</v>
      </c>
      <c r="F2137" s="166" t="s">
        <v>211</v>
      </c>
      <c r="G2137" s="166" t="s">
        <v>211</v>
      </c>
      <c r="H2137" s="21" t="s">
        <v>211</v>
      </c>
      <c r="I2137" s="21" t="s">
        <v>211</v>
      </c>
      <c r="J2137" s="21" t="s">
        <v>211</v>
      </c>
      <c r="K2137" s="21" t="s">
        <v>211</v>
      </c>
      <c r="L2137" s="21" t="s">
        <v>211</v>
      </c>
      <c r="M2137" s="21" t="s">
        <v>211</v>
      </c>
      <c r="N2137" s="21" t="s">
        <v>211</v>
      </c>
      <c r="O2137" s="19" t="s">
        <v>211</v>
      </c>
      <c r="P2137" s="22" t="s">
        <v>211</v>
      </c>
      <c r="Q2137" s="22" t="s">
        <v>211</v>
      </c>
      <c r="R2137" s="20"/>
      <c r="S2137" s="234">
        <f>COUNTIFS(INP_DATA!$R$5:$R$3027,S$4,INP_DATA!$D$5:$D$3027,$D2137,INP_DATA!$B$5:$B$3027,$B2137)</f>
        <v>0</v>
      </c>
      <c r="T2137" s="235">
        <f>COUNTIFS(INP_DATA!$R$5:$R$3027,T$4,INP_DATA!$D$5:$D$3027,$D2137,INP_DATA!$B$5:$B$3027,$B2137)</f>
        <v>0</v>
      </c>
    </row>
    <row r="2138" spans="1:20" x14ac:dyDescent="0.35">
      <c r="A2138" s="3" t="str">
        <f>IF(D2138="","",(VLOOKUP($D2138,KEY!$B$5:$D$74,3,FALSE)))</f>
        <v/>
      </c>
      <c r="B2138" s="165">
        <f t="shared" ref="B2138:B2142" si="26">B2137</f>
        <v>45962</v>
      </c>
      <c r="C2138" s="57" t="str">
        <f>IF($B2138="","",YEAR($B2138)&amp;"-"&amp;IFERROR(VLOOKUP(MONTH(B2138),KEY!$AE$5:$AF$16,2,FALSE),""))</f>
        <v>2025-Q4</v>
      </c>
      <c r="D2138" s="3"/>
      <c r="E2138" s="219" t="s">
        <v>211</v>
      </c>
      <c r="F2138" s="166" t="s">
        <v>211</v>
      </c>
      <c r="G2138" s="166" t="s">
        <v>211</v>
      </c>
      <c r="H2138" s="21" t="s">
        <v>211</v>
      </c>
      <c r="I2138" s="21" t="s">
        <v>211</v>
      </c>
      <c r="J2138" s="21" t="s">
        <v>211</v>
      </c>
      <c r="K2138" s="21" t="s">
        <v>211</v>
      </c>
      <c r="L2138" s="21" t="s">
        <v>211</v>
      </c>
      <c r="M2138" s="21" t="s">
        <v>211</v>
      </c>
      <c r="N2138" s="21" t="s">
        <v>211</v>
      </c>
      <c r="O2138" s="19" t="s">
        <v>211</v>
      </c>
      <c r="P2138" s="22" t="s">
        <v>211</v>
      </c>
      <c r="Q2138" s="22" t="s">
        <v>211</v>
      </c>
      <c r="R2138" s="20"/>
      <c r="S2138" s="234">
        <f>COUNTIFS(INP_DATA!$R$5:$R$3027,S$4,INP_DATA!$D$5:$D$3027,$D2138,INP_DATA!$B$5:$B$3027,$B2138)</f>
        <v>0</v>
      </c>
      <c r="T2138" s="235">
        <f>COUNTIFS(INP_DATA!$R$5:$R$3027,T$4,INP_DATA!$D$5:$D$3027,$D2138,INP_DATA!$B$5:$B$3027,$B2138)</f>
        <v>0</v>
      </c>
    </row>
    <row r="2139" spans="1:20" x14ac:dyDescent="0.35">
      <c r="A2139" s="3" t="str">
        <f>IF(D2139="","",(VLOOKUP($D2139,KEY!$B$5:$D$74,3,FALSE)))</f>
        <v/>
      </c>
      <c r="B2139" s="165">
        <f t="shared" si="26"/>
        <v>45962</v>
      </c>
      <c r="C2139" s="57" t="str">
        <f>IF($B2139="","",YEAR($B2139)&amp;"-"&amp;IFERROR(VLOOKUP(MONTH(B2139),KEY!$AE$5:$AF$16,2,FALSE),""))</f>
        <v>2025-Q4</v>
      </c>
      <c r="D2139" s="3"/>
      <c r="E2139" s="219"/>
      <c r="F2139" s="166"/>
      <c r="G2139" s="166"/>
      <c r="H2139" s="21"/>
      <c r="I2139" s="21"/>
      <c r="J2139" s="21"/>
      <c r="K2139" s="21"/>
      <c r="L2139" s="21"/>
      <c r="M2139" s="21"/>
      <c r="N2139" s="21"/>
      <c r="O2139" s="19"/>
      <c r="P2139" s="22"/>
      <c r="Q2139" s="22"/>
      <c r="R2139" s="20"/>
      <c r="S2139" s="234">
        <f>COUNTIFS(INP_DATA!$R$5:$R$3027,S$4,INP_DATA!$D$5:$D$3027,$D2139,INP_DATA!$B$5:$B$3027,$B2139)</f>
        <v>0</v>
      </c>
      <c r="T2139" s="235">
        <f>COUNTIFS(INP_DATA!$R$5:$R$3027,T$4,INP_DATA!$D$5:$D$3027,$D2139,INP_DATA!$B$5:$B$3027,$B2139)</f>
        <v>0</v>
      </c>
    </row>
    <row r="2140" spans="1:20" x14ac:dyDescent="0.35">
      <c r="A2140" s="3" t="str">
        <f>IF(D2140="","",(VLOOKUP($D2140,KEY!$B$5:$D$74,3,FALSE)))</f>
        <v/>
      </c>
      <c r="B2140" s="165">
        <f t="shared" si="26"/>
        <v>45962</v>
      </c>
      <c r="C2140" s="57" t="str">
        <f>IF($B2140="","",YEAR($B2140)&amp;"-"&amp;IFERROR(VLOOKUP(MONTH(B2140),KEY!$AE$5:$AF$16,2,FALSE),""))</f>
        <v>2025-Q4</v>
      </c>
      <c r="D2140" s="3"/>
      <c r="E2140" s="219"/>
      <c r="F2140" s="166"/>
      <c r="G2140" s="166"/>
      <c r="H2140" s="21"/>
      <c r="I2140" s="21"/>
      <c r="J2140" s="21"/>
      <c r="K2140" s="21"/>
      <c r="L2140" s="21"/>
      <c r="M2140" s="21"/>
      <c r="N2140" s="21"/>
      <c r="O2140" s="19"/>
      <c r="P2140" s="22"/>
      <c r="Q2140" s="22"/>
      <c r="R2140" s="20"/>
      <c r="S2140" s="234">
        <f>COUNTIFS(INP_DATA!$R$5:$R$3027,S$4,INP_DATA!$D$5:$D$3027,$D2140,INP_DATA!$B$5:$B$3027,$B2140)</f>
        <v>0</v>
      </c>
      <c r="T2140" s="235">
        <f>COUNTIFS(INP_DATA!$R$5:$R$3027,T$4,INP_DATA!$D$5:$D$3027,$D2140,INP_DATA!$B$5:$B$3027,$B2140)</f>
        <v>0</v>
      </c>
    </row>
    <row r="2141" spans="1:20" x14ac:dyDescent="0.35">
      <c r="A2141" s="3" t="str">
        <f>IF(D2141="","",(VLOOKUP($D2141,KEY!$B$5:$D$74,3,FALSE)))</f>
        <v/>
      </c>
      <c r="B2141" s="165">
        <f t="shared" si="26"/>
        <v>45962</v>
      </c>
      <c r="C2141" s="57" t="str">
        <f>IF($B2141="","",YEAR($B2141)&amp;"-"&amp;IFERROR(VLOOKUP(MONTH(B2141),KEY!$AE$5:$AF$16,2,FALSE),""))</f>
        <v>2025-Q4</v>
      </c>
      <c r="D2141" s="3"/>
      <c r="E2141" s="219"/>
      <c r="F2141" s="166"/>
      <c r="G2141" s="166"/>
      <c r="H2141" s="21"/>
      <c r="I2141" s="21"/>
      <c r="J2141" s="21"/>
      <c r="K2141" s="21"/>
      <c r="L2141" s="21"/>
      <c r="M2141" s="21"/>
      <c r="N2141" s="21"/>
      <c r="O2141" s="19"/>
      <c r="P2141" s="22"/>
      <c r="Q2141" s="22"/>
      <c r="R2141" s="20"/>
      <c r="S2141" s="234">
        <f>COUNTIFS(INP_DATA!$R$5:$R$3027,S$4,INP_DATA!$D$5:$D$3027,$D2141,INP_DATA!$B$5:$B$3027,$B2141)</f>
        <v>0</v>
      </c>
      <c r="T2141" s="235">
        <f>COUNTIFS(INP_DATA!$R$5:$R$3027,T$4,INP_DATA!$D$5:$D$3027,$D2141,INP_DATA!$B$5:$B$3027,$B2141)</f>
        <v>0</v>
      </c>
    </row>
    <row r="2142" spans="1:20" x14ac:dyDescent="0.35">
      <c r="A2142" s="3" t="str">
        <f>IF(D2142="","",(VLOOKUP($D2142,KEY!$B$5:$D$74,3,FALSE)))</f>
        <v/>
      </c>
      <c r="B2142" s="426">
        <f t="shared" si="26"/>
        <v>45962</v>
      </c>
      <c r="C2142" s="427" t="str">
        <f>IF($B2142="","",YEAR($B2142)&amp;"-"&amp;IFERROR(VLOOKUP(MONTH(B2142),KEY!$AE$5:$AF$16,2,FALSE),""))</f>
        <v>2025-Q4</v>
      </c>
      <c r="D2142" s="428"/>
      <c r="E2142" s="429"/>
      <c r="F2142" s="430"/>
      <c r="G2142" s="430"/>
      <c r="H2142" s="431"/>
      <c r="I2142" s="431"/>
      <c r="J2142" s="431"/>
      <c r="K2142" s="431"/>
      <c r="L2142" s="431"/>
      <c r="M2142" s="431"/>
      <c r="N2142" s="431"/>
      <c r="O2142" s="432"/>
      <c r="P2142" s="433"/>
      <c r="Q2142" s="433"/>
      <c r="R2142" s="20"/>
      <c r="S2142" s="234">
        <f>COUNTIFS(INP_DATA!$R$5:$R$3027,S$4,INP_DATA!$D$5:$D$3027,$D2142,INP_DATA!$B$5:$B$3027,$B2142)</f>
        <v>0</v>
      </c>
      <c r="T2142" s="235">
        <f>COUNTIFS(INP_DATA!$R$5:$R$3027,T$4,INP_DATA!$D$5:$D$3027,$D2142,INP_DATA!$B$5:$B$3027,$B2142)</f>
        <v>0</v>
      </c>
    </row>
    <row r="2143" spans="1:20" x14ac:dyDescent="0.35">
      <c r="A2143" s="3" t="str">
        <f>IF(D2143="","",(VLOOKUP($D2143,KEY!$B$5:$D$74,3,FALSE)))</f>
        <v>Arizona</v>
      </c>
      <c r="B2143" s="165">
        <f>DATE(YEAR(B2142+31),MONTH(B2142+31),1)</f>
        <v>45992</v>
      </c>
      <c r="C2143" s="57" t="str">
        <f>IF($B2143="","",YEAR($B2143)&amp;"-"&amp;IFERROR(VLOOKUP(MONTH(B2143),KEY!$AE$5:$AF$16,2,FALSE),""))</f>
        <v>2025-Q4</v>
      </c>
      <c r="D2143" s="3" t="s">
        <v>111</v>
      </c>
      <c r="E2143" s="219">
        <v>18</v>
      </c>
      <c r="F2143" s="166">
        <v>76</v>
      </c>
      <c r="G2143" s="166">
        <v>83</v>
      </c>
      <c r="H2143" s="21">
        <v>146</v>
      </c>
      <c r="I2143" s="21">
        <v>23</v>
      </c>
      <c r="J2143" s="21">
        <v>77</v>
      </c>
      <c r="K2143" s="21">
        <v>15</v>
      </c>
      <c r="L2143" s="21">
        <v>123</v>
      </c>
      <c r="M2143" s="21">
        <v>62</v>
      </c>
      <c r="N2143" s="21">
        <v>76</v>
      </c>
      <c r="O2143" s="19">
        <v>154</v>
      </c>
      <c r="P2143" s="22">
        <v>11</v>
      </c>
      <c r="Q2143" s="22">
        <v>7</v>
      </c>
      <c r="R2143" s="20"/>
      <c r="S2143" s="234">
        <f>COUNTIFS(INP_DATA!$R$5:$R$3027,S$4,INP_DATA!$D$5:$D$3027,$D2143,INP_DATA!$B$5:$B$3027,$B2143)</f>
        <v>0</v>
      </c>
      <c r="T2143" s="235">
        <f>COUNTIFS(INP_DATA!$R$5:$R$3027,T$4,INP_DATA!$D$5:$D$3027,$D2143,INP_DATA!$B$5:$B$3027,$B2143)</f>
        <v>0</v>
      </c>
    </row>
    <row r="2144" spans="1:20" x14ac:dyDescent="0.35">
      <c r="A2144" s="3" t="str">
        <f>IF(D2144="","",(VLOOKUP($D2144,KEY!$B$5:$D$74,3,FALSE)))</f>
        <v>Southern California</v>
      </c>
      <c r="B2144" s="165">
        <f t="shared" ref="B2144:B2207" si="27">B2143</f>
        <v>45992</v>
      </c>
      <c r="C2144" s="57" t="str">
        <f>IF($B2144="","",YEAR($B2144)&amp;"-"&amp;IFERROR(VLOOKUP(MONTH(B2144),KEY!$AE$5:$AF$16,2,FALSE),""))</f>
        <v>2025-Q4</v>
      </c>
      <c r="D2144" s="3" t="s">
        <v>112</v>
      </c>
      <c r="E2144" s="219">
        <v>5</v>
      </c>
      <c r="F2144" s="166">
        <v>49</v>
      </c>
      <c r="G2144" s="166">
        <v>55</v>
      </c>
      <c r="H2144" s="21">
        <v>101</v>
      </c>
      <c r="I2144" s="21">
        <v>14</v>
      </c>
      <c r="J2144" s="21">
        <v>40</v>
      </c>
      <c r="K2144" s="21">
        <v>11</v>
      </c>
      <c r="L2144" s="21">
        <v>85</v>
      </c>
      <c r="M2144" s="21">
        <v>41</v>
      </c>
      <c r="N2144" s="21">
        <v>49</v>
      </c>
      <c r="O2144" s="19">
        <v>110</v>
      </c>
      <c r="P2144" s="22">
        <v>9</v>
      </c>
      <c r="Q2144" s="22">
        <v>4</v>
      </c>
      <c r="R2144" s="20"/>
      <c r="S2144" s="234">
        <f>COUNTIFS(INP_DATA!$R$5:$R$3027,S$4,INP_DATA!$D$5:$D$3027,$D2144,INP_DATA!$B$5:$B$3027,$B2144)</f>
        <v>0</v>
      </c>
      <c r="T2144" s="235">
        <f>COUNTIFS(INP_DATA!$R$5:$R$3027,T$4,INP_DATA!$D$5:$D$3027,$D2144,INP_DATA!$B$5:$B$3027,$B2144)</f>
        <v>0</v>
      </c>
    </row>
    <row r="2145" spans="1:20" x14ac:dyDescent="0.35">
      <c r="A2145" s="3" t="str">
        <f>IF(D2145="","",(VLOOKUP($D2145,KEY!$B$5:$D$74,3,FALSE)))</f>
        <v>Arizona</v>
      </c>
      <c r="B2145" s="165">
        <f t="shared" si="27"/>
        <v>45992</v>
      </c>
      <c r="C2145" s="57" t="str">
        <f>IF($B2145="","",YEAR($B2145)&amp;"-"&amp;IFERROR(VLOOKUP(MONTH(B2145),KEY!$AE$5:$AF$16,2,FALSE),""))</f>
        <v>2025-Q4</v>
      </c>
      <c r="D2145" s="3" t="s">
        <v>113</v>
      </c>
      <c r="E2145" s="219">
        <v>8</v>
      </c>
      <c r="F2145" s="166">
        <v>78</v>
      </c>
      <c r="G2145" s="166">
        <v>84</v>
      </c>
      <c r="H2145" s="21">
        <v>139</v>
      </c>
      <c r="I2145" s="21">
        <v>21</v>
      </c>
      <c r="J2145" s="21">
        <v>44</v>
      </c>
      <c r="K2145" s="21">
        <v>13</v>
      </c>
      <c r="L2145" s="21">
        <v>155</v>
      </c>
      <c r="M2145" s="21">
        <v>79</v>
      </c>
      <c r="N2145" s="21">
        <v>80</v>
      </c>
      <c r="O2145" s="19">
        <v>132</v>
      </c>
      <c r="P2145" s="22">
        <v>7</v>
      </c>
      <c r="Q2145" s="22">
        <v>4</v>
      </c>
      <c r="R2145" s="20"/>
      <c r="S2145" s="234">
        <f>COUNTIFS(INP_DATA!$R$5:$R$3027,S$4,INP_DATA!$D$5:$D$3027,$D2145,INP_DATA!$B$5:$B$3027,$B2145)</f>
        <v>0</v>
      </c>
      <c r="T2145" s="235">
        <f>COUNTIFS(INP_DATA!$R$5:$R$3027,T$4,INP_DATA!$D$5:$D$3027,$D2145,INP_DATA!$B$5:$B$3027,$B2145)</f>
        <v>0</v>
      </c>
    </row>
    <row r="2146" spans="1:20" x14ac:dyDescent="0.35">
      <c r="A2146" s="3" t="str">
        <f>IF(D2146="","",(VLOOKUP($D2146,KEY!$B$5:$D$74,3,FALSE)))</f>
        <v>Southern California</v>
      </c>
      <c r="B2146" s="165">
        <f t="shared" si="27"/>
        <v>45992</v>
      </c>
      <c r="C2146" s="57" t="str">
        <f>IF($B2146="","",YEAR($B2146)&amp;"-"&amp;IFERROR(VLOOKUP(MONTH(B2146),KEY!$AE$5:$AF$16,2,FALSE),""))</f>
        <v>2025-Q4</v>
      </c>
      <c r="D2146" s="3" t="s">
        <v>114</v>
      </c>
      <c r="E2146" s="219">
        <v>20</v>
      </c>
      <c r="F2146" s="166">
        <v>67</v>
      </c>
      <c r="G2146" s="166">
        <v>58</v>
      </c>
      <c r="H2146" s="21">
        <v>71</v>
      </c>
      <c r="I2146" s="21">
        <v>16</v>
      </c>
      <c r="J2146" s="21">
        <v>29</v>
      </c>
      <c r="K2146" s="21">
        <v>16</v>
      </c>
      <c r="L2146" s="21">
        <v>72</v>
      </c>
      <c r="M2146" s="21">
        <v>40</v>
      </c>
      <c r="N2146" s="21">
        <v>67</v>
      </c>
      <c r="O2146" s="19">
        <v>110</v>
      </c>
      <c r="P2146" s="22">
        <v>10</v>
      </c>
      <c r="Q2146" s="22">
        <v>8</v>
      </c>
      <c r="R2146" s="20"/>
      <c r="S2146" s="234"/>
      <c r="T2146" s="235"/>
    </row>
    <row r="2147" spans="1:20" x14ac:dyDescent="0.35">
      <c r="A2147" s="3" t="str">
        <f>IF(D2147="","",(VLOOKUP($D2147,KEY!$B$5:$D$74,3,FALSE)))</f>
        <v>Orange County</v>
      </c>
      <c r="B2147" s="165">
        <f t="shared" si="27"/>
        <v>45992</v>
      </c>
      <c r="C2147" s="57" t="str">
        <f>IF($B2147="","",YEAR($B2147)&amp;"-"&amp;IFERROR(VLOOKUP(MONTH(B2147),KEY!$AE$5:$AF$16,2,FALSE),""))</f>
        <v>2025-Q4</v>
      </c>
      <c r="D2147" s="3" t="s">
        <v>115</v>
      </c>
      <c r="E2147" s="219">
        <v>9</v>
      </c>
      <c r="F2147" s="166">
        <v>63</v>
      </c>
      <c r="G2147" s="166">
        <v>49</v>
      </c>
      <c r="H2147" s="21">
        <v>99</v>
      </c>
      <c r="I2147" s="21">
        <v>23</v>
      </c>
      <c r="J2147" s="21">
        <v>32</v>
      </c>
      <c r="K2147" s="21">
        <v>11</v>
      </c>
      <c r="L2147" s="21">
        <v>86</v>
      </c>
      <c r="M2147" s="21">
        <v>54</v>
      </c>
      <c r="N2147" s="21">
        <v>63</v>
      </c>
      <c r="O2147" s="19">
        <v>110</v>
      </c>
      <c r="P2147" s="22">
        <v>16</v>
      </c>
      <c r="Q2147" s="22">
        <v>8</v>
      </c>
      <c r="R2147" s="20"/>
      <c r="S2147" s="234"/>
      <c r="T2147" s="235"/>
    </row>
    <row r="2148" spans="1:20" x14ac:dyDescent="0.35">
      <c r="A2148" s="3" t="str">
        <f>IF(D2148="","",(VLOOKUP($D2148,KEY!$B$5:$D$74,3,FALSE)))</f>
        <v>Arizona</v>
      </c>
      <c r="B2148" s="165">
        <f t="shared" si="27"/>
        <v>45992</v>
      </c>
      <c r="C2148" s="57" t="str">
        <f>IF($B2148="","",YEAR($B2148)&amp;"-"&amp;IFERROR(VLOOKUP(MONTH(B2148),KEY!$AE$5:$AF$16,2,FALSE),""))</f>
        <v>2025-Q4</v>
      </c>
      <c r="D2148" s="3" t="s">
        <v>116</v>
      </c>
      <c r="E2148" s="219">
        <v>25</v>
      </c>
      <c r="F2148" s="166">
        <v>143</v>
      </c>
      <c r="G2148" s="166">
        <v>142</v>
      </c>
      <c r="H2148" s="21">
        <v>295</v>
      </c>
      <c r="I2148" s="21">
        <v>41</v>
      </c>
      <c r="J2148" s="21">
        <v>65</v>
      </c>
      <c r="K2148" s="21">
        <v>12</v>
      </c>
      <c r="L2148" s="21">
        <v>196</v>
      </c>
      <c r="M2148" s="21">
        <v>98</v>
      </c>
      <c r="N2148" s="21">
        <v>143</v>
      </c>
      <c r="O2148" s="19">
        <v>220</v>
      </c>
      <c r="P2148" s="22">
        <v>20</v>
      </c>
      <c r="Q2148" s="22">
        <v>8</v>
      </c>
      <c r="R2148" s="20"/>
      <c r="S2148" s="234"/>
      <c r="T2148" s="235"/>
    </row>
    <row r="2149" spans="1:20" x14ac:dyDescent="0.35">
      <c r="A2149" s="3" t="str">
        <f>IF(D2149="","",(VLOOKUP($D2149,KEY!$B$5:$D$74,3,FALSE)))</f>
        <v>Northern California</v>
      </c>
      <c r="B2149" s="165">
        <f t="shared" si="27"/>
        <v>45992</v>
      </c>
      <c r="C2149" s="57" t="str">
        <f>IF($B2149="","",YEAR($B2149)&amp;"-"&amp;IFERROR(VLOOKUP(MONTH(B2149),KEY!$AE$5:$AF$16,2,FALSE),""))</f>
        <v>2025-Q4</v>
      </c>
      <c r="D2149" s="3" t="s">
        <v>118</v>
      </c>
      <c r="E2149" s="219">
        <v>4</v>
      </c>
      <c r="F2149" s="166">
        <v>161</v>
      </c>
      <c r="G2149" s="166">
        <v>207</v>
      </c>
      <c r="H2149" s="21">
        <v>364</v>
      </c>
      <c r="I2149" s="21">
        <v>44</v>
      </c>
      <c r="J2149" s="21">
        <v>183</v>
      </c>
      <c r="K2149" s="21">
        <v>38</v>
      </c>
      <c r="L2149" s="21">
        <v>342</v>
      </c>
      <c r="M2149" s="21">
        <v>152</v>
      </c>
      <c r="N2149" s="21">
        <v>162</v>
      </c>
      <c r="O2149" s="19">
        <v>220</v>
      </c>
      <c r="P2149" s="22">
        <v>53</v>
      </c>
      <c r="Q2149" s="22">
        <v>25</v>
      </c>
      <c r="R2149" s="20"/>
      <c r="S2149" s="234"/>
      <c r="T2149" s="235"/>
    </row>
    <row r="2150" spans="1:20" x14ac:dyDescent="0.35">
      <c r="A2150" s="3" t="str">
        <f>IF(D2150="","",(VLOOKUP($D2150,KEY!$B$5:$D$74,3,FALSE)))</f>
        <v>Orange County</v>
      </c>
      <c r="B2150" s="165">
        <f t="shared" si="27"/>
        <v>45992</v>
      </c>
      <c r="C2150" s="57" t="str">
        <f>IF($B2150="","",YEAR($B2150)&amp;"-"&amp;IFERROR(VLOOKUP(MONTH(B2150),KEY!$AE$5:$AF$16,2,FALSE),""))</f>
        <v>2025-Q4</v>
      </c>
      <c r="D2150" s="3" t="s">
        <v>117</v>
      </c>
      <c r="E2150" s="219">
        <v>16</v>
      </c>
      <c r="F2150" s="166">
        <v>88</v>
      </c>
      <c r="G2150" s="166">
        <v>111</v>
      </c>
      <c r="H2150" s="21">
        <v>130</v>
      </c>
      <c r="I2150" s="21">
        <v>22</v>
      </c>
      <c r="J2150" s="21">
        <v>60</v>
      </c>
      <c r="K2150" s="21">
        <v>16</v>
      </c>
      <c r="L2150" s="21">
        <v>131</v>
      </c>
      <c r="M2150" s="21">
        <v>69</v>
      </c>
      <c r="N2150" s="21">
        <v>88</v>
      </c>
      <c r="O2150" s="19">
        <v>132</v>
      </c>
      <c r="P2150" s="22">
        <v>51</v>
      </c>
      <c r="Q2150" s="22">
        <v>26</v>
      </c>
      <c r="R2150" s="20"/>
      <c r="S2150" s="234"/>
      <c r="T2150" s="235"/>
    </row>
    <row r="2151" spans="1:20" x14ac:dyDescent="0.35">
      <c r="A2151" s="3" t="str">
        <f>IF(D2151="","",(VLOOKUP($D2151,KEY!$B$5:$D$74,3,FALSE)))</f>
        <v>Arizona</v>
      </c>
      <c r="B2151" s="165">
        <f t="shared" si="27"/>
        <v>45992</v>
      </c>
      <c r="C2151" s="57" t="str">
        <f>IF($B2151="","",YEAR($B2151)&amp;"-"&amp;IFERROR(VLOOKUP(MONTH(B2151),KEY!$AE$5:$AF$16,2,FALSE),""))</f>
        <v>2025-Q4</v>
      </c>
      <c r="D2151" s="3" t="s">
        <v>119</v>
      </c>
      <c r="E2151" s="219">
        <v>8</v>
      </c>
      <c r="F2151" s="166">
        <v>27</v>
      </c>
      <c r="G2151" s="166">
        <v>23</v>
      </c>
      <c r="H2151" s="21">
        <v>36</v>
      </c>
      <c r="I2151" s="21">
        <v>7</v>
      </c>
      <c r="J2151" s="21">
        <v>23</v>
      </c>
      <c r="K2151" s="21">
        <v>10</v>
      </c>
      <c r="L2151" s="21">
        <v>128</v>
      </c>
      <c r="M2151" s="21">
        <v>16</v>
      </c>
      <c r="N2151" s="21">
        <v>28</v>
      </c>
      <c r="O2151" s="19">
        <v>48</v>
      </c>
      <c r="P2151" s="22">
        <v>0</v>
      </c>
      <c r="Q2151" s="22">
        <v>0</v>
      </c>
      <c r="R2151" s="20"/>
      <c r="S2151" s="234"/>
      <c r="T2151" s="235"/>
    </row>
    <row r="2152" spans="1:20" x14ac:dyDescent="0.35">
      <c r="A2152" s="3" t="str">
        <f>IF(D2152="","",(VLOOKUP($D2152,KEY!$B$5:$D$74,3,FALSE)))</f>
        <v/>
      </c>
      <c r="B2152" s="165">
        <f t="shared" si="27"/>
        <v>45992</v>
      </c>
      <c r="C2152" s="57" t="str">
        <f>IF($B2152="","",YEAR($B2152)&amp;"-"&amp;IFERROR(VLOOKUP(MONTH(B2152),KEY!$AE$5:$AF$16,2,FALSE),""))</f>
        <v>2025-Q4</v>
      </c>
      <c r="D2152" s="3"/>
      <c r="E2152" s="219"/>
      <c r="F2152" s="166"/>
      <c r="G2152" s="166"/>
      <c r="H2152" s="21"/>
      <c r="I2152" s="21"/>
      <c r="J2152" s="21"/>
      <c r="K2152" s="21"/>
      <c r="L2152" s="21"/>
      <c r="M2152" s="21"/>
      <c r="N2152" s="21"/>
      <c r="O2152" s="19"/>
      <c r="P2152" s="22"/>
      <c r="Q2152" s="22"/>
      <c r="R2152" s="20"/>
      <c r="S2152" s="234"/>
      <c r="T2152" s="235"/>
    </row>
    <row r="2153" spans="1:20" x14ac:dyDescent="0.35">
      <c r="A2153" s="3" t="str">
        <f>IF(D2153="","",(VLOOKUP($D2153,KEY!$B$5:$D$74,3,FALSE)))</f>
        <v>Arizona</v>
      </c>
      <c r="B2153" s="165">
        <f t="shared" si="27"/>
        <v>45992</v>
      </c>
      <c r="C2153" s="57" t="str">
        <f>IF($B2153="","",YEAR($B2153)&amp;"-"&amp;IFERROR(VLOOKUP(MONTH(B2153),KEY!$AE$5:$AF$16,2,FALSE),""))</f>
        <v>2025-Q4</v>
      </c>
      <c r="D2153" s="3" t="s">
        <v>120</v>
      </c>
      <c r="E2153" s="219">
        <v>81</v>
      </c>
      <c r="F2153" s="166">
        <v>399</v>
      </c>
      <c r="G2153" s="166">
        <v>429</v>
      </c>
      <c r="H2153" s="21">
        <v>597</v>
      </c>
      <c r="I2153" s="21">
        <v>94</v>
      </c>
      <c r="J2153" s="21">
        <v>309</v>
      </c>
      <c r="K2153" s="21">
        <v>49</v>
      </c>
      <c r="L2153" s="21">
        <v>578</v>
      </c>
      <c r="M2153" s="21">
        <v>244</v>
      </c>
      <c r="N2153" s="21">
        <v>401</v>
      </c>
      <c r="O2153" s="19">
        <v>616</v>
      </c>
      <c r="P2153" s="22">
        <v>53</v>
      </c>
      <c r="Q2153" s="22">
        <v>41</v>
      </c>
      <c r="R2153" s="20"/>
      <c r="S2153" s="234"/>
      <c r="T2153" s="235"/>
    </row>
    <row r="2154" spans="1:20" x14ac:dyDescent="0.35">
      <c r="A2154" s="3" t="str">
        <f>IF(D2154="","",(VLOOKUP($D2154,KEY!$B$5:$D$74,3,FALSE)))</f>
        <v>Texas</v>
      </c>
      <c r="B2154" s="165">
        <f t="shared" si="27"/>
        <v>45992</v>
      </c>
      <c r="C2154" s="57" t="str">
        <f>IF($B2154="","",YEAR($B2154)&amp;"-"&amp;IFERROR(VLOOKUP(MONTH(B2154),KEY!$AE$5:$AF$16,2,FALSE),""))</f>
        <v>2025-Q4</v>
      </c>
      <c r="D2154" s="3" t="s">
        <v>121</v>
      </c>
      <c r="E2154" s="219">
        <v>33</v>
      </c>
      <c r="F2154" s="166">
        <v>311</v>
      </c>
      <c r="G2154" s="166">
        <v>335</v>
      </c>
      <c r="H2154" s="21">
        <v>553</v>
      </c>
      <c r="I2154" s="21">
        <v>98</v>
      </c>
      <c r="J2154" s="21">
        <v>274</v>
      </c>
      <c r="K2154" s="21">
        <v>41</v>
      </c>
      <c r="L2154" s="21">
        <v>443</v>
      </c>
      <c r="M2154" s="21">
        <v>159</v>
      </c>
      <c r="N2154" s="21">
        <v>312</v>
      </c>
      <c r="O2154" s="19">
        <v>528</v>
      </c>
      <c r="P2154" s="22">
        <v>40</v>
      </c>
      <c r="Q2154" s="22">
        <v>32</v>
      </c>
      <c r="R2154" s="20"/>
      <c r="S2154" s="234"/>
      <c r="T2154" s="235"/>
    </row>
    <row r="2155" spans="1:20" x14ac:dyDescent="0.35">
      <c r="A2155" s="3" t="str">
        <f>IF(D2155="","",(VLOOKUP($D2155,KEY!$B$5:$D$74,3,FALSE)))</f>
        <v>Michigan &amp; Minnesota</v>
      </c>
      <c r="B2155" s="165">
        <f t="shared" si="27"/>
        <v>45992</v>
      </c>
      <c r="C2155" s="57" t="str">
        <f>IF($B2155="","",YEAR($B2155)&amp;"-"&amp;IFERROR(VLOOKUP(MONTH(B2155),KEY!$AE$5:$AF$16,2,FALSE),""))</f>
        <v>2025-Q4</v>
      </c>
      <c r="D2155" s="3" t="s">
        <v>200</v>
      </c>
      <c r="E2155" s="219">
        <v>8</v>
      </c>
      <c r="F2155" s="166">
        <v>159</v>
      </c>
      <c r="G2155" s="166">
        <v>156</v>
      </c>
      <c r="H2155" s="21">
        <v>277</v>
      </c>
      <c r="I2155" s="21">
        <v>45</v>
      </c>
      <c r="J2155" s="21">
        <v>185</v>
      </c>
      <c r="K2155" s="21">
        <v>29</v>
      </c>
      <c r="L2155" s="21">
        <v>238</v>
      </c>
      <c r="M2155" s="21">
        <v>83</v>
      </c>
      <c r="N2155" s="21">
        <v>159</v>
      </c>
      <c r="O2155" s="19">
        <v>264</v>
      </c>
      <c r="P2155" s="22">
        <v>25</v>
      </c>
      <c r="Q2155" s="22">
        <v>0</v>
      </c>
      <c r="R2155" s="20"/>
      <c r="S2155" s="234"/>
      <c r="T2155" s="235"/>
    </row>
    <row r="2156" spans="1:20" x14ac:dyDescent="0.35">
      <c r="A2156" s="3" t="str">
        <f>IF(D2156="","",(VLOOKUP($D2156,KEY!$B$5:$D$74,3,FALSE)))</f>
        <v>Southern California</v>
      </c>
      <c r="B2156" s="165">
        <f t="shared" si="27"/>
        <v>45992</v>
      </c>
      <c r="C2156" s="57" t="str">
        <f>IF($B2156="","",YEAR($B2156)&amp;"-"&amp;IFERROR(VLOOKUP(MONTH(B2156),KEY!$AE$5:$AF$16,2,FALSE),""))</f>
        <v>2025-Q4</v>
      </c>
      <c r="D2156" s="3" t="s">
        <v>122</v>
      </c>
      <c r="E2156" s="219">
        <v>25</v>
      </c>
      <c r="F2156" s="166">
        <v>74</v>
      </c>
      <c r="G2156" s="166">
        <v>101</v>
      </c>
      <c r="H2156" s="21">
        <v>232</v>
      </c>
      <c r="I2156" s="21">
        <v>17</v>
      </c>
      <c r="J2156" s="21">
        <v>100</v>
      </c>
      <c r="K2156" s="21">
        <v>12</v>
      </c>
      <c r="L2156" s="21">
        <v>160</v>
      </c>
      <c r="M2156" s="21">
        <v>45</v>
      </c>
      <c r="N2156" s="21">
        <v>75</v>
      </c>
      <c r="O2156" s="19">
        <v>198</v>
      </c>
      <c r="P2156" s="22">
        <v>15</v>
      </c>
      <c r="Q2156" s="22">
        <v>7</v>
      </c>
      <c r="R2156" s="20"/>
      <c r="S2156" s="234"/>
      <c r="T2156" s="235"/>
    </row>
    <row r="2157" spans="1:20" x14ac:dyDescent="0.35">
      <c r="A2157" s="3" t="str">
        <f>IF(D2157="","",(VLOOKUP($D2157,KEY!$B$5:$D$74,3,FALSE)))</f>
        <v>Orange County</v>
      </c>
      <c r="B2157" s="165">
        <f t="shared" si="27"/>
        <v>45992</v>
      </c>
      <c r="C2157" s="57" t="str">
        <f>IF($B2157="","",YEAR($B2157)&amp;"-"&amp;IFERROR(VLOOKUP(MONTH(B2157),KEY!$AE$5:$AF$16,2,FALSE),""))</f>
        <v>2025-Q4</v>
      </c>
      <c r="D2157" s="3" t="s">
        <v>123</v>
      </c>
      <c r="E2157" s="219">
        <v>40</v>
      </c>
      <c r="F2157" s="166">
        <v>361</v>
      </c>
      <c r="G2157" s="166">
        <v>360</v>
      </c>
      <c r="H2157" s="21"/>
      <c r="I2157" s="21"/>
      <c r="J2157" s="21"/>
      <c r="K2157" s="21"/>
      <c r="L2157" s="21">
        <v>498</v>
      </c>
      <c r="M2157" s="21">
        <v>124</v>
      </c>
      <c r="N2157" s="21">
        <v>164</v>
      </c>
      <c r="O2157" s="19">
        <v>440</v>
      </c>
      <c r="P2157" s="22">
        <v>31</v>
      </c>
      <c r="Q2157" s="22">
        <v>17</v>
      </c>
      <c r="R2157" s="20"/>
      <c r="S2157" s="234"/>
      <c r="T2157" s="235"/>
    </row>
    <row r="2158" spans="1:20" x14ac:dyDescent="0.35">
      <c r="A2158" s="3" t="str">
        <f>IF(D2158="","",(VLOOKUP($D2158,KEY!$B$5:$D$74,3,FALSE)))</f>
        <v>Southern California</v>
      </c>
      <c r="B2158" s="165">
        <f t="shared" si="27"/>
        <v>45992</v>
      </c>
      <c r="C2158" s="57" t="str">
        <f>IF($B2158="","",YEAR($B2158)&amp;"-"&amp;IFERROR(VLOOKUP(MONTH(B2158),KEY!$AE$5:$AF$16,2,FALSE),""))</f>
        <v>2025-Q4</v>
      </c>
      <c r="D2158" s="3" t="s">
        <v>124</v>
      </c>
      <c r="E2158" s="219">
        <v>64</v>
      </c>
      <c r="F2158" s="166">
        <v>288</v>
      </c>
      <c r="G2158" s="166">
        <v>275</v>
      </c>
      <c r="H2158" s="21">
        <v>339</v>
      </c>
      <c r="I2158" s="21">
        <v>62</v>
      </c>
      <c r="J2158" s="21">
        <v>243</v>
      </c>
      <c r="K2158" s="21">
        <v>63</v>
      </c>
      <c r="L2158" s="21">
        <v>486</v>
      </c>
      <c r="M2158" s="21">
        <v>188</v>
      </c>
      <c r="N2158" s="21">
        <v>290</v>
      </c>
      <c r="O2158" s="19">
        <v>506</v>
      </c>
      <c r="P2158" s="22">
        <v>50</v>
      </c>
      <c r="Q2158" s="22">
        <v>41</v>
      </c>
      <c r="R2158" s="20"/>
      <c r="S2158" s="234"/>
      <c r="T2158" s="235"/>
    </row>
    <row r="2159" spans="1:20" x14ac:dyDescent="0.35">
      <c r="A2159" s="3" t="str">
        <f>IF(D2159="","",(VLOOKUP($D2159,KEY!$B$5:$D$74,3,FALSE)))</f>
        <v>Northern California</v>
      </c>
      <c r="B2159" s="165">
        <f t="shared" si="27"/>
        <v>45992</v>
      </c>
      <c r="C2159" s="57" t="str">
        <f>IF($B2159="","",YEAR($B2159)&amp;"-"&amp;IFERROR(VLOOKUP(MONTH(B2159),KEY!$AE$5:$AF$16,2,FALSE),""))</f>
        <v>2025-Q4</v>
      </c>
      <c r="D2159" s="3" t="s">
        <v>195</v>
      </c>
      <c r="E2159" s="219">
        <v>9</v>
      </c>
      <c r="F2159" s="166">
        <v>60</v>
      </c>
      <c r="G2159" s="166">
        <v>59</v>
      </c>
      <c r="H2159" s="21">
        <v>142</v>
      </c>
      <c r="I2159" s="21">
        <v>16</v>
      </c>
      <c r="J2159" s="21">
        <v>35</v>
      </c>
      <c r="K2159" s="21">
        <v>12</v>
      </c>
      <c r="L2159" s="21">
        <v>131</v>
      </c>
      <c r="M2159" s="21">
        <v>32</v>
      </c>
      <c r="N2159" s="21">
        <v>60</v>
      </c>
      <c r="O2159" s="19">
        <v>132</v>
      </c>
      <c r="P2159" s="22">
        <v>9</v>
      </c>
      <c r="Q2159" s="22">
        <v>8</v>
      </c>
      <c r="R2159" s="20"/>
      <c r="S2159" s="234"/>
      <c r="T2159" s="235"/>
    </row>
    <row r="2160" spans="1:20" x14ac:dyDescent="0.35">
      <c r="A2160" s="3" t="str">
        <f>IF(D2160="","",(VLOOKUP($D2160,KEY!$B$5:$D$74,3,FALSE)))</f>
        <v>Northern California</v>
      </c>
      <c r="B2160" s="165">
        <f t="shared" si="27"/>
        <v>45992</v>
      </c>
      <c r="C2160" s="57" t="str">
        <f>IF($B2160="","",YEAR($B2160)&amp;"-"&amp;IFERROR(VLOOKUP(MONTH(B2160),KEY!$AE$5:$AF$16,2,FALSE),""))</f>
        <v>2025-Q4</v>
      </c>
      <c r="D2160" s="3" t="s">
        <v>125</v>
      </c>
      <c r="E2160" s="219">
        <v>28</v>
      </c>
      <c r="F2160" s="166">
        <v>227</v>
      </c>
      <c r="G2160" s="166">
        <v>258</v>
      </c>
      <c r="H2160" s="21">
        <v>482</v>
      </c>
      <c r="I2160" s="21">
        <v>47</v>
      </c>
      <c r="J2160" s="21">
        <v>124</v>
      </c>
      <c r="K2160" s="21">
        <v>23</v>
      </c>
      <c r="L2160" s="21">
        <v>367</v>
      </c>
      <c r="M2160" s="21">
        <v>86</v>
      </c>
      <c r="N2160" s="21">
        <v>231</v>
      </c>
      <c r="O2160" s="19">
        <v>506</v>
      </c>
      <c r="P2160" s="22">
        <v>21</v>
      </c>
      <c r="Q2160" s="22">
        <v>19</v>
      </c>
      <c r="R2160" s="20"/>
      <c r="S2160" s="234"/>
      <c r="T2160" s="235"/>
    </row>
    <row r="2161" spans="1:20" x14ac:dyDescent="0.35">
      <c r="A2161" s="3" t="str">
        <f>IF(D2161="","",(VLOOKUP($D2161,KEY!$B$5:$D$74,3,FALSE)))</f>
        <v>Orange County</v>
      </c>
      <c r="B2161" s="165">
        <f t="shared" si="27"/>
        <v>45992</v>
      </c>
      <c r="C2161" s="57" t="str">
        <f>IF($B2161="","",YEAR($B2161)&amp;"-"&amp;IFERROR(VLOOKUP(MONTH(B2161),KEY!$AE$5:$AF$16,2,FALSE),""))</f>
        <v>2025-Q4</v>
      </c>
      <c r="D2161" s="3" t="s">
        <v>126</v>
      </c>
      <c r="E2161" s="219">
        <v>97</v>
      </c>
      <c r="F2161" s="166">
        <v>556</v>
      </c>
      <c r="G2161" s="166">
        <v>640</v>
      </c>
      <c r="H2161" s="21">
        <v>757</v>
      </c>
      <c r="I2161" s="21">
        <v>152</v>
      </c>
      <c r="J2161" s="21">
        <v>433</v>
      </c>
      <c r="K2161" s="21">
        <v>142</v>
      </c>
      <c r="L2161" s="21">
        <v>867</v>
      </c>
      <c r="M2161" s="21">
        <v>337</v>
      </c>
      <c r="N2161" s="21">
        <v>561</v>
      </c>
      <c r="O2161" s="19">
        <v>583</v>
      </c>
      <c r="P2161" s="22">
        <v>168</v>
      </c>
      <c r="Q2161" s="22">
        <v>122</v>
      </c>
      <c r="R2161" s="20"/>
      <c r="S2161" s="234"/>
      <c r="T2161" s="235"/>
    </row>
    <row r="2162" spans="1:20" x14ac:dyDescent="0.35">
      <c r="A2162" s="3" t="str">
        <f>IF(D2162="","",(VLOOKUP($D2162,KEY!$B$5:$D$74,3,FALSE)))</f>
        <v>Orange County</v>
      </c>
      <c r="B2162" s="165">
        <f t="shared" si="27"/>
        <v>45992</v>
      </c>
      <c r="C2162" s="57" t="str">
        <f>IF($B2162="","",YEAR($B2162)&amp;"-"&amp;IFERROR(VLOOKUP(MONTH(B2162),KEY!$AE$5:$AF$16,2,FALSE),""))</f>
        <v>2025-Q4</v>
      </c>
      <c r="D2162" s="3" t="s">
        <v>127</v>
      </c>
      <c r="E2162" s="219">
        <v>7</v>
      </c>
      <c r="F2162" s="166">
        <v>53</v>
      </c>
      <c r="G2162" s="166">
        <v>42</v>
      </c>
      <c r="H2162" s="21">
        <v>69</v>
      </c>
      <c r="I2162" s="21">
        <v>23</v>
      </c>
      <c r="J2162" s="21">
        <v>28</v>
      </c>
      <c r="K2162" s="21">
        <v>7</v>
      </c>
      <c r="L2162" s="21">
        <v>82</v>
      </c>
      <c r="M2162" s="21">
        <v>44</v>
      </c>
      <c r="N2162" s="21">
        <v>54</v>
      </c>
      <c r="O2162" s="19">
        <v>77</v>
      </c>
      <c r="P2162" s="22">
        <v>11</v>
      </c>
      <c r="Q2162" s="22">
        <v>4</v>
      </c>
      <c r="R2162" s="20"/>
      <c r="S2162" s="234"/>
      <c r="T2162" s="235"/>
    </row>
    <row r="2163" spans="1:20" x14ac:dyDescent="0.35">
      <c r="A2163" s="3" t="str">
        <f>IF(D2163="","",(VLOOKUP($D2163,KEY!$B$5:$D$74,3,FALSE)))</f>
        <v>Wisconsin</v>
      </c>
      <c r="B2163" s="165">
        <f t="shared" si="27"/>
        <v>45992</v>
      </c>
      <c r="C2163" s="57" t="str">
        <f>IF($B2163="","",YEAR($B2163)&amp;"-"&amp;IFERROR(VLOOKUP(MONTH(B2163),KEY!$AE$5:$AF$16,2,FALSE),""))</f>
        <v>2025-Q4</v>
      </c>
      <c r="D2163" s="3" t="s">
        <v>201</v>
      </c>
      <c r="E2163" s="219">
        <v>17</v>
      </c>
      <c r="F2163" s="166">
        <v>250</v>
      </c>
      <c r="G2163" s="166">
        <v>225</v>
      </c>
      <c r="H2163" s="21">
        <v>310</v>
      </c>
      <c r="I2163" s="21">
        <v>67</v>
      </c>
      <c r="J2163" s="21">
        <v>193</v>
      </c>
      <c r="K2163" s="21">
        <v>49</v>
      </c>
      <c r="L2163" s="21">
        <v>290</v>
      </c>
      <c r="M2163" s="21">
        <v>119</v>
      </c>
      <c r="N2163" s="21">
        <v>250</v>
      </c>
      <c r="O2163" s="19">
        <v>330</v>
      </c>
      <c r="P2163" s="22">
        <v>7</v>
      </c>
      <c r="Q2163" s="22">
        <v>2</v>
      </c>
      <c r="R2163" s="20"/>
      <c r="S2163" s="234"/>
      <c r="T2163" s="235"/>
    </row>
    <row r="2164" spans="1:20" x14ac:dyDescent="0.35">
      <c r="A2164" s="3" t="str">
        <f>IF(D2164="","",(VLOOKUP($D2164,KEY!$B$5:$D$74,3,FALSE)))</f>
        <v>Texas</v>
      </c>
      <c r="B2164" s="165">
        <f t="shared" si="27"/>
        <v>45992</v>
      </c>
      <c r="C2164" s="57" t="str">
        <f>IF($B2164="","",YEAR($B2164)&amp;"-"&amp;IFERROR(VLOOKUP(MONTH(B2164),KEY!$AE$5:$AF$16,2,FALSE),""))</f>
        <v>2025-Q4</v>
      </c>
      <c r="D2164" s="3" t="s">
        <v>198</v>
      </c>
      <c r="E2164" s="219">
        <v>3</v>
      </c>
      <c r="F2164" s="166">
        <v>81</v>
      </c>
      <c r="G2164" s="166">
        <v>81</v>
      </c>
      <c r="H2164" s="21">
        <v>209</v>
      </c>
      <c r="I2164" s="21">
        <v>24</v>
      </c>
      <c r="J2164" s="21">
        <v>91</v>
      </c>
      <c r="K2164" s="21">
        <v>16</v>
      </c>
      <c r="L2164" s="21">
        <v>99</v>
      </c>
      <c r="M2164" s="21">
        <v>44</v>
      </c>
      <c r="N2164" s="21">
        <v>84</v>
      </c>
      <c r="O2164" s="19">
        <v>110</v>
      </c>
      <c r="P2164" s="22">
        <v>0</v>
      </c>
      <c r="Q2164" s="22">
        <v>0</v>
      </c>
      <c r="R2164" s="20"/>
      <c r="S2164" s="234"/>
      <c r="T2164" s="235"/>
    </row>
    <row r="2165" spans="1:20" x14ac:dyDescent="0.35">
      <c r="A2165" s="3" t="str">
        <f>IF(D2165="","",(VLOOKUP($D2165,KEY!$B$5:$D$74,3,FALSE)))</f>
        <v>Texas</v>
      </c>
      <c r="B2165" s="165">
        <f t="shared" si="27"/>
        <v>45992</v>
      </c>
      <c r="C2165" s="57" t="str">
        <f>IF($B2165="","",YEAR($B2165)&amp;"-"&amp;IFERROR(VLOOKUP(MONTH(B2165),KEY!$AE$5:$AF$16,2,FALSE),""))</f>
        <v>2025-Q4</v>
      </c>
      <c r="D2165" s="3" t="s">
        <v>128</v>
      </c>
      <c r="E2165" s="219">
        <v>29</v>
      </c>
      <c r="F2165" s="166">
        <v>216</v>
      </c>
      <c r="G2165" s="166">
        <v>198</v>
      </c>
      <c r="H2165" s="21">
        <v>651</v>
      </c>
      <c r="I2165" s="21">
        <v>87</v>
      </c>
      <c r="J2165" s="21">
        <v>159</v>
      </c>
      <c r="K2165" s="21">
        <v>34</v>
      </c>
      <c r="L2165" s="21">
        <v>382</v>
      </c>
      <c r="M2165" s="21">
        <v>111</v>
      </c>
      <c r="N2165" s="21">
        <v>217</v>
      </c>
      <c r="O2165" s="19">
        <v>308</v>
      </c>
      <c r="P2165" s="22">
        <v>8</v>
      </c>
      <c r="Q2165" s="22">
        <v>5</v>
      </c>
      <c r="R2165" s="20"/>
      <c r="S2165" s="234"/>
      <c r="T2165" s="235"/>
    </row>
    <row r="2166" spans="1:20" x14ac:dyDescent="0.35">
      <c r="A2166" s="3" t="str">
        <f>IF(D2166="","",(VLOOKUP($D2166,KEY!$B$5:$D$74,3,FALSE)))</f>
        <v>Northern California</v>
      </c>
      <c r="B2166" s="165">
        <f t="shared" si="27"/>
        <v>45992</v>
      </c>
      <c r="C2166" s="57" t="str">
        <f>IF($B2166="","",YEAR($B2166)&amp;"-"&amp;IFERROR(VLOOKUP(MONTH(B2166),KEY!$AE$5:$AF$16,2,FALSE),""))</f>
        <v>2025-Q4</v>
      </c>
      <c r="D2166" s="3" t="s">
        <v>129</v>
      </c>
      <c r="E2166" s="219">
        <v>36</v>
      </c>
      <c r="F2166" s="166">
        <v>161</v>
      </c>
      <c r="G2166" s="166">
        <v>185</v>
      </c>
      <c r="H2166" s="21">
        <v>295</v>
      </c>
      <c r="I2166" s="21">
        <v>50</v>
      </c>
      <c r="J2166" s="21">
        <v>148</v>
      </c>
      <c r="K2166" s="21">
        <v>38</v>
      </c>
      <c r="L2166" s="21">
        <v>219</v>
      </c>
      <c r="M2166" s="21">
        <v>63</v>
      </c>
      <c r="N2166" s="21">
        <v>163</v>
      </c>
      <c r="O2166" s="19">
        <v>308</v>
      </c>
      <c r="P2166" s="22">
        <v>28</v>
      </c>
      <c r="Q2166" s="22">
        <v>21</v>
      </c>
      <c r="R2166" s="20"/>
      <c r="S2166" s="234"/>
      <c r="T2166" s="235"/>
    </row>
    <row r="2167" spans="1:20" x14ac:dyDescent="0.35">
      <c r="A2167" s="3" t="str">
        <f>IF(D2167="","",(VLOOKUP($D2167,KEY!$B$5:$D$74,3,FALSE)))</f>
        <v>Southern California</v>
      </c>
      <c r="B2167" s="165">
        <f t="shared" si="27"/>
        <v>45992</v>
      </c>
      <c r="C2167" s="57" t="str">
        <f>IF($B2167="","",YEAR($B2167)&amp;"-"&amp;IFERROR(VLOOKUP(MONTH(B2167),KEY!$AE$5:$AF$16,2,FALSE),""))</f>
        <v>2025-Q4</v>
      </c>
      <c r="D2167" s="3" t="s">
        <v>130</v>
      </c>
      <c r="E2167" s="219">
        <v>16</v>
      </c>
      <c r="F2167" s="166">
        <v>161</v>
      </c>
      <c r="G2167" s="166">
        <v>184</v>
      </c>
      <c r="H2167" s="21">
        <v>416</v>
      </c>
      <c r="I2167" s="21">
        <v>61</v>
      </c>
      <c r="J2167" s="21">
        <v>159</v>
      </c>
      <c r="K2167" s="21">
        <v>25</v>
      </c>
      <c r="L2167" s="21">
        <v>205</v>
      </c>
      <c r="M2167" s="21">
        <v>79</v>
      </c>
      <c r="N2167" s="21">
        <v>164</v>
      </c>
      <c r="O2167" s="19">
        <v>264</v>
      </c>
      <c r="P2167" s="22">
        <v>14</v>
      </c>
      <c r="Q2167" s="22">
        <v>11</v>
      </c>
      <c r="R2167" s="20"/>
      <c r="S2167" s="234"/>
      <c r="T2167" s="235"/>
    </row>
    <row r="2168" spans="1:20" x14ac:dyDescent="0.35">
      <c r="A2168" s="3" t="str">
        <f>IF(D2168="","",(VLOOKUP($D2168,KEY!$B$5:$D$74,3,FALSE)))</f>
        <v>Texas</v>
      </c>
      <c r="B2168" s="165">
        <f t="shared" si="27"/>
        <v>45992</v>
      </c>
      <c r="C2168" s="57" t="str">
        <f>IF($B2168="","",YEAR($B2168)&amp;"-"&amp;IFERROR(VLOOKUP(MONTH(B2168),KEY!$AE$5:$AF$16,2,FALSE),""))</f>
        <v>2025-Q4</v>
      </c>
      <c r="D2168" s="3" t="s">
        <v>210</v>
      </c>
      <c r="E2168" s="219">
        <v>0</v>
      </c>
      <c r="F2168" s="166">
        <v>145</v>
      </c>
      <c r="G2168" s="166">
        <v>0</v>
      </c>
      <c r="H2168" s="21">
        <v>399</v>
      </c>
      <c r="I2168" s="21">
        <v>42</v>
      </c>
      <c r="J2168" s="21">
        <v>160</v>
      </c>
      <c r="K2168" s="21">
        <v>12</v>
      </c>
      <c r="L2168" s="21">
        <v>186</v>
      </c>
      <c r="M2168" s="21">
        <v>51</v>
      </c>
      <c r="N2168" s="21">
        <v>151</v>
      </c>
      <c r="O2168" s="19">
        <v>154</v>
      </c>
      <c r="P2168" s="22">
        <v>0</v>
      </c>
      <c r="Q2168" s="22">
        <v>0</v>
      </c>
      <c r="R2168" s="20"/>
      <c r="S2168" s="234"/>
      <c r="T2168" s="235"/>
    </row>
    <row r="2169" spans="1:20" x14ac:dyDescent="0.35">
      <c r="A2169" s="3" t="str">
        <f>IF(D2169="","",(VLOOKUP($D2169,KEY!$B$5:$D$74,3,FALSE)))</f>
        <v>Southern California</v>
      </c>
      <c r="B2169" s="165">
        <f t="shared" si="27"/>
        <v>45992</v>
      </c>
      <c r="C2169" s="57" t="str">
        <f>IF($B2169="","",YEAR($B2169)&amp;"-"&amp;IFERROR(VLOOKUP(MONTH(B2169),KEY!$AE$5:$AF$16,2,FALSE),""))</f>
        <v>2025-Q4</v>
      </c>
      <c r="D2169" s="3" t="s">
        <v>135</v>
      </c>
      <c r="E2169" s="219">
        <v>33</v>
      </c>
      <c r="F2169" s="166">
        <v>217</v>
      </c>
      <c r="G2169" s="166">
        <v>242</v>
      </c>
      <c r="H2169" s="21">
        <v>550</v>
      </c>
      <c r="I2169" s="21">
        <v>76</v>
      </c>
      <c r="J2169" s="21">
        <v>291</v>
      </c>
      <c r="K2169" s="21">
        <v>71</v>
      </c>
      <c r="L2169" s="21">
        <v>499</v>
      </c>
      <c r="M2169" s="21">
        <v>117</v>
      </c>
      <c r="N2169" s="21">
        <v>217</v>
      </c>
      <c r="O2169" s="19">
        <v>418</v>
      </c>
      <c r="P2169" s="22">
        <v>10</v>
      </c>
      <c r="Q2169" s="22">
        <v>7</v>
      </c>
      <c r="R2169" s="20"/>
      <c r="S2169" s="234"/>
      <c r="T2169" s="235"/>
    </row>
    <row r="2170" spans="1:20" x14ac:dyDescent="0.35">
      <c r="A2170" s="3" t="str">
        <f>IF(D2170="","",(VLOOKUP($D2170,KEY!$B$5:$D$74,3,FALSE)))</f>
        <v>Arizona</v>
      </c>
      <c r="B2170" s="165">
        <f t="shared" si="27"/>
        <v>45992</v>
      </c>
      <c r="C2170" s="57" t="str">
        <f>IF($B2170="","",YEAR($B2170)&amp;"-"&amp;IFERROR(VLOOKUP(MONTH(B2170),KEY!$AE$5:$AF$16,2,FALSE),""))</f>
        <v>2025-Q4</v>
      </c>
      <c r="D2170" s="3" t="s">
        <v>204</v>
      </c>
      <c r="E2170" s="219">
        <v>4</v>
      </c>
      <c r="F2170" s="166">
        <v>19</v>
      </c>
      <c r="G2170" s="166">
        <v>13</v>
      </c>
      <c r="H2170" s="21">
        <v>13</v>
      </c>
      <c r="I2170" s="21">
        <v>3</v>
      </c>
      <c r="J2170" s="21">
        <v>28</v>
      </c>
      <c r="K2170" s="21">
        <v>9</v>
      </c>
      <c r="L2170" s="21">
        <v>33</v>
      </c>
      <c r="M2170" s="21">
        <v>5</v>
      </c>
      <c r="N2170" s="21">
        <v>20</v>
      </c>
      <c r="O2170" s="19">
        <v>12</v>
      </c>
      <c r="P2170" s="22">
        <v>0</v>
      </c>
      <c r="Q2170" s="22">
        <v>0</v>
      </c>
      <c r="R2170" s="20"/>
      <c r="S2170" s="234"/>
      <c r="T2170" s="235"/>
    </row>
    <row r="2171" spans="1:20" x14ac:dyDescent="0.35">
      <c r="A2171" s="3" t="str">
        <f>IF(D2171="","",(VLOOKUP($D2171,KEY!$B$5:$D$74,3,FALSE)))</f>
        <v>Arizona</v>
      </c>
      <c r="B2171" s="165">
        <f t="shared" si="27"/>
        <v>45992</v>
      </c>
      <c r="C2171" s="57" t="str">
        <f>IF($B2171="","",YEAR($B2171)&amp;"-"&amp;IFERROR(VLOOKUP(MONTH(B2171),KEY!$AE$5:$AF$16,2,FALSE),""))</f>
        <v>2025-Q4</v>
      </c>
      <c r="D2171" s="3" t="s">
        <v>196</v>
      </c>
      <c r="E2171" s="219">
        <v>13</v>
      </c>
      <c r="F2171" s="166">
        <v>35</v>
      </c>
      <c r="G2171" s="166">
        <v>63</v>
      </c>
      <c r="H2171" s="21">
        <v>76</v>
      </c>
      <c r="I2171" s="21">
        <v>11</v>
      </c>
      <c r="J2171" s="21">
        <v>46</v>
      </c>
      <c r="K2171" s="21">
        <v>9</v>
      </c>
      <c r="L2171" s="21">
        <v>84</v>
      </c>
      <c r="M2171" s="21">
        <v>33</v>
      </c>
      <c r="N2171" s="21">
        <v>36</v>
      </c>
      <c r="O2171" s="19">
        <v>110</v>
      </c>
      <c r="P2171" s="22">
        <v>1</v>
      </c>
      <c r="Q2171" s="22">
        <v>1</v>
      </c>
      <c r="R2171" s="20"/>
      <c r="S2171" s="234"/>
      <c r="T2171" s="235"/>
    </row>
    <row r="2172" spans="1:20" x14ac:dyDescent="0.35">
      <c r="A2172" s="3" t="str">
        <f>IF(D2172="","",(VLOOKUP($D2172,KEY!$B$5:$D$74,3,FALSE)))</f>
        <v>Arizona</v>
      </c>
      <c r="B2172" s="165">
        <f t="shared" si="27"/>
        <v>45992</v>
      </c>
      <c r="C2172" s="57" t="str">
        <f>IF($B2172="","",YEAR($B2172)&amp;"-"&amp;IFERROR(VLOOKUP(MONTH(B2172),KEY!$AE$5:$AF$16,2,FALSE),""))</f>
        <v>2025-Q4</v>
      </c>
      <c r="D2172" s="3" t="s">
        <v>197</v>
      </c>
      <c r="E2172" s="219">
        <v>16</v>
      </c>
      <c r="F2172" s="166">
        <v>95</v>
      </c>
      <c r="G2172" s="166">
        <v>137</v>
      </c>
      <c r="H2172" s="21">
        <v>148</v>
      </c>
      <c r="I2172" s="21">
        <v>20</v>
      </c>
      <c r="J2172" s="21">
        <v>91</v>
      </c>
      <c r="K2172" s="21">
        <v>19</v>
      </c>
      <c r="L2172" s="21">
        <v>205</v>
      </c>
      <c r="M2172" s="21">
        <v>74</v>
      </c>
      <c r="N2172" s="21">
        <v>97</v>
      </c>
      <c r="O2172" s="19">
        <v>198</v>
      </c>
      <c r="P2172" s="22">
        <v>4</v>
      </c>
      <c r="Q2172" s="22">
        <v>3</v>
      </c>
      <c r="R2172" s="20"/>
      <c r="S2172" s="234"/>
      <c r="T2172" s="235"/>
    </row>
    <row r="2173" spans="1:20" x14ac:dyDescent="0.35">
      <c r="A2173" s="3" t="str">
        <f>IF(D2173="","",(VLOOKUP($D2173,KEY!$B$5:$D$74,3,FALSE)))</f>
        <v>Texas</v>
      </c>
      <c r="B2173" s="165">
        <f t="shared" si="27"/>
        <v>45992</v>
      </c>
      <c r="C2173" s="57" t="str">
        <f>IF($B2173="","",YEAR($B2173)&amp;"-"&amp;IFERROR(VLOOKUP(MONTH(B2173),KEY!$AE$5:$AF$16,2,FALSE),""))</f>
        <v>2025-Q4</v>
      </c>
      <c r="D2173" s="3" t="s">
        <v>136</v>
      </c>
      <c r="E2173" s="219">
        <v>37</v>
      </c>
      <c r="F2173" s="166">
        <v>305</v>
      </c>
      <c r="G2173" s="166">
        <v>318</v>
      </c>
      <c r="H2173" s="21">
        <v>583</v>
      </c>
      <c r="I2173" s="21">
        <v>83</v>
      </c>
      <c r="J2173" s="21">
        <v>363</v>
      </c>
      <c r="K2173" s="21">
        <v>46</v>
      </c>
      <c r="L2173" s="21">
        <v>519</v>
      </c>
      <c r="M2173" s="21">
        <v>203</v>
      </c>
      <c r="N2173" s="21">
        <v>313</v>
      </c>
      <c r="O2173" s="19">
        <v>352</v>
      </c>
      <c r="P2173" s="22">
        <v>14</v>
      </c>
      <c r="Q2173" s="22">
        <v>11</v>
      </c>
      <c r="R2173" s="20"/>
      <c r="S2173" s="234"/>
      <c r="T2173" s="235"/>
    </row>
    <row r="2174" spans="1:20" x14ac:dyDescent="0.35">
      <c r="A2174" s="3" t="str">
        <f>IF(D2174="","",(VLOOKUP($D2174,KEY!$B$5:$D$74,3,FALSE)))</f>
        <v>Arizona</v>
      </c>
      <c r="B2174" s="165">
        <f t="shared" si="27"/>
        <v>45992</v>
      </c>
      <c r="C2174" s="57" t="str">
        <f>IF($B2174="","",YEAR($B2174)&amp;"-"&amp;IFERROR(VLOOKUP(MONTH(B2174),KEY!$AE$5:$AF$16,2,FALSE),""))</f>
        <v>2025-Q4</v>
      </c>
      <c r="D2174" s="3" t="s">
        <v>137</v>
      </c>
      <c r="E2174" s="219">
        <v>18</v>
      </c>
      <c r="F2174" s="166">
        <v>143</v>
      </c>
      <c r="G2174" s="166">
        <v>107</v>
      </c>
      <c r="H2174" s="21">
        <v>307</v>
      </c>
      <c r="I2174" s="21">
        <v>42</v>
      </c>
      <c r="J2174" s="21">
        <v>145</v>
      </c>
      <c r="K2174" s="21">
        <v>31</v>
      </c>
      <c r="L2174" s="21">
        <v>211</v>
      </c>
      <c r="M2174" s="21">
        <v>108</v>
      </c>
      <c r="N2174" s="21">
        <v>144</v>
      </c>
      <c r="O2174" s="19">
        <v>198</v>
      </c>
      <c r="P2174" s="22">
        <v>2</v>
      </c>
      <c r="Q2174" s="22">
        <v>1</v>
      </c>
      <c r="R2174" s="20"/>
      <c r="S2174" s="234">
        <f>COUNTIFS(INP_DATA!$R$5:$R$3027,S$4,INP_DATA!$D$5:$D$3027,$D2174,INP_DATA!$B$5:$B$3027,$B2174)</f>
        <v>0</v>
      </c>
      <c r="T2174" s="235">
        <f>COUNTIFS(INP_DATA!$R$5:$R$3027,T$4,INP_DATA!$D$5:$D$3027,$D2174,INP_DATA!$B$5:$B$3027,$B2174)</f>
        <v>0</v>
      </c>
    </row>
    <row r="2175" spans="1:20" x14ac:dyDescent="0.35">
      <c r="A2175" s="3" t="str">
        <f>IF(D2175="","",(VLOOKUP($D2175,KEY!$B$5:$D$74,3,FALSE)))</f>
        <v>Texas</v>
      </c>
      <c r="B2175" s="165">
        <f t="shared" si="27"/>
        <v>45992</v>
      </c>
      <c r="C2175" s="57" t="str">
        <f>IF($B2175="","",YEAR($B2175)&amp;"-"&amp;IFERROR(VLOOKUP(MONTH(B2175),KEY!$AE$5:$AF$16,2,FALSE),""))</f>
        <v>2025-Q4</v>
      </c>
      <c r="D2175" s="3" t="s">
        <v>138</v>
      </c>
      <c r="E2175" s="219">
        <v>28</v>
      </c>
      <c r="F2175" s="166">
        <v>178</v>
      </c>
      <c r="G2175" s="166">
        <v>201</v>
      </c>
      <c r="H2175" s="21">
        <v>247</v>
      </c>
      <c r="I2175" s="21">
        <v>41</v>
      </c>
      <c r="J2175" s="21">
        <v>161</v>
      </c>
      <c r="K2175" s="21">
        <v>48</v>
      </c>
      <c r="L2175" s="21">
        <v>293</v>
      </c>
      <c r="M2175" s="21">
        <v>110</v>
      </c>
      <c r="N2175" s="21">
        <v>177</v>
      </c>
      <c r="O2175" s="19">
        <v>220</v>
      </c>
      <c r="P2175" s="22">
        <v>10</v>
      </c>
      <c r="Q2175" s="22">
        <v>9</v>
      </c>
      <c r="R2175" s="20"/>
      <c r="S2175" s="234">
        <f>COUNTIFS(INP_DATA!$R$5:$R$3027,S$4,INP_DATA!$D$5:$D$3027,$D2175,INP_DATA!$B$5:$B$3027,$B2175)</f>
        <v>0</v>
      </c>
      <c r="T2175" s="235">
        <f>COUNTIFS(INP_DATA!$R$5:$R$3027,T$4,INP_DATA!$D$5:$D$3027,$D2175,INP_DATA!$B$5:$B$3027,$B2175)</f>
        <v>0</v>
      </c>
    </row>
    <row r="2176" spans="1:20" x14ac:dyDescent="0.35">
      <c r="A2176" s="3" t="str">
        <f>IF(D2176="","",(VLOOKUP($D2176,KEY!$B$5:$D$74,3,FALSE)))</f>
        <v>Southern California</v>
      </c>
      <c r="B2176" s="165">
        <f t="shared" si="27"/>
        <v>45992</v>
      </c>
      <c r="C2176" s="57" t="str">
        <f>IF($B2176="","",YEAR($B2176)&amp;"-"&amp;IFERROR(VLOOKUP(MONTH(B2176),KEY!$AE$5:$AF$16,2,FALSE),""))</f>
        <v>2025-Q4</v>
      </c>
      <c r="D2176" s="3" t="s">
        <v>139</v>
      </c>
      <c r="E2176" s="219">
        <v>41</v>
      </c>
      <c r="F2176" s="166">
        <v>339</v>
      </c>
      <c r="G2176" s="166">
        <v>236</v>
      </c>
      <c r="H2176" s="21">
        <v>582</v>
      </c>
      <c r="I2176" s="21">
        <v>92</v>
      </c>
      <c r="J2176" s="21">
        <v>245</v>
      </c>
      <c r="K2176" s="21">
        <v>65</v>
      </c>
      <c r="L2176" s="21">
        <v>571</v>
      </c>
      <c r="M2176" s="21">
        <v>188</v>
      </c>
      <c r="N2176" s="21">
        <v>340</v>
      </c>
      <c r="O2176" s="19">
        <v>374</v>
      </c>
      <c r="P2176" s="22">
        <v>8</v>
      </c>
      <c r="Q2176" s="22">
        <v>6</v>
      </c>
      <c r="R2176" s="20"/>
      <c r="S2176" s="234">
        <f>COUNTIFS(INP_DATA!$R$5:$R$3027,S$4,INP_DATA!$D$5:$D$3027,$D2176,INP_DATA!$B$5:$B$3027,$B2176)</f>
        <v>0</v>
      </c>
      <c r="T2176" s="235">
        <f>COUNTIFS(INP_DATA!$R$5:$R$3027,T$4,INP_DATA!$D$5:$D$3027,$D2176,INP_DATA!$B$5:$B$3027,$B2176)</f>
        <v>0</v>
      </c>
    </row>
    <row r="2177" spans="1:20" x14ac:dyDescent="0.35">
      <c r="A2177" s="3" t="str">
        <f>IF(D2177="","",(VLOOKUP($D2177,KEY!$B$5:$D$74,3,FALSE)))</f>
        <v>Orange County</v>
      </c>
      <c r="B2177" s="165">
        <f t="shared" si="27"/>
        <v>45992</v>
      </c>
      <c r="C2177" s="57" t="str">
        <f>IF($B2177="","",YEAR($B2177)&amp;"-"&amp;IFERROR(VLOOKUP(MONTH(B2177),KEY!$AE$5:$AF$16,2,FALSE),""))</f>
        <v>2025-Q4</v>
      </c>
      <c r="D2177" s="3" t="s">
        <v>140</v>
      </c>
      <c r="E2177" s="219">
        <v>6</v>
      </c>
      <c r="F2177" s="166">
        <v>45</v>
      </c>
      <c r="G2177" s="166">
        <v>40</v>
      </c>
      <c r="H2177" s="21">
        <v>103</v>
      </c>
      <c r="I2177" s="21">
        <v>15</v>
      </c>
      <c r="J2177" s="21">
        <v>45</v>
      </c>
      <c r="K2177" s="21">
        <v>9</v>
      </c>
      <c r="L2177" s="21">
        <v>85</v>
      </c>
      <c r="M2177" s="21">
        <v>32</v>
      </c>
      <c r="N2177" s="21">
        <v>45</v>
      </c>
      <c r="O2177" s="19">
        <v>88</v>
      </c>
      <c r="P2177" s="22">
        <v>7</v>
      </c>
      <c r="Q2177" s="22">
        <v>3</v>
      </c>
      <c r="R2177" s="20"/>
      <c r="S2177" s="234">
        <f>COUNTIFS(INP_DATA!$R$5:$R$3027,S$4,INP_DATA!$D$5:$D$3027,$D2177,INP_DATA!$B$5:$B$3027,$B2177)</f>
        <v>0</v>
      </c>
      <c r="T2177" s="235">
        <f>COUNTIFS(INP_DATA!$R$5:$R$3027,T$4,INP_DATA!$D$5:$D$3027,$D2177,INP_DATA!$B$5:$B$3027,$B2177)</f>
        <v>0</v>
      </c>
    </row>
    <row r="2178" spans="1:20" x14ac:dyDescent="0.35">
      <c r="A2178" s="3" t="str">
        <f>IF(D2178="","",(VLOOKUP($D2178,KEY!$B$5:$D$74,3,FALSE)))</f>
        <v>Southern California</v>
      </c>
      <c r="B2178" s="165">
        <f t="shared" si="27"/>
        <v>45992</v>
      </c>
      <c r="C2178" s="57" t="str">
        <f>IF($B2178="","",YEAR($B2178)&amp;"-"&amp;IFERROR(VLOOKUP(MONTH(B2178),KEY!$AE$5:$AF$16,2,FALSE),""))</f>
        <v>2025-Q4</v>
      </c>
      <c r="D2178" s="3" t="s">
        <v>142</v>
      </c>
      <c r="E2178" s="219">
        <v>26</v>
      </c>
      <c r="F2178" s="166">
        <v>91</v>
      </c>
      <c r="G2178" s="166">
        <v>98</v>
      </c>
      <c r="H2178" s="21">
        <v>186</v>
      </c>
      <c r="I2178" s="21">
        <v>37</v>
      </c>
      <c r="J2178" s="21">
        <v>36</v>
      </c>
      <c r="K2178" s="21">
        <v>11</v>
      </c>
      <c r="L2178" s="21">
        <v>146</v>
      </c>
      <c r="M2178" s="21">
        <v>90</v>
      </c>
      <c r="N2178" s="21">
        <v>92</v>
      </c>
      <c r="O2178" s="19">
        <v>132</v>
      </c>
      <c r="P2178" s="22">
        <v>17</v>
      </c>
      <c r="Q2178" s="22">
        <v>12</v>
      </c>
      <c r="R2178" s="20"/>
      <c r="S2178" s="234">
        <f>COUNTIFS(INP_DATA!$R$5:$R$3027,S$4,INP_DATA!$D$5:$D$3027,$D2178,INP_DATA!$B$5:$B$3027,$B2178)</f>
        <v>0</v>
      </c>
      <c r="T2178" s="235">
        <f>COUNTIFS(INP_DATA!$R$5:$R$3027,T$4,INP_DATA!$D$5:$D$3027,$D2178,INP_DATA!$B$5:$B$3027,$B2178)</f>
        <v>0</v>
      </c>
    </row>
    <row r="2179" spans="1:20" x14ac:dyDescent="0.35">
      <c r="A2179" s="3" t="str">
        <f>IF(D2179="","",(VLOOKUP($D2179,KEY!$B$5:$D$74,3,FALSE)))</f>
        <v>Arizona</v>
      </c>
      <c r="B2179" s="165">
        <f t="shared" si="27"/>
        <v>45992</v>
      </c>
      <c r="C2179" s="57" t="str">
        <f>IF($B2179="","",YEAR($B2179)&amp;"-"&amp;IFERROR(VLOOKUP(MONTH(B2179),KEY!$AE$5:$AF$16,2,FALSE),""))</f>
        <v>2025-Q4</v>
      </c>
      <c r="D2179" s="3" t="s">
        <v>143</v>
      </c>
      <c r="E2179" s="219">
        <v>16</v>
      </c>
      <c r="F2179" s="166">
        <v>102</v>
      </c>
      <c r="G2179" s="166">
        <v>77</v>
      </c>
      <c r="H2179" s="21">
        <v>244</v>
      </c>
      <c r="I2179" s="21">
        <v>34</v>
      </c>
      <c r="J2179" s="21">
        <v>89</v>
      </c>
      <c r="K2179" s="21">
        <v>20</v>
      </c>
      <c r="L2179" s="21">
        <v>168</v>
      </c>
      <c r="M2179" s="21">
        <v>76</v>
      </c>
      <c r="N2179" s="21">
        <v>104</v>
      </c>
      <c r="O2179" s="19">
        <v>198</v>
      </c>
      <c r="P2179" s="22">
        <v>3</v>
      </c>
      <c r="Q2179" s="22">
        <v>2</v>
      </c>
      <c r="R2179" s="20"/>
      <c r="S2179" s="234">
        <f>COUNTIFS(INP_DATA!$R$5:$R$3027,S$4,INP_DATA!$D$5:$D$3027,$D2179,INP_DATA!$B$5:$B$3027,$B2179)</f>
        <v>0</v>
      </c>
      <c r="T2179" s="235">
        <f>COUNTIFS(INP_DATA!$R$5:$R$3027,T$4,INP_DATA!$D$5:$D$3027,$D2179,INP_DATA!$B$5:$B$3027,$B2179)</f>
        <v>0</v>
      </c>
    </row>
    <row r="2180" spans="1:20" x14ac:dyDescent="0.35">
      <c r="A2180" s="3" t="str">
        <f>IF(D2180="","",(VLOOKUP($D2180,KEY!$B$5:$D$74,3,FALSE)))</f>
        <v>Arizona</v>
      </c>
      <c r="B2180" s="165">
        <f t="shared" si="27"/>
        <v>45992</v>
      </c>
      <c r="C2180" s="57" t="str">
        <f>IF($B2180="","",YEAR($B2180)&amp;"-"&amp;IFERROR(VLOOKUP(MONTH(B2180),KEY!$AE$5:$AF$16,2,FALSE),""))</f>
        <v>2025-Q4</v>
      </c>
      <c r="D2180" s="3" t="s">
        <v>144</v>
      </c>
      <c r="E2180" s="219">
        <v>51</v>
      </c>
      <c r="F2180" s="166">
        <v>287</v>
      </c>
      <c r="G2180" s="166">
        <v>299</v>
      </c>
      <c r="H2180" s="21">
        <v>287</v>
      </c>
      <c r="I2180" s="21">
        <v>41</v>
      </c>
      <c r="J2180" s="21">
        <v>109</v>
      </c>
      <c r="K2180" s="21">
        <v>31</v>
      </c>
      <c r="L2180" s="21">
        <v>354</v>
      </c>
      <c r="M2180" s="21">
        <v>194</v>
      </c>
      <c r="N2180" s="21">
        <v>301</v>
      </c>
      <c r="O2180" s="19">
        <v>396</v>
      </c>
      <c r="P2180" s="22">
        <v>16</v>
      </c>
      <c r="Q2180" s="22">
        <v>13</v>
      </c>
      <c r="R2180" s="20"/>
      <c r="S2180" s="234">
        <f>COUNTIFS(INP_DATA!$R$5:$R$3027,S$4,INP_DATA!$D$5:$D$3027,$D2180,INP_DATA!$B$5:$B$3027,$B2180)</f>
        <v>0</v>
      </c>
      <c r="T2180" s="235">
        <f>COUNTIFS(INP_DATA!$R$5:$R$3027,T$4,INP_DATA!$D$5:$D$3027,$D2180,INP_DATA!$B$5:$B$3027,$B2180)</f>
        <v>0</v>
      </c>
    </row>
    <row r="2181" spans="1:20" x14ac:dyDescent="0.35">
      <c r="A2181" s="3" t="str">
        <f>IF(D2181="","",(VLOOKUP($D2181,KEY!$B$5:$D$74,3,FALSE)))</f>
        <v>Southern California</v>
      </c>
      <c r="B2181" s="165">
        <f t="shared" si="27"/>
        <v>45992</v>
      </c>
      <c r="C2181" s="57" t="str">
        <f>IF($B2181="","",YEAR($B2181)&amp;"-"&amp;IFERROR(VLOOKUP(MONTH(B2181),KEY!$AE$5:$AF$16,2,FALSE),""))</f>
        <v>2025-Q4</v>
      </c>
      <c r="D2181" s="3" t="s">
        <v>145</v>
      </c>
      <c r="E2181" s="219">
        <v>57</v>
      </c>
      <c r="F2181" s="166">
        <v>193</v>
      </c>
      <c r="G2181" s="166">
        <v>241</v>
      </c>
      <c r="H2181" s="21">
        <v>323</v>
      </c>
      <c r="I2181" s="21">
        <v>40</v>
      </c>
      <c r="J2181" s="21">
        <v>128</v>
      </c>
      <c r="K2181" s="21">
        <v>30</v>
      </c>
      <c r="L2181" s="21">
        <v>305</v>
      </c>
      <c r="M2181" s="21">
        <v>124</v>
      </c>
      <c r="N2181" s="21">
        <v>198</v>
      </c>
      <c r="O2181" s="19">
        <v>352</v>
      </c>
      <c r="P2181" s="22">
        <v>24</v>
      </c>
      <c r="Q2181" s="22">
        <v>15</v>
      </c>
      <c r="R2181" s="20"/>
      <c r="S2181" s="234">
        <f>COUNTIFS(INP_DATA!$R$5:$R$3027,S$4,INP_DATA!$D$5:$D$3027,$D2181,INP_DATA!$B$5:$B$3027,$B2181)</f>
        <v>0</v>
      </c>
      <c r="T2181" s="235">
        <f>COUNTIFS(INP_DATA!$R$5:$R$3027,T$4,INP_DATA!$D$5:$D$3027,$D2181,INP_DATA!$B$5:$B$3027,$B2181)</f>
        <v>0</v>
      </c>
    </row>
    <row r="2182" spans="1:20" x14ac:dyDescent="0.35">
      <c r="A2182" s="3" t="str">
        <f>IF(D2182="","",(VLOOKUP($D2182,KEY!$B$5:$D$74,3,FALSE)))</f>
        <v>Arizona</v>
      </c>
      <c r="B2182" s="165">
        <f t="shared" si="27"/>
        <v>45992</v>
      </c>
      <c r="C2182" s="57" t="str">
        <f>IF($B2182="","",YEAR($B2182)&amp;"-"&amp;IFERROR(VLOOKUP(MONTH(B2182),KEY!$AE$5:$AF$16,2,FALSE),""))</f>
        <v>2025-Q4</v>
      </c>
      <c r="D2182" s="3" t="s">
        <v>146</v>
      </c>
      <c r="E2182" s="219">
        <v>7</v>
      </c>
      <c r="F2182" s="166">
        <v>45</v>
      </c>
      <c r="G2182" s="166">
        <v>31</v>
      </c>
      <c r="H2182" s="21">
        <v>87</v>
      </c>
      <c r="I2182" s="21">
        <v>12</v>
      </c>
      <c r="J2182" s="21">
        <v>22</v>
      </c>
      <c r="K2182" s="21">
        <v>3</v>
      </c>
      <c r="L2182" s="21">
        <v>86</v>
      </c>
      <c r="M2182" s="21">
        <v>34</v>
      </c>
      <c r="N2182" s="21">
        <v>46</v>
      </c>
      <c r="O2182" s="19">
        <v>88</v>
      </c>
      <c r="P2182" s="22">
        <v>2</v>
      </c>
      <c r="Q2182" s="22">
        <v>1</v>
      </c>
      <c r="R2182" s="20"/>
      <c r="S2182" s="234">
        <f>COUNTIFS(INP_DATA!$R$5:$R$3027,S$4,INP_DATA!$D$5:$D$3027,$D2182,INP_DATA!$B$5:$B$3027,$B2182)</f>
        <v>0</v>
      </c>
      <c r="T2182" s="235">
        <f>COUNTIFS(INP_DATA!$R$5:$R$3027,T$4,INP_DATA!$D$5:$D$3027,$D2182,INP_DATA!$B$5:$B$3027,$B2182)</f>
        <v>0</v>
      </c>
    </row>
    <row r="2183" spans="1:20" x14ac:dyDescent="0.35">
      <c r="A2183" s="3" t="str">
        <f>IF(D2183="","",(VLOOKUP($D2183,KEY!$B$5:$D$74,3,FALSE)))</f>
        <v>Texas</v>
      </c>
      <c r="B2183" s="165">
        <f t="shared" si="27"/>
        <v>45992</v>
      </c>
      <c r="C2183" s="57" t="str">
        <f>IF($B2183="","",YEAR($B2183)&amp;"-"&amp;IFERROR(VLOOKUP(MONTH(B2183),KEY!$AE$5:$AF$16,2,FALSE),""))</f>
        <v>2025-Q4</v>
      </c>
      <c r="D2183" s="3" t="s">
        <v>147</v>
      </c>
      <c r="E2183" s="219">
        <v>9</v>
      </c>
      <c r="F2183" s="166">
        <v>38</v>
      </c>
      <c r="G2183" s="166">
        <v>44</v>
      </c>
      <c r="H2183" s="21">
        <v>69</v>
      </c>
      <c r="I2183" s="21">
        <v>12</v>
      </c>
      <c r="J2183" s="21">
        <v>13</v>
      </c>
      <c r="K2183" s="21">
        <v>3</v>
      </c>
      <c r="L2183" s="21">
        <v>73</v>
      </c>
      <c r="M2183" s="21">
        <v>40</v>
      </c>
      <c r="N2183" s="21">
        <v>38</v>
      </c>
      <c r="O2183" s="19">
        <v>88</v>
      </c>
      <c r="P2183" s="22">
        <v>7</v>
      </c>
      <c r="Q2183" s="22">
        <v>5</v>
      </c>
      <c r="R2183" s="20"/>
      <c r="S2183" s="234">
        <f>COUNTIFS(INP_DATA!$R$5:$R$3027,S$4,INP_DATA!$D$5:$D$3027,$D2183,INP_DATA!$B$5:$B$3027,$B2183)</f>
        <v>0</v>
      </c>
      <c r="T2183" s="235">
        <f>COUNTIFS(INP_DATA!$R$5:$R$3027,T$4,INP_DATA!$D$5:$D$3027,$D2183,INP_DATA!$B$5:$B$3027,$B2183)</f>
        <v>0</v>
      </c>
    </row>
    <row r="2184" spans="1:20" x14ac:dyDescent="0.35">
      <c r="A2184" s="3" t="str">
        <f>IF(D2184="","",(VLOOKUP($D2184,KEY!$B$5:$D$74,3,FALSE)))</f>
        <v>Northern California</v>
      </c>
      <c r="B2184" s="165">
        <f t="shared" si="27"/>
        <v>45992</v>
      </c>
      <c r="C2184" s="57" t="str">
        <f>IF($B2184="","",YEAR($B2184)&amp;"-"&amp;IFERROR(VLOOKUP(MONTH(B2184),KEY!$AE$5:$AF$16,2,FALSE),""))</f>
        <v>2025-Q4</v>
      </c>
      <c r="D2184" s="3" t="s">
        <v>148</v>
      </c>
      <c r="E2184" s="219">
        <v>10</v>
      </c>
      <c r="F2184" s="166">
        <v>40</v>
      </c>
      <c r="G2184" s="166">
        <v>49</v>
      </c>
      <c r="H2184" s="21">
        <v>110</v>
      </c>
      <c r="I2184" s="21">
        <v>13</v>
      </c>
      <c r="J2184" s="21">
        <v>34</v>
      </c>
      <c r="K2184" s="21">
        <v>4</v>
      </c>
      <c r="L2184" s="21">
        <v>76</v>
      </c>
      <c r="M2184" s="21">
        <v>31</v>
      </c>
      <c r="N2184" s="21">
        <v>40</v>
      </c>
      <c r="O2184" s="19">
        <v>88</v>
      </c>
      <c r="P2184" s="22">
        <v>10</v>
      </c>
      <c r="Q2184" s="22">
        <v>5</v>
      </c>
      <c r="R2184" s="20"/>
      <c r="S2184" s="234">
        <f>COUNTIFS(INP_DATA!$R$5:$R$3027,S$4,INP_DATA!$D$5:$D$3027,$D2184,INP_DATA!$B$5:$B$3027,$B2184)</f>
        <v>0</v>
      </c>
      <c r="T2184" s="235">
        <f>COUNTIFS(INP_DATA!$R$5:$R$3027,T$4,INP_DATA!$D$5:$D$3027,$D2184,INP_DATA!$B$5:$B$3027,$B2184)</f>
        <v>0</v>
      </c>
    </row>
    <row r="2185" spans="1:20" x14ac:dyDescent="0.35">
      <c r="A2185" s="3" t="str">
        <f>IF(D2185="","",(VLOOKUP($D2185,KEY!$B$5:$D$74,3,FALSE)))</f>
        <v>Orange County</v>
      </c>
      <c r="B2185" s="165">
        <f t="shared" si="27"/>
        <v>45992</v>
      </c>
      <c r="C2185" s="57" t="str">
        <f>IF($B2185="","",YEAR($B2185)&amp;"-"&amp;IFERROR(VLOOKUP(MONTH(B2185),KEY!$AE$5:$AF$16,2,FALSE),""))</f>
        <v>2025-Q4</v>
      </c>
      <c r="D2185" s="3" t="s">
        <v>149</v>
      </c>
      <c r="E2185" s="219">
        <v>2</v>
      </c>
      <c r="F2185" s="166">
        <v>0</v>
      </c>
      <c r="G2185" s="166">
        <v>0</v>
      </c>
      <c r="H2185" s="21">
        <v>43</v>
      </c>
      <c r="I2185" s="21">
        <v>9</v>
      </c>
      <c r="J2185" s="21">
        <v>15</v>
      </c>
      <c r="K2185" s="21">
        <v>4</v>
      </c>
      <c r="L2185" s="21">
        <v>44</v>
      </c>
      <c r="M2185" s="21">
        <v>14</v>
      </c>
      <c r="N2185" s="21">
        <v>27</v>
      </c>
      <c r="O2185" s="19">
        <v>66</v>
      </c>
      <c r="P2185" s="22">
        <v>0</v>
      </c>
      <c r="Q2185" s="22">
        <v>0</v>
      </c>
      <c r="R2185" s="20"/>
      <c r="S2185" s="234">
        <f>COUNTIFS(INP_DATA!$R$5:$R$3027,S$4,INP_DATA!$D$5:$D$3027,$D2185,INP_DATA!$B$5:$B$3027,$B2185)</f>
        <v>0</v>
      </c>
      <c r="T2185" s="235">
        <f>COUNTIFS(INP_DATA!$R$5:$R$3027,T$4,INP_DATA!$D$5:$D$3027,$D2185,INP_DATA!$B$5:$B$3027,$B2185)</f>
        <v>0</v>
      </c>
    </row>
    <row r="2186" spans="1:20" x14ac:dyDescent="0.35">
      <c r="A2186" s="3" t="str">
        <f>IF(D2186="","",(VLOOKUP($D2186,KEY!$B$5:$D$74,3,FALSE)))</f>
        <v>Southern California</v>
      </c>
      <c r="B2186" s="165">
        <f t="shared" si="27"/>
        <v>45992</v>
      </c>
      <c r="C2186" s="57" t="str">
        <f>IF($B2186="","",YEAR($B2186)&amp;"-"&amp;IFERROR(VLOOKUP(MONTH(B2186),KEY!$AE$5:$AF$16,2,FALSE),""))</f>
        <v>2025-Q4</v>
      </c>
      <c r="D2186" s="3" t="s">
        <v>150</v>
      </c>
      <c r="E2186" s="219">
        <v>16</v>
      </c>
      <c r="F2186" s="166">
        <v>59</v>
      </c>
      <c r="G2186" s="166">
        <v>52</v>
      </c>
      <c r="H2186" s="21">
        <v>85</v>
      </c>
      <c r="I2186" s="21">
        <v>17</v>
      </c>
      <c r="J2186" s="21">
        <v>16</v>
      </c>
      <c r="K2186" s="21">
        <v>4</v>
      </c>
      <c r="L2186" s="21">
        <v>86</v>
      </c>
      <c r="M2186" s="21">
        <v>34</v>
      </c>
      <c r="N2186" s="21">
        <v>59</v>
      </c>
      <c r="O2186" s="19">
        <v>88</v>
      </c>
      <c r="P2186" s="22">
        <v>10</v>
      </c>
      <c r="Q2186" s="22">
        <v>5</v>
      </c>
      <c r="R2186" s="20"/>
      <c r="S2186" s="234">
        <f>COUNTIFS(INP_DATA!$R$5:$R$3027,S$4,INP_DATA!$D$5:$D$3027,$D2186,INP_DATA!$B$5:$B$3027,$B2186)</f>
        <v>0</v>
      </c>
      <c r="T2186" s="235">
        <f>COUNTIFS(INP_DATA!$R$5:$R$3027,T$4,INP_DATA!$D$5:$D$3027,$D2186,INP_DATA!$B$5:$B$3027,$B2186)</f>
        <v>0</v>
      </c>
    </row>
    <row r="2187" spans="1:20" x14ac:dyDescent="0.35">
      <c r="A2187" s="3" t="str">
        <f>IF(D2187="","",(VLOOKUP($D2187,KEY!$B$5:$D$74,3,FALSE)))</f>
        <v>Arizona</v>
      </c>
      <c r="B2187" s="165">
        <f t="shared" si="27"/>
        <v>45992</v>
      </c>
      <c r="C2187" s="57" t="str">
        <f>IF($B2187="","",YEAR($B2187)&amp;"-"&amp;IFERROR(VLOOKUP(MONTH(B2187),KEY!$AE$5:$AF$16,2,FALSE),""))</f>
        <v>2025-Q4</v>
      </c>
      <c r="D2187" s="3" t="s">
        <v>151</v>
      </c>
      <c r="E2187" s="219">
        <v>3</v>
      </c>
      <c r="F2187" s="166">
        <v>23</v>
      </c>
      <c r="G2187" s="166">
        <v>45</v>
      </c>
      <c r="H2187" s="21">
        <v>47</v>
      </c>
      <c r="I2187" s="21">
        <v>8</v>
      </c>
      <c r="J2187" s="21">
        <v>5</v>
      </c>
      <c r="K2187" s="21">
        <v>2</v>
      </c>
      <c r="L2187" s="21">
        <v>51</v>
      </c>
      <c r="M2187" s="21">
        <v>27</v>
      </c>
      <c r="N2187" s="21">
        <v>23</v>
      </c>
      <c r="O2187" s="19">
        <v>88</v>
      </c>
      <c r="P2187" s="22">
        <v>2</v>
      </c>
      <c r="Q2187" s="22">
        <v>1</v>
      </c>
      <c r="R2187" s="20"/>
      <c r="S2187" s="234">
        <f>COUNTIFS(INP_DATA!$R$5:$R$3027,S$4,INP_DATA!$D$5:$D$3027,$D2187,INP_DATA!$B$5:$B$3027,$B2187)</f>
        <v>0</v>
      </c>
      <c r="T2187" s="235">
        <f>COUNTIFS(INP_DATA!$R$5:$R$3027,T$4,INP_DATA!$D$5:$D$3027,$D2187,INP_DATA!$B$5:$B$3027,$B2187)</f>
        <v>0</v>
      </c>
    </row>
    <row r="2188" spans="1:20" x14ac:dyDescent="0.35">
      <c r="A2188" s="3" t="str">
        <f>IF(D2188="","",(VLOOKUP($D2188,KEY!$B$5:$D$74,3,FALSE)))</f>
        <v>Michigan &amp; Minnesota</v>
      </c>
      <c r="B2188" s="165">
        <f t="shared" si="27"/>
        <v>45992</v>
      </c>
      <c r="C2188" s="57" t="str">
        <f>IF($B2188="","",YEAR($B2188)&amp;"-"&amp;IFERROR(VLOOKUP(MONTH(B2188),KEY!$AE$5:$AF$16,2,FALSE),""))</f>
        <v>2025-Q4</v>
      </c>
      <c r="D2188" s="3" t="s">
        <v>206</v>
      </c>
      <c r="E2188" s="219">
        <v>63</v>
      </c>
      <c r="F2188" s="166">
        <v>280</v>
      </c>
      <c r="G2188" s="166">
        <v>323</v>
      </c>
      <c r="H2188" s="21">
        <v>402</v>
      </c>
      <c r="I2188" s="21">
        <v>79</v>
      </c>
      <c r="J2188" s="21">
        <v>153</v>
      </c>
      <c r="K2188" s="21">
        <v>45</v>
      </c>
      <c r="L2188" s="21">
        <v>394</v>
      </c>
      <c r="M2188" s="21">
        <v>139</v>
      </c>
      <c r="N2188" s="21">
        <v>282</v>
      </c>
      <c r="O2188" s="19">
        <v>396</v>
      </c>
      <c r="P2188" s="22">
        <v>24</v>
      </c>
      <c r="Q2188" s="22">
        <v>21</v>
      </c>
      <c r="R2188" s="20"/>
      <c r="S2188" s="234">
        <f>COUNTIFS(INP_DATA!$R$5:$R$3027,S$4,INP_DATA!$D$5:$D$3027,$D2188,INP_DATA!$B$5:$B$3027,$B2188)</f>
        <v>0</v>
      </c>
      <c r="T2188" s="235">
        <f>COUNTIFS(INP_DATA!$R$5:$R$3027,T$4,INP_DATA!$D$5:$D$3027,$D2188,INP_DATA!$B$5:$B$3027,$B2188)</f>
        <v>0</v>
      </c>
    </row>
    <row r="2189" spans="1:20" x14ac:dyDescent="0.35">
      <c r="A2189" s="3" t="str">
        <f>IF(D2189="","",(VLOOKUP($D2189,KEY!$B$5:$D$74,3,FALSE)))</f>
        <v>Michigan &amp; Minnesota</v>
      </c>
      <c r="B2189" s="165">
        <f t="shared" si="27"/>
        <v>45992</v>
      </c>
      <c r="C2189" s="57" t="str">
        <f>IF($B2189="","",YEAR($B2189)&amp;"-"&amp;IFERROR(VLOOKUP(MONTH(B2189),KEY!$AE$5:$AF$16,2,FALSE),""))</f>
        <v>2025-Q4</v>
      </c>
      <c r="D2189" s="3" t="s">
        <v>207</v>
      </c>
      <c r="E2189" s="219">
        <v>11</v>
      </c>
      <c r="F2189" s="166">
        <v>65</v>
      </c>
      <c r="G2189" s="166">
        <v>48</v>
      </c>
      <c r="H2189" s="21">
        <v>123</v>
      </c>
      <c r="I2189" s="21">
        <v>22</v>
      </c>
      <c r="J2189" s="21">
        <v>28</v>
      </c>
      <c r="K2189" s="21">
        <v>8</v>
      </c>
      <c r="L2189" s="21">
        <v>90</v>
      </c>
      <c r="M2189" s="21">
        <v>40</v>
      </c>
      <c r="N2189" s="21">
        <v>67</v>
      </c>
      <c r="O2189" s="19">
        <v>110</v>
      </c>
      <c r="P2189" s="22">
        <v>1</v>
      </c>
      <c r="Q2189" s="22">
        <v>0</v>
      </c>
      <c r="R2189" s="20"/>
      <c r="S2189" s="234">
        <f>COUNTIFS(INP_DATA!$R$5:$R$3027,S$4,INP_DATA!$D$5:$D$3027,$D2189,INP_DATA!$B$5:$B$3027,$B2189)</f>
        <v>0</v>
      </c>
      <c r="T2189" s="235">
        <f>COUNTIFS(INP_DATA!$R$5:$R$3027,T$4,INP_DATA!$D$5:$D$3027,$D2189,INP_DATA!$B$5:$B$3027,$B2189)</f>
        <v>0</v>
      </c>
    </row>
    <row r="2190" spans="1:20" x14ac:dyDescent="0.35">
      <c r="A2190" s="3" t="str">
        <f>IF(D2190="","",(VLOOKUP($D2190,KEY!$B$5:$D$74,3,FALSE)))</f>
        <v>Indiana</v>
      </c>
      <c r="B2190" s="165">
        <f t="shared" si="27"/>
        <v>45992</v>
      </c>
      <c r="C2190" s="57" t="str">
        <f>IF($B2190="","",YEAR($B2190)&amp;"-"&amp;IFERROR(VLOOKUP(MONTH(B2190),KEY!$AE$5:$AF$16,2,FALSE),""))</f>
        <v>2025-Q4</v>
      </c>
      <c r="D2190" s="3" t="s">
        <v>208</v>
      </c>
      <c r="E2190" s="219">
        <v>8</v>
      </c>
      <c r="F2190" s="166">
        <v>110</v>
      </c>
      <c r="G2190" s="166">
        <v>139</v>
      </c>
      <c r="H2190" s="21">
        <v>228</v>
      </c>
      <c r="I2190" s="21">
        <v>43</v>
      </c>
      <c r="J2190" s="21">
        <v>106</v>
      </c>
      <c r="K2190" s="21">
        <v>18</v>
      </c>
      <c r="L2190" s="21">
        <v>160</v>
      </c>
      <c r="M2190" s="21">
        <v>51</v>
      </c>
      <c r="N2190" s="21">
        <v>112</v>
      </c>
      <c r="O2190" s="19">
        <v>220</v>
      </c>
      <c r="P2190" s="22">
        <v>11</v>
      </c>
      <c r="Q2190" s="22">
        <v>6</v>
      </c>
      <c r="R2190" s="20"/>
      <c r="S2190" s="234">
        <f>COUNTIFS(INP_DATA!$R$5:$R$3027,S$4,INP_DATA!$D$5:$D$3027,$D2190,INP_DATA!$B$5:$B$3027,$B2190)</f>
        <v>0</v>
      </c>
      <c r="T2190" s="235">
        <f>COUNTIFS(INP_DATA!$R$5:$R$3027,T$4,INP_DATA!$D$5:$D$3027,$D2190,INP_DATA!$B$5:$B$3027,$B2190)</f>
        <v>0</v>
      </c>
    </row>
    <row r="2191" spans="1:20" x14ac:dyDescent="0.35">
      <c r="A2191" s="3" t="str">
        <f>IF(D2191="","",(VLOOKUP($D2191,KEY!$B$5:$D$74,3,FALSE)))</f>
        <v>Indiana</v>
      </c>
      <c r="B2191" s="165">
        <f t="shared" si="27"/>
        <v>45992</v>
      </c>
      <c r="C2191" s="57" t="str">
        <f>IF($B2191="","",YEAR($B2191)&amp;"-"&amp;IFERROR(VLOOKUP(MONTH(B2191),KEY!$AE$5:$AF$16,2,FALSE),""))</f>
        <v>2025-Q4</v>
      </c>
      <c r="D2191" s="3" t="s">
        <v>209</v>
      </c>
      <c r="E2191" s="219">
        <v>13</v>
      </c>
      <c r="F2191" s="166">
        <v>430</v>
      </c>
      <c r="G2191" s="166">
        <v>498</v>
      </c>
      <c r="H2191" s="21">
        <v>599</v>
      </c>
      <c r="I2191" s="21">
        <v>115</v>
      </c>
      <c r="J2191" s="21">
        <v>298</v>
      </c>
      <c r="K2191" s="21">
        <v>80</v>
      </c>
      <c r="L2191" s="21">
        <v>416</v>
      </c>
      <c r="M2191" s="21">
        <v>206</v>
      </c>
      <c r="N2191" s="21">
        <v>433</v>
      </c>
      <c r="O2191" s="19">
        <v>550</v>
      </c>
      <c r="P2191" s="22">
        <v>70</v>
      </c>
      <c r="Q2191" s="22">
        <v>44</v>
      </c>
      <c r="R2191" s="20"/>
      <c r="S2191" s="234">
        <f>COUNTIFS(INP_DATA!$R$5:$R$3027,S$4,INP_DATA!$D$5:$D$3027,$D2191,INP_DATA!$B$5:$B$3027,$B2191)</f>
        <v>0</v>
      </c>
      <c r="T2191" s="235">
        <f>COUNTIFS(INP_DATA!$R$5:$R$3027,T$4,INP_DATA!$D$5:$D$3027,$D2191,INP_DATA!$B$5:$B$3027,$B2191)</f>
        <v>0</v>
      </c>
    </row>
    <row r="2192" spans="1:20" x14ac:dyDescent="0.35">
      <c r="A2192" s="3" t="str">
        <f>IF(D2192="","",(VLOOKUP($D2192,KEY!$B$5:$D$74,3,FALSE)))</f>
        <v>Northern California</v>
      </c>
      <c r="B2192" s="165">
        <f t="shared" si="27"/>
        <v>45992</v>
      </c>
      <c r="C2192" s="57" t="str">
        <f>IF($B2192="","",YEAR($B2192)&amp;"-"&amp;IFERROR(VLOOKUP(MONTH(B2192),KEY!$AE$5:$AF$16,2,FALSE),""))</f>
        <v>2025-Q4</v>
      </c>
      <c r="D2192" s="3" t="s">
        <v>152</v>
      </c>
      <c r="E2192" s="219">
        <v>55</v>
      </c>
      <c r="F2192" s="166">
        <v>230</v>
      </c>
      <c r="G2192" s="166">
        <v>244</v>
      </c>
      <c r="H2192" s="21">
        <v>378</v>
      </c>
      <c r="I2192" s="21">
        <v>82</v>
      </c>
      <c r="J2192" s="21">
        <v>173</v>
      </c>
      <c r="K2192" s="21">
        <v>54</v>
      </c>
      <c r="L2192" s="21">
        <v>447</v>
      </c>
      <c r="M2192" s="21">
        <v>187</v>
      </c>
      <c r="N2192" s="21">
        <v>229</v>
      </c>
      <c r="O2192" s="19">
        <v>286</v>
      </c>
      <c r="P2192" s="22">
        <v>74</v>
      </c>
      <c r="Q2192" s="22">
        <v>52</v>
      </c>
      <c r="R2192" s="20"/>
      <c r="S2192" s="234">
        <f>COUNTIFS(INP_DATA!$R$5:$R$3027,S$4,INP_DATA!$D$5:$D$3027,$D2192,INP_DATA!$B$5:$B$3027,$B2192)</f>
        <v>0</v>
      </c>
      <c r="T2192" s="235">
        <f>COUNTIFS(INP_DATA!$R$5:$R$3027,T$4,INP_DATA!$D$5:$D$3027,$D2192,INP_DATA!$B$5:$B$3027,$B2192)</f>
        <v>0</v>
      </c>
    </row>
    <row r="2193" spans="1:20" x14ac:dyDescent="0.35">
      <c r="A2193" s="3" t="str">
        <f>IF(D2193="","",(VLOOKUP($D2193,KEY!$B$5:$D$74,3,FALSE)))</f>
        <v>Arizona</v>
      </c>
      <c r="B2193" s="165">
        <f t="shared" si="27"/>
        <v>45992</v>
      </c>
      <c r="C2193" s="57" t="str">
        <f>IF($B2193="","",YEAR($B2193)&amp;"-"&amp;IFERROR(VLOOKUP(MONTH(B2193),KEY!$AE$5:$AF$16,2,FALSE),""))</f>
        <v>2025-Q4</v>
      </c>
      <c r="D2193" s="3" t="s">
        <v>153</v>
      </c>
      <c r="E2193" s="219">
        <v>54</v>
      </c>
      <c r="F2193" s="166">
        <v>160</v>
      </c>
      <c r="G2193" s="166">
        <v>136</v>
      </c>
      <c r="H2193" s="21">
        <v>191</v>
      </c>
      <c r="I2193" s="21">
        <v>33</v>
      </c>
      <c r="J2193" s="21">
        <v>103</v>
      </c>
      <c r="K2193" s="21">
        <v>16</v>
      </c>
      <c r="L2193" s="21">
        <v>371</v>
      </c>
      <c r="M2193" s="21">
        <v>99</v>
      </c>
      <c r="N2193" s="21">
        <v>159</v>
      </c>
      <c r="O2193" s="19">
        <v>264</v>
      </c>
      <c r="P2193" s="22">
        <v>4</v>
      </c>
      <c r="Q2193" s="22">
        <v>3</v>
      </c>
      <c r="R2193" s="20"/>
      <c r="S2193" s="234">
        <f>COUNTIFS(INP_DATA!$R$5:$R$3027,S$4,INP_DATA!$D$5:$D$3027,$D2193,INP_DATA!$B$5:$B$3027,$B2193)</f>
        <v>0</v>
      </c>
      <c r="T2193" s="235">
        <f>COUNTIFS(INP_DATA!$R$5:$R$3027,T$4,INP_DATA!$D$5:$D$3027,$D2193,INP_DATA!$B$5:$B$3027,$B2193)</f>
        <v>0</v>
      </c>
    </row>
    <row r="2194" spans="1:20" x14ac:dyDescent="0.35">
      <c r="A2194" s="3" t="str">
        <f>IF(D2194="","",(VLOOKUP($D2194,KEY!$B$5:$D$74,3,FALSE)))</f>
        <v>Northern California</v>
      </c>
      <c r="B2194" s="165">
        <f t="shared" si="27"/>
        <v>45992</v>
      </c>
      <c r="C2194" s="57" t="str">
        <f>IF($B2194="","",YEAR($B2194)&amp;"-"&amp;IFERROR(VLOOKUP(MONTH(B2194),KEY!$AE$5:$AF$16,2,FALSE),""))</f>
        <v>2025-Q4</v>
      </c>
      <c r="D2194" s="3" t="s">
        <v>154</v>
      </c>
      <c r="E2194" s="219">
        <v>34</v>
      </c>
      <c r="F2194" s="166">
        <v>145</v>
      </c>
      <c r="G2194" s="166">
        <v>138</v>
      </c>
      <c r="H2194" s="21">
        <v>364</v>
      </c>
      <c r="I2194" s="21">
        <v>53</v>
      </c>
      <c r="J2194" s="21">
        <v>175</v>
      </c>
      <c r="K2194" s="21">
        <v>38</v>
      </c>
      <c r="L2194" s="21">
        <v>286</v>
      </c>
      <c r="M2194" s="21">
        <v>81</v>
      </c>
      <c r="N2194" s="21">
        <v>147</v>
      </c>
      <c r="O2194" s="19">
        <v>198</v>
      </c>
      <c r="P2194" s="22">
        <v>9</v>
      </c>
      <c r="Q2194" s="22">
        <v>6</v>
      </c>
      <c r="R2194" s="20"/>
      <c r="S2194" s="234">
        <f>COUNTIFS(INP_DATA!$R$5:$R$3027,S$4,INP_DATA!$D$5:$D$3027,$D2194,INP_DATA!$B$5:$B$3027,$B2194)</f>
        <v>0</v>
      </c>
      <c r="T2194" s="235">
        <f>COUNTIFS(INP_DATA!$R$5:$R$3027,T$4,INP_DATA!$D$5:$D$3027,$D2194,INP_DATA!$B$5:$B$3027,$B2194)</f>
        <v>0</v>
      </c>
    </row>
    <row r="2195" spans="1:20" x14ac:dyDescent="0.35">
      <c r="A2195" s="3" t="str">
        <f>IF(D2195="","",(VLOOKUP($D2195,KEY!$B$5:$D$74,3,FALSE)))</f>
        <v>Texas</v>
      </c>
      <c r="B2195" s="165">
        <f t="shared" si="27"/>
        <v>45992</v>
      </c>
      <c r="C2195" s="57" t="str">
        <f>IF($B2195="","",YEAR($B2195)&amp;"-"&amp;IFERROR(VLOOKUP(MONTH(B2195),KEY!$AE$5:$AF$16,2,FALSE),""))</f>
        <v>2025-Q4</v>
      </c>
      <c r="D2195" s="3" t="s">
        <v>155</v>
      </c>
      <c r="E2195" s="219">
        <v>42</v>
      </c>
      <c r="F2195" s="166">
        <v>275</v>
      </c>
      <c r="G2195" s="166">
        <v>373</v>
      </c>
      <c r="H2195" s="21">
        <v>950</v>
      </c>
      <c r="I2195" s="21">
        <v>92</v>
      </c>
      <c r="J2195" s="21">
        <v>240</v>
      </c>
      <c r="K2195" s="21">
        <v>47</v>
      </c>
      <c r="L2195" s="21">
        <v>439</v>
      </c>
      <c r="M2195" s="21">
        <v>139</v>
      </c>
      <c r="N2195" s="21">
        <v>279</v>
      </c>
      <c r="O2195" s="19">
        <v>506</v>
      </c>
      <c r="P2195" s="22">
        <v>27</v>
      </c>
      <c r="Q2195" s="22">
        <v>19</v>
      </c>
      <c r="R2195" s="20"/>
      <c r="S2195" s="234">
        <f>COUNTIFS(INP_DATA!$R$5:$R$3027,S$4,INP_DATA!$D$5:$D$3027,$D2195,INP_DATA!$B$5:$B$3027,$B2195)</f>
        <v>0</v>
      </c>
      <c r="T2195" s="235">
        <f>COUNTIFS(INP_DATA!$R$5:$R$3027,T$4,INP_DATA!$D$5:$D$3027,$D2195,INP_DATA!$B$5:$B$3027,$B2195)</f>
        <v>0</v>
      </c>
    </row>
    <row r="2196" spans="1:20" x14ac:dyDescent="0.35">
      <c r="A2196" s="3" t="str">
        <f>IF(D2196="","",(VLOOKUP($D2196,KEY!$B$5:$D$74,3,FALSE)))</f>
        <v>Texas</v>
      </c>
      <c r="B2196" s="165">
        <f t="shared" si="27"/>
        <v>45992</v>
      </c>
      <c r="C2196" s="57" t="str">
        <f>IF($B2196="","",YEAR($B2196)&amp;"-"&amp;IFERROR(VLOOKUP(MONTH(B2196),KEY!$AE$5:$AF$16,2,FALSE),""))</f>
        <v>2025-Q4</v>
      </c>
      <c r="D2196" s="3" t="s">
        <v>156</v>
      </c>
      <c r="E2196" s="219">
        <v>36</v>
      </c>
      <c r="F2196" s="166">
        <v>239</v>
      </c>
      <c r="G2196" s="166">
        <v>251</v>
      </c>
      <c r="H2196" s="21">
        <v>404</v>
      </c>
      <c r="I2196" s="21">
        <v>59</v>
      </c>
      <c r="J2196" s="21">
        <v>193</v>
      </c>
      <c r="K2196" s="21">
        <v>55</v>
      </c>
      <c r="L2196" s="21">
        <v>308</v>
      </c>
      <c r="M2196" s="21">
        <v>130</v>
      </c>
      <c r="N2196" s="21">
        <v>223</v>
      </c>
      <c r="O2196" s="19">
        <v>264</v>
      </c>
      <c r="P2196" s="22">
        <v>5</v>
      </c>
      <c r="Q2196" s="22">
        <v>3</v>
      </c>
      <c r="R2196" s="20"/>
      <c r="S2196" s="234">
        <f>COUNTIFS(INP_DATA!$R$5:$R$3027,S$4,INP_DATA!$D$5:$D$3027,$D2196,INP_DATA!$B$5:$B$3027,$B2196)</f>
        <v>0</v>
      </c>
      <c r="T2196" s="235">
        <f>COUNTIFS(INP_DATA!$R$5:$R$3027,T$4,INP_DATA!$D$5:$D$3027,$D2196,INP_DATA!$B$5:$B$3027,$B2196)</f>
        <v>0</v>
      </c>
    </row>
    <row r="2197" spans="1:20" x14ac:dyDescent="0.35">
      <c r="A2197" s="3" t="str">
        <f>IF(D2197="","",(VLOOKUP($D2197,KEY!$B$5:$D$74,3,FALSE)))</f>
        <v>Texas</v>
      </c>
      <c r="B2197" s="165">
        <f t="shared" si="27"/>
        <v>45992</v>
      </c>
      <c r="C2197" s="57" t="str">
        <f>IF($B2197="","",YEAR($B2197)&amp;"-"&amp;IFERROR(VLOOKUP(MONTH(B2197),KEY!$AE$5:$AF$16,2,FALSE),""))</f>
        <v>2025-Q4</v>
      </c>
      <c r="D2197" s="3" t="s">
        <v>157</v>
      </c>
      <c r="E2197" s="219">
        <v>64</v>
      </c>
      <c r="F2197" s="166">
        <v>670</v>
      </c>
      <c r="G2197" s="166">
        <v>502</v>
      </c>
      <c r="H2197" s="21">
        <v>1069</v>
      </c>
      <c r="I2197" s="21">
        <v>110</v>
      </c>
      <c r="J2197" s="21">
        <v>595</v>
      </c>
      <c r="K2197" s="21">
        <v>88</v>
      </c>
      <c r="L2197" s="21">
        <v>1135</v>
      </c>
      <c r="M2197" s="21">
        <v>294</v>
      </c>
      <c r="N2197" s="21">
        <v>680</v>
      </c>
      <c r="O2197" s="19">
        <v>924</v>
      </c>
      <c r="P2197" s="22">
        <v>3</v>
      </c>
      <c r="Q2197" s="22">
        <v>3</v>
      </c>
      <c r="R2197" s="20"/>
      <c r="S2197" s="234">
        <f>COUNTIFS(INP_DATA!$R$5:$R$3027,S$4,INP_DATA!$D$5:$D$3027,$D2197,INP_DATA!$B$5:$B$3027,$B2197)</f>
        <v>0</v>
      </c>
      <c r="T2197" s="235">
        <f>COUNTIFS(INP_DATA!$R$5:$R$3027,T$4,INP_DATA!$D$5:$D$3027,$D2197,INP_DATA!$B$5:$B$3027,$B2197)</f>
        <v>0</v>
      </c>
    </row>
    <row r="2198" spans="1:20" x14ac:dyDescent="0.35">
      <c r="A2198" s="3" t="str">
        <f>IF(D2198="","",(VLOOKUP($D2198,KEY!$B$5:$D$74,3,FALSE)))</f>
        <v>Arizona</v>
      </c>
      <c r="B2198" s="165">
        <f t="shared" si="27"/>
        <v>45992</v>
      </c>
      <c r="C2198" s="57" t="str">
        <f>IF($B2198="","",YEAR($B2198)&amp;"-"&amp;IFERROR(VLOOKUP(MONTH(B2198),KEY!$AE$5:$AF$16,2,FALSE),""))</f>
        <v>2025-Q4</v>
      </c>
      <c r="D2198" s="3" t="s">
        <v>158</v>
      </c>
      <c r="E2198" s="219">
        <v>2</v>
      </c>
      <c r="F2198" s="166">
        <v>28</v>
      </c>
      <c r="G2198" s="166">
        <v>26</v>
      </c>
      <c r="H2198" s="21">
        <v>78</v>
      </c>
      <c r="I2198" s="21">
        <v>6</v>
      </c>
      <c r="J2198" s="21">
        <v>42</v>
      </c>
      <c r="K2198" s="21">
        <v>6</v>
      </c>
      <c r="L2198" s="21">
        <v>51</v>
      </c>
      <c r="M2198" s="21">
        <v>9</v>
      </c>
      <c r="N2198" s="21">
        <v>28</v>
      </c>
      <c r="O2198" s="19">
        <v>72</v>
      </c>
      <c r="P2198" s="22">
        <v>0</v>
      </c>
      <c r="Q2198" s="22">
        <v>0</v>
      </c>
      <c r="R2198" s="20"/>
      <c r="S2198" s="234">
        <f>COUNTIFS(INP_DATA!$R$5:$R$3027,S$4,INP_DATA!$D$5:$D$3027,$D2198,INP_DATA!$B$5:$B$3027,$B2198)</f>
        <v>0</v>
      </c>
      <c r="T2198" s="235">
        <f>COUNTIFS(INP_DATA!$R$5:$R$3027,T$4,INP_DATA!$D$5:$D$3027,$D2198,INP_DATA!$B$5:$B$3027,$B2198)</f>
        <v>0</v>
      </c>
    </row>
    <row r="2199" spans="1:20" x14ac:dyDescent="0.35">
      <c r="A2199" s="3" t="str">
        <f>IF(D2199="","",(VLOOKUP($D2199,KEY!$B$5:$D$74,3,FALSE)))</f>
        <v>Orange County</v>
      </c>
      <c r="B2199" s="165">
        <f t="shared" si="27"/>
        <v>45992</v>
      </c>
      <c r="C2199" s="57" t="str">
        <f>IF($B2199="","",YEAR($B2199)&amp;"-"&amp;IFERROR(VLOOKUP(MONTH(B2199),KEY!$AE$5:$AF$16,2,FALSE),""))</f>
        <v>2025-Q4</v>
      </c>
      <c r="D2199" s="3" t="s">
        <v>159</v>
      </c>
      <c r="E2199" s="219">
        <v>27</v>
      </c>
      <c r="F2199" s="166">
        <v>92</v>
      </c>
      <c r="G2199" s="166">
        <v>162</v>
      </c>
      <c r="H2199" s="21">
        <v>308</v>
      </c>
      <c r="I2199" s="21">
        <v>44</v>
      </c>
      <c r="J2199" s="21">
        <v>96</v>
      </c>
      <c r="K2199" s="21">
        <v>24</v>
      </c>
      <c r="L2199" s="21">
        <v>198</v>
      </c>
      <c r="M2199" s="21">
        <v>71</v>
      </c>
      <c r="N2199" s="21">
        <v>92</v>
      </c>
      <c r="O2199" s="19">
        <v>176</v>
      </c>
      <c r="P2199" s="22">
        <v>16</v>
      </c>
      <c r="Q2199" s="22">
        <v>12</v>
      </c>
      <c r="R2199" s="20"/>
      <c r="S2199" s="234">
        <f>COUNTIFS(INP_DATA!$R$5:$R$3027,S$4,INP_DATA!$D$5:$D$3027,$D2199,INP_DATA!$B$5:$B$3027,$B2199)</f>
        <v>0</v>
      </c>
      <c r="T2199" s="235">
        <f>COUNTIFS(INP_DATA!$R$5:$R$3027,T$4,INP_DATA!$D$5:$D$3027,$D2199,INP_DATA!$B$5:$B$3027,$B2199)</f>
        <v>0</v>
      </c>
    </row>
    <row r="2200" spans="1:20" x14ac:dyDescent="0.35">
      <c r="A2200" s="3" t="str">
        <f>IF(D2200="","",(VLOOKUP($D2200,KEY!$B$5:$D$74,3,FALSE)))</f>
        <v>Arizona</v>
      </c>
      <c r="B2200" s="165">
        <f t="shared" si="27"/>
        <v>45992</v>
      </c>
      <c r="C2200" s="57" t="str">
        <f>IF($B2200="","",YEAR($B2200)&amp;"-"&amp;IFERROR(VLOOKUP(MONTH(B2200),KEY!$AE$5:$AF$16,2,FALSE),""))</f>
        <v>2025-Q4</v>
      </c>
      <c r="D2200" s="3" t="s">
        <v>160</v>
      </c>
      <c r="E2200" s="219">
        <v>58</v>
      </c>
      <c r="F2200" s="166">
        <v>350</v>
      </c>
      <c r="G2200" s="166">
        <v>394</v>
      </c>
      <c r="H2200" s="21">
        <v>548</v>
      </c>
      <c r="I2200" s="21">
        <v>135</v>
      </c>
      <c r="J2200" s="21">
        <v>213</v>
      </c>
      <c r="K2200" s="21">
        <v>44</v>
      </c>
      <c r="L2200" s="21">
        <v>520</v>
      </c>
      <c r="M2200" s="21">
        <v>228</v>
      </c>
      <c r="N2200" s="21">
        <v>353</v>
      </c>
      <c r="O2200" s="19">
        <v>550</v>
      </c>
      <c r="P2200" s="22">
        <v>22</v>
      </c>
      <c r="Q2200" s="22">
        <v>11</v>
      </c>
      <c r="R2200" s="20"/>
      <c r="S2200" s="234">
        <f>COUNTIFS(INP_DATA!$R$5:$R$3027,S$4,INP_DATA!$D$5:$D$3027,$D2200,INP_DATA!$B$5:$B$3027,$B2200)</f>
        <v>0</v>
      </c>
      <c r="T2200" s="235">
        <f>COUNTIFS(INP_DATA!$R$5:$R$3027,T$4,INP_DATA!$D$5:$D$3027,$D2200,INP_DATA!$B$5:$B$3027,$B2200)</f>
        <v>0</v>
      </c>
    </row>
    <row r="2201" spans="1:20" x14ac:dyDescent="0.35">
      <c r="A2201" s="3" t="str">
        <f>IF(D2201="","",(VLOOKUP($D2201,KEY!$B$5:$D$74,3,FALSE)))</f>
        <v>Northern California</v>
      </c>
      <c r="B2201" s="165">
        <f t="shared" si="27"/>
        <v>45992</v>
      </c>
      <c r="C2201" s="57" t="str">
        <f>IF($B2201="","",YEAR($B2201)&amp;"-"&amp;IFERROR(VLOOKUP(MONTH(B2201),KEY!$AE$5:$AF$16,2,FALSE),""))</f>
        <v>2025-Q4</v>
      </c>
      <c r="D2201" s="3" t="s">
        <v>161</v>
      </c>
      <c r="E2201" s="219">
        <v>53</v>
      </c>
      <c r="F2201" s="166">
        <v>311</v>
      </c>
      <c r="G2201" s="166">
        <v>297</v>
      </c>
      <c r="H2201" s="21">
        <v>437</v>
      </c>
      <c r="I2201" s="21">
        <v>61</v>
      </c>
      <c r="J2201" s="21">
        <v>218</v>
      </c>
      <c r="K2201" s="21">
        <v>51</v>
      </c>
      <c r="L2201" s="21">
        <v>325</v>
      </c>
      <c r="M2201" s="21">
        <v>108</v>
      </c>
      <c r="N2201" s="21">
        <v>339</v>
      </c>
      <c r="O2201" s="19">
        <v>440</v>
      </c>
      <c r="P2201" s="22">
        <v>3</v>
      </c>
      <c r="Q2201" s="22">
        <v>3</v>
      </c>
      <c r="R2201" s="20"/>
      <c r="S2201" s="234">
        <f>COUNTIFS(INP_DATA!$R$5:$R$3027,S$4,INP_DATA!$D$5:$D$3027,$D2201,INP_DATA!$B$5:$B$3027,$B2201)</f>
        <v>0</v>
      </c>
      <c r="T2201" s="235">
        <f>COUNTIFS(INP_DATA!$R$5:$R$3027,T$4,INP_DATA!$D$5:$D$3027,$D2201,INP_DATA!$B$5:$B$3027,$B2201)</f>
        <v>0</v>
      </c>
    </row>
    <row r="2202" spans="1:20" x14ac:dyDescent="0.35">
      <c r="A2202" s="3" t="str">
        <f>IF(D2202="","",(VLOOKUP($D2202,KEY!$B$5:$D$74,3,FALSE)))</f>
        <v>Arizona</v>
      </c>
      <c r="B2202" s="165">
        <f t="shared" si="27"/>
        <v>45992</v>
      </c>
      <c r="C2202" s="57" t="str">
        <f>IF($B2202="","",YEAR($B2202)&amp;"-"&amp;IFERROR(VLOOKUP(MONTH(B2202),KEY!$AE$5:$AF$16,2,FALSE),""))</f>
        <v>2025-Q4</v>
      </c>
      <c r="D2202" s="3" t="s">
        <v>163</v>
      </c>
      <c r="E2202" s="219">
        <v>52</v>
      </c>
      <c r="F2202" s="166">
        <v>309</v>
      </c>
      <c r="G2202" s="166">
        <v>322</v>
      </c>
      <c r="H2202" s="21">
        <v>406</v>
      </c>
      <c r="I2202" s="21">
        <v>59</v>
      </c>
      <c r="J2202" s="21">
        <v>116</v>
      </c>
      <c r="K2202" s="21">
        <v>38</v>
      </c>
      <c r="L2202" s="21">
        <v>379</v>
      </c>
      <c r="M2202" s="21">
        <v>165</v>
      </c>
      <c r="N2202" s="21">
        <v>326</v>
      </c>
      <c r="O2202" s="19">
        <v>440</v>
      </c>
      <c r="P2202" s="22">
        <v>1</v>
      </c>
      <c r="Q2202" s="22">
        <v>1</v>
      </c>
      <c r="R2202" s="20"/>
      <c r="S2202" s="234">
        <f>COUNTIFS(INP_DATA!$R$5:$R$3027,S$4,INP_DATA!$D$5:$D$3027,$D2202,INP_DATA!$B$5:$B$3027,$B2202)</f>
        <v>0</v>
      </c>
      <c r="T2202" s="235">
        <f>COUNTIFS(INP_DATA!$R$5:$R$3027,T$4,INP_DATA!$D$5:$D$3027,$D2202,INP_DATA!$B$5:$B$3027,$B2202)</f>
        <v>0</v>
      </c>
    </row>
    <row r="2203" spans="1:20" x14ac:dyDescent="0.35">
      <c r="A2203" s="3" t="str">
        <f>IF(D2203="","",(VLOOKUP($D2203,KEY!$B$5:$D$74,3,FALSE)))</f>
        <v>Arizona</v>
      </c>
      <c r="B2203" s="165">
        <f t="shared" si="27"/>
        <v>45992</v>
      </c>
      <c r="C2203" s="57" t="str">
        <f>IF($B2203="","",YEAR($B2203)&amp;"-"&amp;IFERROR(VLOOKUP(MONTH(B2203),KEY!$AE$5:$AF$16,2,FALSE),""))</f>
        <v>2025-Q4</v>
      </c>
      <c r="D2203" s="3" t="s">
        <v>164</v>
      </c>
      <c r="E2203" s="219">
        <v>13</v>
      </c>
      <c r="F2203" s="166">
        <v>72</v>
      </c>
      <c r="G2203" s="166">
        <v>79</v>
      </c>
      <c r="H2203" s="21">
        <v>138</v>
      </c>
      <c r="I2203" s="21">
        <v>21</v>
      </c>
      <c r="J2203" s="21">
        <v>45</v>
      </c>
      <c r="K2203" s="21">
        <v>13</v>
      </c>
      <c r="L2203" s="21">
        <v>95</v>
      </c>
      <c r="M2203" s="21">
        <v>53</v>
      </c>
      <c r="N2203" s="21">
        <v>73</v>
      </c>
      <c r="O2203" s="19">
        <v>132</v>
      </c>
      <c r="P2203" s="22">
        <v>2</v>
      </c>
      <c r="Q2203" s="22">
        <v>2</v>
      </c>
      <c r="R2203" s="20"/>
      <c r="S2203" s="234">
        <f>COUNTIFS(INP_DATA!$R$5:$R$3027,S$4,INP_DATA!$D$5:$D$3027,$D2203,INP_DATA!$B$5:$B$3027,$B2203)</f>
        <v>0</v>
      </c>
      <c r="T2203" s="235">
        <f>COUNTIFS(INP_DATA!$R$5:$R$3027,T$4,INP_DATA!$D$5:$D$3027,$D2203,INP_DATA!$B$5:$B$3027,$B2203)</f>
        <v>0</v>
      </c>
    </row>
    <row r="2204" spans="1:20" x14ac:dyDescent="0.35">
      <c r="A2204" s="3" t="str">
        <f>IF(D2204="","",(VLOOKUP($D2204,KEY!$B$5:$D$74,3,FALSE)))</f>
        <v>Orange County</v>
      </c>
      <c r="B2204" s="165">
        <f t="shared" si="27"/>
        <v>45992</v>
      </c>
      <c r="C2204" s="57" t="str">
        <f>IF($B2204="","",YEAR($B2204)&amp;"-"&amp;IFERROR(VLOOKUP(MONTH(B2204),KEY!$AE$5:$AF$16,2,FALSE),""))</f>
        <v>2025-Q4</v>
      </c>
      <c r="D2204" s="3" t="s">
        <v>165</v>
      </c>
      <c r="E2204" s="219">
        <v>10</v>
      </c>
      <c r="F2204" s="166">
        <v>66</v>
      </c>
      <c r="G2204" s="166">
        <v>79</v>
      </c>
      <c r="H2204" s="21">
        <v>235</v>
      </c>
      <c r="I2204" s="21">
        <v>22</v>
      </c>
      <c r="J2204" s="21">
        <v>44</v>
      </c>
      <c r="K2204" s="21">
        <v>8</v>
      </c>
      <c r="L2204" s="21">
        <v>107</v>
      </c>
      <c r="M2204" s="21">
        <v>52</v>
      </c>
      <c r="N2204" s="21">
        <v>66</v>
      </c>
      <c r="O2204" s="19">
        <v>110</v>
      </c>
      <c r="P2204" s="22">
        <v>32</v>
      </c>
      <c r="Q2204" s="22">
        <v>12</v>
      </c>
      <c r="R2204" s="20"/>
      <c r="S2204" s="234">
        <f>COUNTIFS(INP_DATA!$R$5:$R$3027,S$4,INP_DATA!$D$5:$D$3027,$D2204,INP_DATA!$B$5:$B$3027,$B2204)</f>
        <v>0</v>
      </c>
      <c r="T2204" s="235">
        <f>COUNTIFS(INP_DATA!$R$5:$R$3027,T$4,INP_DATA!$D$5:$D$3027,$D2204,INP_DATA!$B$5:$B$3027,$B2204)</f>
        <v>0</v>
      </c>
    </row>
    <row r="2205" spans="1:20" x14ac:dyDescent="0.35">
      <c r="A2205" s="3" t="str">
        <f>IF(D2205="","",(VLOOKUP($D2205,KEY!$B$5:$D$74,3,FALSE)))</f>
        <v/>
      </c>
      <c r="B2205" s="165">
        <f t="shared" si="27"/>
        <v>45992</v>
      </c>
      <c r="C2205" s="57" t="str">
        <f>IF($B2205="","",YEAR($B2205)&amp;"-"&amp;IFERROR(VLOOKUP(MONTH(B2205),KEY!$AE$5:$AF$16,2,FALSE),""))</f>
        <v>2025-Q4</v>
      </c>
      <c r="D2205" s="3" t="s">
        <v>211</v>
      </c>
      <c r="E2205" s="219" t="s">
        <v>211</v>
      </c>
      <c r="F2205" s="166" t="s">
        <v>211</v>
      </c>
      <c r="G2205" s="166" t="s">
        <v>211</v>
      </c>
      <c r="H2205" s="21" t="s">
        <v>211</v>
      </c>
      <c r="I2205" s="21" t="s">
        <v>211</v>
      </c>
      <c r="J2205" s="21" t="s">
        <v>211</v>
      </c>
      <c r="K2205" s="21" t="s">
        <v>211</v>
      </c>
      <c r="L2205" s="21" t="s">
        <v>211</v>
      </c>
      <c r="M2205" s="21" t="s">
        <v>211</v>
      </c>
      <c r="N2205" s="21" t="s">
        <v>211</v>
      </c>
      <c r="O2205" s="19" t="s">
        <v>211</v>
      </c>
      <c r="P2205" s="22" t="s">
        <v>211</v>
      </c>
      <c r="Q2205" s="22" t="s">
        <v>211</v>
      </c>
      <c r="R2205" s="20"/>
      <c r="S2205" s="234">
        <f>COUNTIFS(INP_DATA!$R$5:$R$3027,S$4,INP_DATA!$D$5:$D$3027,$D2205,INP_DATA!$B$5:$B$3027,$B2205)</f>
        <v>0</v>
      </c>
      <c r="T2205" s="235">
        <f>COUNTIFS(INP_DATA!$R$5:$R$3027,T$4,INP_DATA!$D$5:$D$3027,$D2205,INP_DATA!$B$5:$B$3027,$B2205)</f>
        <v>0</v>
      </c>
    </row>
    <row r="2206" spans="1:20" x14ac:dyDescent="0.35">
      <c r="A2206" s="3" t="str">
        <f>IF(D2206="","",(VLOOKUP($D2206,KEY!$B$5:$D$74,3,FALSE)))</f>
        <v/>
      </c>
      <c r="B2206" s="165">
        <f t="shared" si="27"/>
        <v>45992</v>
      </c>
      <c r="C2206" s="57" t="str">
        <f>IF($B2206="","",YEAR($B2206)&amp;"-"&amp;IFERROR(VLOOKUP(MONTH(B2206),KEY!$AE$5:$AF$16,2,FALSE),""))</f>
        <v>2025-Q4</v>
      </c>
      <c r="D2206" s="3" t="s">
        <v>211</v>
      </c>
      <c r="E2206" s="219" t="s">
        <v>211</v>
      </c>
      <c r="F2206" s="166" t="s">
        <v>211</v>
      </c>
      <c r="G2206" s="166" t="s">
        <v>211</v>
      </c>
      <c r="H2206" s="21" t="s">
        <v>211</v>
      </c>
      <c r="I2206" s="21" t="s">
        <v>211</v>
      </c>
      <c r="J2206" s="21" t="s">
        <v>211</v>
      </c>
      <c r="K2206" s="21" t="s">
        <v>211</v>
      </c>
      <c r="L2206" s="21" t="s">
        <v>211</v>
      </c>
      <c r="M2206" s="21" t="s">
        <v>211</v>
      </c>
      <c r="N2206" s="21" t="s">
        <v>211</v>
      </c>
      <c r="O2206" s="19" t="s">
        <v>211</v>
      </c>
      <c r="P2206" s="22" t="s">
        <v>211</v>
      </c>
      <c r="Q2206" s="22" t="s">
        <v>211</v>
      </c>
      <c r="R2206" s="20"/>
      <c r="S2206" s="234">
        <f>COUNTIFS(INP_DATA!$R$5:$R$3027,S$4,INP_DATA!$D$5:$D$3027,$D2206,INP_DATA!$B$5:$B$3027,$B2206)</f>
        <v>0</v>
      </c>
      <c r="T2206" s="235">
        <f>COUNTIFS(INP_DATA!$R$5:$R$3027,T$4,INP_DATA!$D$5:$D$3027,$D2206,INP_DATA!$B$5:$B$3027,$B2206)</f>
        <v>0</v>
      </c>
    </row>
    <row r="2207" spans="1:20" x14ac:dyDescent="0.35">
      <c r="A2207" s="3" t="str">
        <f>IF(D2207="","",(VLOOKUP($D2207,KEY!$B$5:$D$74,3,FALSE)))</f>
        <v/>
      </c>
      <c r="B2207" s="165">
        <f t="shared" si="27"/>
        <v>45992</v>
      </c>
      <c r="C2207" s="57" t="str">
        <f>IF($B2207="","",YEAR($B2207)&amp;"-"&amp;IFERROR(VLOOKUP(MONTH(B2207),KEY!$AE$5:$AF$16,2,FALSE),""))</f>
        <v>2025-Q4</v>
      </c>
      <c r="D2207" s="3"/>
      <c r="E2207" s="219" t="s">
        <v>211</v>
      </c>
      <c r="F2207" s="166" t="s">
        <v>211</v>
      </c>
      <c r="G2207" s="166" t="s">
        <v>211</v>
      </c>
      <c r="H2207" s="21" t="s">
        <v>211</v>
      </c>
      <c r="I2207" s="21" t="s">
        <v>211</v>
      </c>
      <c r="J2207" s="21" t="s">
        <v>211</v>
      </c>
      <c r="K2207" s="21" t="s">
        <v>211</v>
      </c>
      <c r="L2207" s="21" t="s">
        <v>211</v>
      </c>
      <c r="M2207" s="21" t="s">
        <v>211</v>
      </c>
      <c r="N2207" s="21" t="s">
        <v>211</v>
      </c>
      <c r="O2207" s="19" t="s">
        <v>211</v>
      </c>
      <c r="P2207" s="22" t="s">
        <v>211</v>
      </c>
      <c r="Q2207" s="22" t="s">
        <v>211</v>
      </c>
      <c r="R2207" s="20"/>
      <c r="S2207" s="234">
        <f>COUNTIFS(INP_DATA!$R$5:$R$3027,S$4,INP_DATA!$D$5:$D$3027,$D2207,INP_DATA!$B$5:$B$3027,$B2207)</f>
        <v>0</v>
      </c>
      <c r="T2207" s="235">
        <f>COUNTIFS(INP_DATA!$R$5:$R$3027,T$4,INP_DATA!$D$5:$D$3027,$D2207,INP_DATA!$B$5:$B$3027,$B2207)</f>
        <v>0</v>
      </c>
    </row>
    <row r="2208" spans="1:20" x14ac:dyDescent="0.35">
      <c r="A2208" s="3" t="str">
        <f>IF(D2208="","",(VLOOKUP($D2208,KEY!$B$5:$D$74,3,FALSE)))</f>
        <v/>
      </c>
      <c r="B2208" s="165">
        <f t="shared" ref="B2208:B2212" si="28">B2207</f>
        <v>45992</v>
      </c>
      <c r="C2208" s="57" t="str">
        <f>IF($B2208="","",YEAR($B2208)&amp;"-"&amp;IFERROR(VLOOKUP(MONTH(B2208),KEY!$AE$5:$AF$16,2,FALSE),""))</f>
        <v>2025-Q4</v>
      </c>
      <c r="D2208" s="3"/>
      <c r="E2208" s="219"/>
      <c r="F2208" s="166"/>
      <c r="G2208" s="166"/>
      <c r="H2208" s="21"/>
      <c r="I2208" s="21"/>
      <c r="J2208" s="21"/>
      <c r="K2208" s="21"/>
      <c r="L2208" s="21"/>
      <c r="M2208" s="21"/>
      <c r="N2208" s="21"/>
      <c r="O2208" s="19"/>
      <c r="P2208" s="22"/>
      <c r="Q2208" s="22"/>
      <c r="R2208" s="20"/>
      <c r="S2208" s="234">
        <f>COUNTIFS(INP_DATA!$R$5:$R$3027,S$4,INP_DATA!$D$5:$D$3027,$D2208,INP_DATA!$B$5:$B$3027,$B2208)</f>
        <v>0</v>
      </c>
      <c r="T2208" s="235">
        <f>COUNTIFS(INP_DATA!$R$5:$R$3027,T$4,INP_DATA!$D$5:$D$3027,$D2208,INP_DATA!$B$5:$B$3027,$B2208)</f>
        <v>0</v>
      </c>
    </row>
    <row r="2209" spans="1:20" x14ac:dyDescent="0.35">
      <c r="A2209" s="3" t="str">
        <f>IF(D2209="","",(VLOOKUP($D2209,KEY!$B$5:$D$74,3,FALSE)))</f>
        <v/>
      </c>
      <c r="B2209" s="165">
        <f t="shared" si="28"/>
        <v>45992</v>
      </c>
      <c r="C2209" s="57" t="str">
        <f>IF($B2209="","",YEAR($B2209)&amp;"-"&amp;IFERROR(VLOOKUP(MONTH(B2209),KEY!$AE$5:$AF$16,2,FALSE),""))</f>
        <v>2025-Q4</v>
      </c>
      <c r="D2209" s="3"/>
      <c r="E2209" s="219"/>
      <c r="F2209" s="166"/>
      <c r="G2209" s="166"/>
      <c r="H2209" s="21"/>
      <c r="I2209" s="21"/>
      <c r="J2209" s="21"/>
      <c r="K2209" s="21"/>
      <c r="L2209" s="21"/>
      <c r="M2209" s="21"/>
      <c r="N2209" s="21"/>
      <c r="O2209" s="19"/>
      <c r="P2209" s="22"/>
      <c r="Q2209" s="22"/>
      <c r="R2209" s="20"/>
      <c r="S2209" s="234">
        <f>COUNTIFS(INP_DATA!$R$5:$R$3027,S$4,INP_DATA!$D$5:$D$3027,$D2209,INP_DATA!$B$5:$B$3027,$B2209)</f>
        <v>0</v>
      </c>
      <c r="T2209" s="235">
        <f>COUNTIFS(INP_DATA!$R$5:$R$3027,T$4,INP_DATA!$D$5:$D$3027,$D2209,INP_DATA!$B$5:$B$3027,$B2209)</f>
        <v>0</v>
      </c>
    </row>
    <row r="2210" spans="1:20" x14ac:dyDescent="0.35">
      <c r="A2210" s="3" t="str">
        <f>IF(D2210="","",(VLOOKUP($D2210,KEY!$B$5:$D$74,3,FALSE)))</f>
        <v/>
      </c>
      <c r="B2210" s="165">
        <f t="shared" si="28"/>
        <v>45992</v>
      </c>
      <c r="C2210" s="57" t="str">
        <f>IF($B2210="","",YEAR($B2210)&amp;"-"&amp;IFERROR(VLOOKUP(MONTH(B2210),KEY!$AE$5:$AF$16,2,FALSE),""))</f>
        <v>2025-Q4</v>
      </c>
      <c r="D2210" s="3"/>
      <c r="E2210" s="219"/>
      <c r="F2210" s="166"/>
      <c r="G2210" s="166"/>
      <c r="H2210" s="21"/>
      <c r="I2210" s="21"/>
      <c r="J2210" s="21"/>
      <c r="K2210" s="21"/>
      <c r="L2210" s="21"/>
      <c r="M2210" s="21"/>
      <c r="N2210" s="21"/>
      <c r="O2210" s="19"/>
      <c r="P2210" s="22"/>
      <c r="Q2210" s="22"/>
      <c r="R2210" s="20"/>
      <c r="S2210" s="234">
        <f>COUNTIFS(INP_DATA!$R$5:$R$3027,S$4,INP_DATA!$D$5:$D$3027,$D2210,INP_DATA!$B$5:$B$3027,$B2210)</f>
        <v>0</v>
      </c>
      <c r="T2210" s="235">
        <f>COUNTIFS(INP_DATA!$R$5:$R$3027,T$4,INP_DATA!$D$5:$D$3027,$D2210,INP_DATA!$B$5:$B$3027,$B2210)</f>
        <v>0</v>
      </c>
    </row>
    <row r="2211" spans="1:20" ht="17.149999999999999" customHeight="1" x14ac:dyDescent="0.35">
      <c r="A2211" s="3" t="str">
        <f>IF(D2211="","",(VLOOKUP($D2211,KEY!$B$5:$D$74,3,FALSE)))</f>
        <v/>
      </c>
      <c r="B2211" s="165">
        <f t="shared" si="28"/>
        <v>45992</v>
      </c>
      <c r="C2211" s="57" t="str">
        <f>IF($B2211="","",YEAR($B2211)&amp;"-"&amp;IFERROR(VLOOKUP(MONTH(B2211),KEY!$AE$5:$AF$16,2,FALSE),""))</f>
        <v>2025-Q4</v>
      </c>
      <c r="D2211" s="3"/>
      <c r="E2211" s="219"/>
      <c r="F2211" s="166"/>
      <c r="G2211" s="166"/>
      <c r="H2211" s="21"/>
      <c r="I2211" s="21"/>
      <c r="J2211" s="21"/>
      <c r="K2211" s="21"/>
      <c r="L2211" s="21"/>
      <c r="M2211" s="21"/>
      <c r="N2211" s="21"/>
      <c r="O2211" s="19"/>
      <c r="P2211" s="22"/>
      <c r="Q2211" s="22"/>
      <c r="R2211" s="20"/>
      <c r="S2211" s="234">
        <f>COUNTIFS(INP_DATA!$R$5:$R$3027,S$4,INP_DATA!$D$5:$D$3027,$D2211,INP_DATA!$B$5:$B$3027,$B2211)</f>
        <v>0</v>
      </c>
      <c r="T2211" s="235">
        <f>COUNTIFS(INP_DATA!$R$5:$R$3027,T$4,INP_DATA!$D$5:$D$3027,$D2211,INP_DATA!$B$5:$B$3027,$B2211)</f>
        <v>0</v>
      </c>
    </row>
    <row r="2212" spans="1:20" x14ac:dyDescent="0.35">
      <c r="A2212" s="3" t="str">
        <f>IF(D2212="","",(VLOOKUP($D2212,KEY!$B$5:$D$74,3,FALSE)))</f>
        <v/>
      </c>
      <c r="B2212" s="426">
        <f t="shared" si="28"/>
        <v>45992</v>
      </c>
      <c r="C2212" s="427" t="str">
        <f>IF($B2212="","",YEAR($B2212)&amp;"-"&amp;IFERROR(VLOOKUP(MONTH(B2212),KEY!$AE$5:$AF$16,2,FALSE),""))</f>
        <v>2025-Q4</v>
      </c>
      <c r="D2212" s="428"/>
      <c r="E2212" s="429"/>
      <c r="F2212" s="430"/>
      <c r="G2212" s="430"/>
      <c r="H2212" s="431"/>
      <c r="I2212" s="431"/>
      <c r="J2212" s="431"/>
      <c r="K2212" s="431"/>
      <c r="L2212" s="431"/>
      <c r="M2212" s="431"/>
      <c r="N2212" s="431"/>
      <c r="O2212" s="432"/>
      <c r="P2212" s="433"/>
      <c r="Q2212" s="433"/>
      <c r="R2212" s="20"/>
      <c r="S2212" s="234">
        <f>COUNTIFS(INP_DATA!$R$5:$R$3027,S$4,INP_DATA!$D$5:$D$3027,$D2212,INP_DATA!$B$5:$B$3027,$B2212)</f>
        <v>0</v>
      </c>
      <c r="T2212" s="235">
        <f>COUNTIFS(INP_DATA!$R$5:$R$3027,T$4,INP_DATA!$D$5:$D$3027,$D2212,INP_DATA!$B$5:$B$3027,$B2212)</f>
        <v>0</v>
      </c>
    </row>
    <row r="2213" spans="1:20" x14ac:dyDescent="0.35">
      <c r="A2213" s="3"/>
      <c r="B2213" s="165"/>
      <c r="C2213" s="57"/>
      <c r="D2213" s="3"/>
      <c r="E2213" s="219"/>
      <c r="F2213" s="166"/>
      <c r="G2213" s="166"/>
      <c r="H2213" s="21"/>
      <c r="I2213" s="21"/>
      <c r="J2213" s="21"/>
      <c r="K2213" s="21"/>
      <c r="L2213" s="21"/>
      <c r="M2213" s="21"/>
      <c r="N2213" s="21"/>
      <c r="O2213" s="19"/>
      <c r="P2213" s="22"/>
      <c r="Q2213" s="22"/>
      <c r="R2213" s="20"/>
      <c r="S2213" s="234"/>
      <c r="T2213" s="235"/>
    </row>
    <row r="2214" spans="1:20" hidden="1" x14ac:dyDescent="0.35">
      <c r="A2214" s="3"/>
      <c r="B2214" s="165"/>
      <c r="C2214" s="57"/>
      <c r="D2214" s="3"/>
      <c r="E2214" s="18"/>
      <c r="F2214" s="166"/>
      <c r="G2214" s="166"/>
      <c r="H2214" s="21"/>
      <c r="I2214" s="21"/>
      <c r="J2214" s="21"/>
      <c r="K2214" s="21"/>
      <c r="L2214" s="21"/>
      <c r="M2214" s="21"/>
      <c r="N2214" s="21"/>
      <c r="O2214" s="19"/>
      <c r="P2214" s="22"/>
      <c r="Q2214" s="22"/>
      <c r="R2214" s="20"/>
      <c r="S2214" s="234"/>
      <c r="T2214" s="235"/>
    </row>
    <row r="2215" spans="1:20" hidden="1" x14ac:dyDescent="0.35">
      <c r="A2215" s="3"/>
      <c r="B2215" s="165">
        <v>44927</v>
      </c>
      <c r="C2215" s="57"/>
      <c r="D2215" s="3" t="s">
        <v>16</v>
      </c>
      <c r="E2215" s="18">
        <f t="shared" ref="E2215:Q2215" si="29">SUMIFS(E$5:E$2214,$A$5:$A$2214,$D2215,$B$5:$B$2214,$B2215)</f>
        <v>429</v>
      </c>
      <c r="F2215" s="166">
        <f t="shared" si="29"/>
        <v>2083</v>
      </c>
      <c r="G2215" s="166">
        <f t="shared" si="29"/>
        <v>1969</v>
      </c>
      <c r="H2215" s="21">
        <f t="shared" si="29"/>
        <v>4176</v>
      </c>
      <c r="I2215" s="21">
        <f t="shared" si="29"/>
        <v>539</v>
      </c>
      <c r="J2215" s="21">
        <f t="shared" si="29"/>
        <v>2106</v>
      </c>
      <c r="K2215" s="21">
        <f t="shared" si="29"/>
        <v>344</v>
      </c>
      <c r="L2215" s="21">
        <f t="shared" si="29"/>
        <v>3111</v>
      </c>
      <c r="M2215" s="21">
        <f t="shared" si="29"/>
        <v>1169</v>
      </c>
      <c r="N2215" s="21">
        <f t="shared" si="29"/>
        <v>2090</v>
      </c>
      <c r="O2215" s="19">
        <f t="shared" si="29"/>
        <v>3806</v>
      </c>
      <c r="P2215" s="22">
        <f t="shared" si="29"/>
        <v>261</v>
      </c>
      <c r="Q2215" s="22">
        <f t="shared" si="29"/>
        <v>126</v>
      </c>
      <c r="R2215" s="236">
        <f>IFERROR(S2215/(S2215+T2215),"-")</f>
        <v>0.6428571428571429</v>
      </c>
      <c r="S2215" s="234">
        <f t="shared" ref="S2215:T2234" si="30">SUMIFS(S$5:S$2214,$B$5:$B$2214,$B2215,$A$5:$A$2214,$D2215)</f>
        <v>9</v>
      </c>
      <c r="T2215" s="235">
        <f t="shared" si="30"/>
        <v>5</v>
      </c>
    </row>
    <row r="2216" spans="1:20" hidden="1" x14ac:dyDescent="0.35">
      <c r="A2216" s="3"/>
      <c r="B2216" s="165">
        <f t="shared" ref="B2216:B2223" si="31">B2215</f>
        <v>44927</v>
      </c>
      <c r="C2216" s="57"/>
      <c r="D2216" s="3" t="s">
        <v>104</v>
      </c>
      <c r="E2216" s="18">
        <f t="shared" ref="E2216:Q2234" si="32">SUMIFS(E$5:E$2214,$A$5:$A$2214,$D2216,$B$5:$B$2214,$B2216)</f>
        <v>0</v>
      </c>
      <c r="F2216" s="166">
        <f t="shared" si="32"/>
        <v>0</v>
      </c>
      <c r="G2216" s="166">
        <f t="shared" si="32"/>
        <v>0</v>
      </c>
      <c r="H2216" s="21">
        <f t="shared" si="32"/>
        <v>0</v>
      </c>
      <c r="I2216" s="21">
        <f t="shared" si="32"/>
        <v>0</v>
      </c>
      <c r="J2216" s="21">
        <f t="shared" si="32"/>
        <v>0</v>
      </c>
      <c r="K2216" s="21">
        <f t="shared" si="32"/>
        <v>0</v>
      </c>
      <c r="L2216" s="21">
        <f t="shared" si="32"/>
        <v>0</v>
      </c>
      <c r="M2216" s="21">
        <f t="shared" si="32"/>
        <v>0</v>
      </c>
      <c r="N2216" s="21">
        <f t="shared" si="32"/>
        <v>0</v>
      </c>
      <c r="O2216" s="19">
        <f t="shared" si="32"/>
        <v>0</v>
      </c>
      <c r="P2216" s="22">
        <f t="shared" si="32"/>
        <v>0</v>
      </c>
      <c r="Q2216" s="22">
        <f t="shared" si="32"/>
        <v>0</v>
      </c>
      <c r="R2216" s="236" t="str">
        <f t="shared" ref="R2216:R2279" si="33">IFERROR(S2216/(S2216+T2216),"-")</f>
        <v>-</v>
      </c>
      <c r="S2216" s="234">
        <f t="shared" si="30"/>
        <v>0</v>
      </c>
      <c r="T2216" s="235">
        <f t="shared" si="30"/>
        <v>0</v>
      </c>
    </row>
    <row r="2217" spans="1:20" hidden="1" x14ac:dyDescent="0.35">
      <c r="A2217" s="3"/>
      <c r="B2217" s="165">
        <f t="shared" si="31"/>
        <v>44927</v>
      </c>
      <c r="C2217" s="57"/>
      <c r="D2217" s="3" t="s">
        <v>105</v>
      </c>
      <c r="E2217" s="18">
        <f t="shared" si="32"/>
        <v>0</v>
      </c>
      <c r="F2217" s="166">
        <f t="shared" si="32"/>
        <v>0</v>
      </c>
      <c r="G2217" s="166">
        <f t="shared" si="32"/>
        <v>0</v>
      </c>
      <c r="H2217" s="21">
        <f t="shared" si="32"/>
        <v>0</v>
      </c>
      <c r="I2217" s="21">
        <f t="shared" si="32"/>
        <v>0</v>
      </c>
      <c r="J2217" s="21">
        <f t="shared" si="32"/>
        <v>0</v>
      </c>
      <c r="K2217" s="21">
        <f t="shared" si="32"/>
        <v>0</v>
      </c>
      <c r="L2217" s="21">
        <f t="shared" si="32"/>
        <v>0</v>
      </c>
      <c r="M2217" s="21">
        <f t="shared" si="32"/>
        <v>0</v>
      </c>
      <c r="N2217" s="21">
        <f t="shared" si="32"/>
        <v>0</v>
      </c>
      <c r="O2217" s="19">
        <f t="shared" si="32"/>
        <v>0</v>
      </c>
      <c r="P2217" s="22">
        <f t="shared" si="32"/>
        <v>0</v>
      </c>
      <c r="Q2217" s="22">
        <f t="shared" si="32"/>
        <v>0</v>
      </c>
      <c r="R2217" s="236" t="str">
        <f t="shared" si="33"/>
        <v>-</v>
      </c>
      <c r="S2217" s="234">
        <f t="shared" si="30"/>
        <v>0</v>
      </c>
      <c r="T2217" s="235">
        <f t="shared" si="30"/>
        <v>0</v>
      </c>
    </row>
    <row r="2218" spans="1:20" hidden="1" x14ac:dyDescent="0.35">
      <c r="A2218" s="3"/>
      <c r="B2218" s="165">
        <f t="shared" si="31"/>
        <v>44927</v>
      </c>
      <c r="C2218" s="57"/>
      <c r="D2218" s="3" t="s">
        <v>105</v>
      </c>
      <c r="E2218" s="18">
        <f t="shared" si="32"/>
        <v>0</v>
      </c>
      <c r="F2218" s="166">
        <f t="shared" si="32"/>
        <v>0</v>
      </c>
      <c r="G2218" s="166">
        <f t="shared" si="32"/>
        <v>0</v>
      </c>
      <c r="H2218" s="21">
        <f t="shared" si="32"/>
        <v>0</v>
      </c>
      <c r="I2218" s="21">
        <f t="shared" si="32"/>
        <v>0</v>
      </c>
      <c r="J2218" s="21">
        <f t="shared" si="32"/>
        <v>0</v>
      </c>
      <c r="K2218" s="21">
        <f t="shared" si="32"/>
        <v>0</v>
      </c>
      <c r="L2218" s="21">
        <f t="shared" si="32"/>
        <v>0</v>
      </c>
      <c r="M2218" s="21">
        <f t="shared" si="32"/>
        <v>0</v>
      </c>
      <c r="N2218" s="21">
        <f t="shared" si="32"/>
        <v>0</v>
      </c>
      <c r="O2218" s="19">
        <f t="shared" si="32"/>
        <v>0</v>
      </c>
      <c r="P2218" s="22">
        <f t="shared" si="32"/>
        <v>0</v>
      </c>
      <c r="Q2218" s="22">
        <f t="shared" si="32"/>
        <v>0</v>
      </c>
      <c r="R2218" s="236" t="str">
        <f t="shared" si="33"/>
        <v>-</v>
      </c>
      <c r="S2218" s="234">
        <f t="shared" si="30"/>
        <v>0</v>
      </c>
      <c r="T2218" s="235">
        <f t="shared" si="30"/>
        <v>0</v>
      </c>
    </row>
    <row r="2219" spans="1:20" hidden="1" x14ac:dyDescent="0.35">
      <c r="A2219" s="3"/>
      <c r="B2219" s="165">
        <f t="shared" si="31"/>
        <v>44927</v>
      </c>
      <c r="C2219" s="57"/>
      <c r="D2219" s="3" t="s">
        <v>106</v>
      </c>
      <c r="E2219" s="18">
        <f t="shared" si="32"/>
        <v>157</v>
      </c>
      <c r="F2219" s="166">
        <f t="shared" si="32"/>
        <v>1183</v>
      </c>
      <c r="G2219" s="166">
        <f t="shared" si="32"/>
        <v>1216</v>
      </c>
      <c r="H2219" s="21">
        <f t="shared" si="32"/>
        <v>3126</v>
      </c>
      <c r="I2219" s="21">
        <f t="shared" si="32"/>
        <v>321</v>
      </c>
      <c r="J2219" s="21">
        <f t="shared" si="32"/>
        <v>1411</v>
      </c>
      <c r="K2219" s="21">
        <f t="shared" si="32"/>
        <v>204</v>
      </c>
      <c r="L2219" s="21">
        <f t="shared" si="32"/>
        <v>2075</v>
      </c>
      <c r="M2219" s="21">
        <f t="shared" si="32"/>
        <v>570</v>
      </c>
      <c r="N2219" s="21">
        <f t="shared" si="32"/>
        <v>1199</v>
      </c>
      <c r="O2219" s="19">
        <f t="shared" si="32"/>
        <v>2024</v>
      </c>
      <c r="P2219" s="22">
        <f t="shared" si="32"/>
        <v>252</v>
      </c>
      <c r="Q2219" s="22">
        <f t="shared" si="32"/>
        <v>158</v>
      </c>
      <c r="R2219" s="236">
        <f t="shared" si="33"/>
        <v>0.8571428571428571</v>
      </c>
      <c r="S2219" s="234">
        <f t="shared" si="30"/>
        <v>6</v>
      </c>
      <c r="T2219" s="235">
        <f t="shared" si="30"/>
        <v>1</v>
      </c>
    </row>
    <row r="2220" spans="1:20" hidden="1" x14ac:dyDescent="0.35">
      <c r="A2220" s="3"/>
      <c r="B2220" s="165">
        <f t="shared" si="31"/>
        <v>44927</v>
      </c>
      <c r="C2220" s="57"/>
      <c r="D2220" s="3" t="s">
        <v>107</v>
      </c>
      <c r="E2220" s="18">
        <f t="shared" si="32"/>
        <v>169</v>
      </c>
      <c r="F2220" s="166">
        <f t="shared" si="32"/>
        <v>1078</v>
      </c>
      <c r="G2220" s="166">
        <f t="shared" si="32"/>
        <v>1245</v>
      </c>
      <c r="H2220" s="21">
        <f t="shared" si="32"/>
        <v>2465</v>
      </c>
      <c r="I2220" s="21">
        <f t="shared" si="32"/>
        <v>282</v>
      </c>
      <c r="J2220" s="21">
        <f t="shared" si="32"/>
        <v>1276</v>
      </c>
      <c r="K2220" s="21">
        <f t="shared" si="32"/>
        <v>288</v>
      </c>
      <c r="L2220" s="21">
        <f t="shared" si="32"/>
        <v>1845</v>
      </c>
      <c r="M2220" s="21">
        <f t="shared" si="32"/>
        <v>683</v>
      </c>
      <c r="N2220" s="21">
        <f t="shared" si="32"/>
        <v>1137</v>
      </c>
      <c r="O2220" s="19">
        <f t="shared" si="32"/>
        <v>2024</v>
      </c>
      <c r="P2220" s="22">
        <f t="shared" si="32"/>
        <v>337</v>
      </c>
      <c r="Q2220" s="22">
        <f t="shared" si="32"/>
        <v>191</v>
      </c>
      <c r="R2220" s="236">
        <f t="shared" si="33"/>
        <v>0.5714285714285714</v>
      </c>
      <c r="S2220" s="234">
        <f t="shared" si="30"/>
        <v>4</v>
      </c>
      <c r="T2220" s="235">
        <f t="shared" si="30"/>
        <v>3</v>
      </c>
    </row>
    <row r="2221" spans="1:20" hidden="1" x14ac:dyDescent="0.35">
      <c r="A2221" s="3"/>
      <c r="B2221" s="165">
        <f t="shared" si="31"/>
        <v>44927</v>
      </c>
      <c r="C2221" s="57"/>
      <c r="D2221" s="3" t="s">
        <v>108</v>
      </c>
      <c r="E2221" s="18">
        <f t="shared" si="32"/>
        <v>352</v>
      </c>
      <c r="F2221" s="166">
        <f t="shared" si="32"/>
        <v>1090</v>
      </c>
      <c r="G2221" s="166">
        <f t="shared" si="32"/>
        <v>1453</v>
      </c>
      <c r="H2221" s="21">
        <f t="shared" si="32"/>
        <v>2745</v>
      </c>
      <c r="I2221" s="21">
        <f t="shared" si="32"/>
        <v>305</v>
      </c>
      <c r="J2221" s="21">
        <f t="shared" si="32"/>
        <v>1261</v>
      </c>
      <c r="K2221" s="21">
        <f t="shared" si="32"/>
        <v>198</v>
      </c>
      <c r="L2221" s="21">
        <f t="shared" si="32"/>
        <v>2389</v>
      </c>
      <c r="M2221" s="21">
        <f t="shared" si="32"/>
        <v>696</v>
      </c>
      <c r="N2221" s="21">
        <f t="shared" si="32"/>
        <v>1221</v>
      </c>
      <c r="O2221" s="19">
        <f t="shared" si="32"/>
        <v>2508</v>
      </c>
      <c r="P2221" s="22">
        <f t="shared" si="32"/>
        <v>367</v>
      </c>
      <c r="Q2221" s="22">
        <f t="shared" si="32"/>
        <v>228</v>
      </c>
      <c r="R2221" s="236">
        <f t="shared" si="33"/>
        <v>0.63636363636363635</v>
      </c>
      <c r="S2221" s="234">
        <f t="shared" si="30"/>
        <v>7</v>
      </c>
      <c r="T2221" s="235">
        <f t="shared" si="30"/>
        <v>4</v>
      </c>
    </row>
    <row r="2222" spans="1:20" hidden="1" x14ac:dyDescent="0.35">
      <c r="A2222" s="3"/>
      <c r="B2222" s="165">
        <f t="shared" si="31"/>
        <v>44927</v>
      </c>
      <c r="C2222" s="57"/>
      <c r="D2222" s="3" t="s">
        <v>109</v>
      </c>
      <c r="E2222" s="18">
        <f t="shared" si="32"/>
        <v>377</v>
      </c>
      <c r="F2222" s="166">
        <f t="shared" si="32"/>
        <v>2001</v>
      </c>
      <c r="G2222" s="166">
        <f t="shared" si="32"/>
        <v>2253</v>
      </c>
      <c r="H2222" s="21">
        <f t="shared" si="32"/>
        <v>5371</v>
      </c>
      <c r="I2222" s="21">
        <f t="shared" si="32"/>
        <v>499</v>
      </c>
      <c r="J2222" s="21">
        <f t="shared" si="32"/>
        <v>2680</v>
      </c>
      <c r="K2222" s="21">
        <f t="shared" si="32"/>
        <v>340</v>
      </c>
      <c r="L2222" s="21">
        <f t="shared" si="32"/>
        <v>2920</v>
      </c>
      <c r="M2222" s="21">
        <f t="shared" si="32"/>
        <v>932</v>
      </c>
      <c r="N2222" s="21">
        <f t="shared" si="32"/>
        <v>2141</v>
      </c>
      <c r="O2222" s="19">
        <f t="shared" si="32"/>
        <v>3784</v>
      </c>
      <c r="P2222" s="22">
        <f t="shared" si="32"/>
        <v>164</v>
      </c>
      <c r="Q2222" s="22">
        <f t="shared" si="32"/>
        <v>107</v>
      </c>
      <c r="R2222" s="236">
        <f t="shared" si="33"/>
        <v>0.44444444444444442</v>
      </c>
      <c r="S2222" s="234">
        <f t="shared" si="30"/>
        <v>4</v>
      </c>
      <c r="T2222" s="235">
        <f t="shared" si="30"/>
        <v>5</v>
      </c>
    </row>
    <row r="2223" spans="1:20" hidden="1" x14ac:dyDescent="0.35">
      <c r="A2223" s="3"/>
      <c r="B2223" s="165">
        <f t="shared" si="31"/>
        <v>44927</v>
      </c>
      <c r="C2223" s="57"/>
      <c r="D2223" s="3" t="s">
        <v>110</v>
      </c>
      <c r="E2223" s="18">
        <f t="shared" si="32"/>
        <v>0</v>
      </c>
      <c r="F2223" s="166">
        <f t="shared" si="32"/>
        <v>0</v>
      </c>
      <c r="G2223" s="166">
        <f t="shared" si="32"/>
        <v>0</v>
      </c>
      <c r="H2223" s="21">
        <f t="shared" si="32"/>
        <v>0</v>
      </c>
      <c r="I2223" s="21">
        <f t="shared" si="32"/>
        <v>0</v>
      </c>
      <c r="J2223" s="21">
        <f t="shared" si="32"/>
        <v>0</v>
      </c>
      <c r="K2223" s="21">
        <f t="shared" si="32"/>
        <v>0</v>
      </c>
      <c r="L2223" s="21">
        <f t="shared" si="32"/>
        <v>0</v>
      </c>
      <c r="M2223" s="21">
        <f t="shared" si="32"/>
        <v>0</v>
      </c>
      <c r="N2223" s="21">
        <f t="shared" si="32"/>
        <v>0</v>
      </c>
      <c r="O2223" s="19">
        <f t="shared" si="32"/>
        <v>0</v>
      </c>
      <c r="P2223" s="22">
        <f t="shared" si="32"/>
        <v>0</v>
      </c>
      <c r="Q2223" s="22">
        <f t="shared" si="32"/>
        <v>0</v>
      </c>
      <c r="R2223" s="236" t="str">
        <f t="shared" si="33"/>
        <v>-</v>
      </c>
      <c r="S2223" s="234">
        <f t="shared" si="30"/>
        <v>0</v>
      </c>
      <c r="T2223" s="235">
        <f t="shared" si="30"/>
        <v>0</v>
      </c>
    </row>
    <row r="2224" spans="1:20" hidden="1" x14ac:dyDescent="0.35">
      <c r="A2224" s="3"/>
      <c r="B2224" s="165">
        <f>DATE(YEAR(B2223+31),MONTH(B2223+31),1)</f>
        <v>44958</v>
      </c>
      <c r="C2224" s="57"/>
      <c r="D2224" s="3" t="s">
        <v>16</v>
      </c>
      <c r="E2224" s="18">
        <f t="shared" si="32"/>
        <v>397</v>
      </c>
      <c r="F2224" s="166">
        <f t="shared" si="32"/>
        <v>1794</v>
      </c>
      <c r="G2224" s="166">
        <f t="shared" si="32"/>
        <v>1919</v>
      </c>
      <c r="H2224" s="21">
        <f t="shared" si="32"/>
        <v>3797</v>
      </c>
      <c r="I2224" s="21">
        <f t="shared" si="32"/>
        <v>505</v>
      </c>
      <c r="J2224" s="21">
        <f t="shared" si="32"/>
        <v>1864</v>
      </c>
      <c r="K2224" s="21">
        <f t="shared" si="32"/>
        <v>251</v>
      </c>
      <c r="L2224" s="21">
        <f t="shared" si="32"/>
        <v>2760</v>
      </c>
      <c r="M2224" s="21">
        <f t="shared" si="32"/>
        <v>975</v>
      </c>
      <c r="N2224" s="21">
        <f t="shared" si="32"/>
        <v>1799</v>
      </c>
      <c r="O2224" s="19">
        <f t="shared" si="32"/>
        <v>3480</v>
      </c>
      <c r="P2224" s="22">
        <f t="shared" si="32"/>
        <v>272</v>
      </c>
      <c r="Q2224" s="22">
        <f t="shared" si="32"/>
        <v>182</v>
      </c>
      <c r="R2224" s="236">
        <f t="shared" si="33"/>
        <v>0.6428571428571429</v>
      </c>
      <c r="S2224" s="234">
        <f t="shared" si="30"/>
        <v>9</v>
      </c>
      <c r="T2224" s="235">
        <f t="shared" si="30"/>
        <v>5</v>
      </c>
    </row>
    <row r="2225" spans="1:20" hidden="1" x14ac:dyDescent="0.35">
      <c r="A2225" s="3"/>
      <c r="B2225" s="165">
        <f t="shared" ref="B2225:B2288" si="34">B2224</f>
        <v>44958</v>
      </c>
      <c r="C2225" s="57"/>
      <c r="D2225" s="3" t="s">
        <v>104</v>
      </c>
      <c r="E2225" s="18">
        <f t="shared" si="32"/>
        <v>0</v>
      </c>
      <c r="F2225" s="166">
        <f t="shared" si="32"/>
        <v>0</v>
      </c>
      <c r="G2225" s="166">
        <f t="shared" si="32"/>
        <v>0</v>
      </c>
      <c r="H2225" s="21">
        <f t="shared" si="32"/>
        <v>0</v>
      </c>
      <c r="I2225" s="21">
        <f t="shared" si="32"/>
        <v>0</v>
      </c>
      <c r="J2225" s="21">
        <f t="shared" si="32"/>
        <v>0</v>
      </c>
      <c r="K2225" s="21">
        <f t="shared" si="32"/>
        <v>0</v>
      </c>
      <c r="L2225" s="21">
        <f t="shared" si="32"/>
        <v>0</v>
      </c>
      <c r="M2225" s="21">
        <f t="shared" si="32"/>
        <v>0</v>
      </c>
      <c r="N2225" s="21">
        <f t="shared" si="32"/>
        <v>0</v>
      </c>
      <c r="O2225" s="19">
        <f t="shared" si="32"/>
        <v>0</v>
      </c>
      <c r="P2225" s="22">
        <f t="shared" si="32"/>
        <v>0</v>
      </c>
      <c r="Q2225" s="22">
        <f t="shared" si="32"/>
        <v>0</v>
      </c>
      <c r="R2225" s="236" t="str">
        <f t="shared" si="33"/>
        <v>-</v>
      </c>
      <c r="S2225" s="234">
        <f t="shared" si="30"/>
        <v>0</v>
      </c>
      <c r="T2225" s="235">
        <f t="shared" si="30"/>
        <v>0</v>
      </c>
    </row>
    <row r="2226" spans="1:20" hidden="1" x14ac:dyDescent="0.35">
      <c r="A2226" s="3"/>
      <c r="B2226" s="165">
        <f t="shared" si="34"/>
        <v>44958</v>
      </c>
      <c r="C2226" s="57"/>
      <c r="D2226" s="3" t="s">
        <v>105</v>
      </c>
      <c r="E2226" s="18">
        <f t="shared" si="32"/>
        <v>0</v>
      </c>
      <c r="F2226" s="166">
        <f t="shared" si="32"/>
        <v>0</v>
      </c>
      <c r="G2226" s="166">
        <f t="shared" si="32"/>
        <v>0</v>
      </c>
      <c r="H2226" s="21">
        <f t="shared" si="32"/>
        <v>0</v>
      </c>
      <c r="I2226" s="21">
        <f t="shared" si="32"/>
        <v>0</v>
      </c>
      <c r="J2226" s="21">
        <f t="shared" si="32"/>
        <v>0</v>
      </c>
      <c r="K2226" s="21">
        <f t="shared" si="32"/>
        <v>0</v>
      </c>
      <c r="L2226" s="21">
        <f t="shared" si="32"/>
        <v>0</v>
      </c>
      <c r="M2226" s="21">
        <f t="shared" si="32"/>
        <v>0</v>
      </c>
      <c r="N2226" s="21">
        <f t="shared" si="32"/>
        <v>0</v>
      </c>
      <c r="O2226" s="19">
        <f t="shared" si="32"/>
        <v>0</v>
      </c>
      <c r="P2226" s="22">
        <f t="shared" si="32"/>
        <v>0</v>
      </c>
      <c r="Q2226" s="22">
        <f t="shared" si="32"/>
        <v>0</v>
      </c>
      <c r="R2226" s="236" t="str">
        <f t="shared" si="33"/>
        <v>-</v>
      </c>
      <c r="S2226" s="234">
        <f t="shared" si="30"/>
        <v>0</v>
      </c>
      <c r="T2226" s="235">
        <f t="shared" si="30"/>
        <v>0</v>
      </c>
    </row>
    <row r="2227" spans="1:20" hidden="1" x14ac:dyDescent="0.35">
      <c r="A2227" s="3"/>
      <c r="B2227" s="165">
        <f t="shared" si="34"/>
        <v>44958</v>
      </c>
      <c r="C2227" s="57"/>
      <c r="D2227" s="3" t="s">
        <v>105</v>
      </c>
      <c r="E2227" s="18">
        <f t="shared" si="32"/>
        <v>0</v>
      </c>
      <c r="F2227" s="166">
        <f t="shared" si="32"/>
        <v>0</v>
      </c>
      <c r="G2227" s="166">
        <f t="shared" si="32"/>
        <v>0</v>
      </c>
      <c r="H2227" s="21">
        <f t="shared" si="32"/>
        <v>0</v>
      </c>
      <c r="I2227" s="21">
        <f t="shared" si="32"/>
        <v>0</v>
      </c>
      <c r="J2227" s="21">
        <f t="shared" si="32"/>
        <v>0</v>
      </c>
      <c r="K2227" s="21">
        <f t="shared" si="32"/>
        <v>0</v>
      </c>
      <c r="L2227" s="21">
        <f t="shared" si="32"/>
        <v>0</v>
      </c>
      <c r="M2227" s="21">
        <f t="shared" si="32"/>
        <v>0</v>
      </c>
      <c r="N2227" s="21">
        <f t="shared" si="32"/>
        <v>0</v>
      </c>
      <c r="O2227" s="19">
        <f t="shared" si="32"/>
        <v>0</v>
      </c>
      <c r="P2227" s="22">
        <f t="shared" si="32"/>
        <v>0</v>
      </c>
      <c r="Q2227" s="22">
        <f t="shared" si="32"/>
        <v>0</v>
      </c>
      <c r="R2227" s="236" t="str">
        <f t="shared" si="33"/>
        <v>-</v>
      </c>
      <c r="S2227" s="234">
        <f t="shared" si="30"/>
        <v>0</v>
      </c>
      <c r="T2227" s="235">
        <f t="shared" si="30"/>
        <v>0</v>
      </c>
    </row>
    <row r="2228" spans="1:20" hidden="1" x14ac:dyDescent="0.35">
      <c r="A2228" s="3"/>
      <c r="B2228" s="165">
        <f t="shared" si="34"/>
        <v>44958</v>
      </c>
      <c r="C2228" s="57"/>
      <c r="D2228" s="3" t="s">
        <v>106</v>
      </c>
      <c r="E2228" s="18">
        <f t="shared" si="32"/>
        <v>141</v>
      </c>
      <c r="F2228" s="166">
        <f t="shared" si="32"/>
        <v>1221</v>
      </c>
      <c r="G2228" s="166">
        <f t="shared" si="32"/>
        <v>1140</v>
      </c>
      <c r="H2228" s="21">
        <f t="shared" si="32"/>
        <v>2648</v>
      </c>
      <c r="I2228" s="21">
        <f t="shared" si="32"/>
        <v>357</v>
      </c>
      <c r="J2228" s="21">
        <f t="shared" si="32"/>
        <v>1378</v>
      </c>
      <c r="K2228" s="21">
        <f t="shared" si="32"/>
        <v>190</v>
      </c>
      <c r="L2228" s="21">
        <f t="shared" si="32"/>
        <v>2087</v>
      </c>
      <c r="M2228" s="21">
        <f t="shared" si="32"/>
        <v>599</v>
      </c>
      <c r="N2228" s="21">
        <f t="shared" si="32"/>
        <v>1244</v>
      </c>
      <c r="O2228" s="19">
        <f t="shared" si="32"/>
        <v>1840</v>
      </c>
      <c r="P2228" s="22">
        <f t="shared" si="32"/>
        <v>281</v>
      </c>
      <c r="Q2228" s="22">
        <f t="shared" si="32"/>
        <v>187</v>
      </c>
      <c r="R2228" s="236">
        <f t="shared" si="33"/>
        <v>0.7142857142857143</v>
      </c>
      <c r="S2228" s="234">
        <f t="shared" si="30"/>
        <v>5</v>
      </c>
      <c r="T2228" s="235">
        <f t="shared" si="30"/>
        <v>2</v>
      </c>
    </row>
    <row r="2229" spans="1:20" hidden="1" x14ac:dyDescent="0.35">
      <c r="A2229" s="3"/>
      <c r="B2229" s="165">
        <f t="shared" si="34"/>
        <v>44958</v>
      </c>
      <c r="C2229" s="57"/>
      <c r="D2229" s="3" t="s">
        <v>107</v>
      </c>
      <c r="E2229" s="18">
        <f t="shared" si="32"/>
        <v>215</v>
      </c>
      <c r="F2229" s="166">
        <f t="shared" si="32"/>
        <v>1034</v>
      </c>
      <c r="G2229" s="166">
        <f t="shared" si="32"/>
        <v>1202</v>
      </c>
      <c r="H2229" s="21">
        <f t="shared" si="32"/>
        <v>2453</v>
      </c>
      <c r="I2229" s="21">
        <f t="shared" si="32"/>
        <v>304</v>
      </c>
      <c r="J2229" s="21">
        <f t="shared" si="32"/>
        <v>1194</v>
      </c>
      <c r="K2229" s="21">
        <f t="shared" si="32"/>
        <v>226</v>
      </c>
      <c r="L2229" s="21">
        <f t="shared" si="32"/>
        <v>1709</v>
      </c>
      <c r="M2229" s="21">
        <f t="shared" si="32"/>
        <v>631</v>
      </c>
      <c r="N2229" s="21">
        <f t="shared" si="32"/>
        <v>1099</v>
      </c>
      <c r="O2229" s="19">
        <f t="shared" si="32"/>
        <v>1820</v>
      </c>
      <c r="P2229" s="22">
        <f t="shared" si="32"/>
        <v>391</v>
      </c>
      <c r="Q2229" s="22">
        <f t="shared" si="32"/>
        <v>225</v>
      </c>
      <c r="R2229" s="236">
        <f t="shared" si="33"/>
        <v>0.5714285714285714</v>
      </c>
      <c r="S2229" s="234">
        <f t="shared" si="30"/>
        <v>4</v>
      </c>
      <c r="T2229" s="235">
        <f t="shared" si="30"/>
        <v>3</v>
      </c>
    </row>
    <row r="2230" spans="1:20" hidden="1" x14ac:dyDescent="0.35">
      <c r="A2230" s="3"/>
      <c r="B2230" s="165">
        <f t="shared" si="34"/>
        <v>44958</v>
      </c>
      <c r="C2230" s="57"/>
      <c r="D2230" s="3" t="s">
        <v>108</v>
      </c>
      <c r="E2230" s="18">
        <f t="shared" si="32"/>
        <v>340</v>
      </c>
      <c r="F2230" s="166">
        <f t="shared" si="32"/>
        <v>1022</v>
      </c>
      <c r="G2230" s="166">
        <f t="shared" si="32"/>
        <v>1316</v>
      </c>
      <c r="H2230" s="21">
        <f t="shared" si="32"/>
        <v>2494</v>
      </c>
      <c r="I2230" s="21">
        <f t="shared" si="32"/>
        <v>293</v>
      </c>
      <c r="J2230" s="21">
        <f t="shared" si="32"/>
        <v>1161</v>
      </c>
      <c r="K2230" s="21">
        <f t="shared" si="32"/>
        <v>171</v>
      </c>
      <c r="L2230" s="21">
        <f t="shared" si="32"/>
        <v>1874</v>
      </c>
      <c r="M2230" s="21">
        <f t="shared" si="32"/>
        <v>556</v>
      </c>
      <c r="N2230" s="21">
        <f t="shared" si="32"/>
        <v>1094</v>
      </c>
      <c r="O2230" s="19">
        <f t="shared" si="32"/>
        <v>2140</v>
      </c>
      <c r="P2230" s="22">
        <f t="shared" si="32"/>
        <v>329</v>
      </c>
      <c r="Q2230" s="22">
        <f t="shared" si="32"/>
        <v>206</v>
      </c>
      <c r="R2230" s="236">
        <f t="shared" si="33"/>
        <v>0.45454545454545453</v>
      </c>
      <c r="S2230" s="234">
        <f t="shared" si="30"/>
        <v>5</v>
      </c>
      <c r="T2230" s="235">
        <f t="shared" si="30"/>
        <v>6</v>
      </c>
    </row>
    <row r="2231" spans="1:20" hidden="1" x14ac:dyDescent="0.35">
      <c r="A2231" s="3"/>
      <c r="B2231" s="165">
        <f t="shared" si="34"/>
        <v>44958</v>
      </c>
      <c r="C2231" s="57"/>
      <c r="D2231" s="3" t="s">
        <v>109</v>
      </c>
      <c r="E2231" s="18">
        <f t="shared" si="32"/>
        <v>319</v>
      </c>
      <c r="F2231" s="166">
        <f t="shared" si="32"/>
        <v>1931</v>
      </c>
      <c r="G2231" s="166">
        <f t="shared" si="32"/>
        <v>2043</v>
      </c>
      <c r="H2231" s="21">
        <f t="shared" si="32"/>
        <v>4620</v>
      </c>
      <c r="I2231" s="21">
        <f t="shared" si="32"/>
        <v>511</v>
      </c>
      <c r="J2231" s="21">
        <f t="shared" si="32"/>
        <v>2543</v>
      </c>
      <c r="K2231" s="21">
        <f t="shared" si="32"/>
        <v>365</v>
      </c>
      <c r="L2231" s="21">
        <f t="shared" si="32"/>
        <v>2897</v>
      </c>
      <c r="M2231" s="21">
        <f t="shared" si="32"/>
        <v>917</v>
      </c>
      <c r="N2231" s="21">
        <f t="shared" si="32"/>
        <v>1981</v>
      </c>
      <c r="O2231" s="19">
        <f t="shared" si="32"/>
        <v>3260</v>
      </c>
      <c r="P2231" s="22">
        <f t="shared" si="32"/>
        <v>212</v>
      </c>
      <c r="Q2231" s="22">
        <f t="shared" si="32"/>
        <v>146</v>
      </c>
      <c r="R2231" s="236">
        <f t="shared" si="33"/>
        <v>0.5</v>
      </c>
      <c r="S2231" s="234">
        <f t="shared" si="30"/>
        <v>5</v>
      </c>
      <c r="T2231" s="235">
        <f t="shared" si="30"/>
        <v>5</v>
      </c>
    </row>
    <row r="2232" spans="1:20" hidden="1" x14ac:dyDescent="0.35">
      <c r="A2232" s="3"/>
      <c r="B2232" s="165">
        <f t="shared" si="34"/>
        <v>44958</v>
      </c>
      <c r="C2232" s="57"/>
      <c r="D2232" s="3" t="s">
        <v>110</v>
      </c>
      <c r="E2232" s="18">
        <f t="shared" si="32"/>
        <v>0</v>
      </c>
      <c r="F2232" s="166">
        <f t="shared" si="32"/>
        <v>0</v>
      </c>
      <c r="G2232" s="166">
        <f t="shared" si="32"/>
        <v>0</v>
      </c>
      <c r="H2232" s="21">
        <f t="shared" si="32"/>
        <v>0</v>
      </c>
      <c r="I2232" s="21">
        <f t="shared" si="32"/>
        <v>0</v>
      </c>
      <c r="J2232" s="21">
        <f t="shared" si="32"/>
        <v>0</v>
      </c>
      <c r="K2232" s="21">
        <f t="shared" si="32"/>
        <v>0</v>
      </c>
      <c r="L2232" s="21">
        <f t="shared" si="32"/>
        <v>0</v>
      </c>
      <c r="M2232" s="21">
        <f t="shared" si="32"/>
        <v>0</v>
      </c>
      <c r="N2232" s="21">
        <f t="shared" si="32"/>
        <v>0</v>
      </c>
      <c r="O2232" s="19">
        <f t="shared" si="32"/>
        <v>0</v>
      </c>
      <c r="P2232" s="22">
        <f t="shared" si="32"/>
        <v>0</v>
      </c>
      <c r="Q2232" s="22">
        <f t="shared" si="32"/>
        <v>0</v>
      </c>
      <c r="R2232" s="236" t="str">
        <f t="shared" si="33"/>
        <v>-</v>
      </c>
      <c r="S2232" s="234">
        <f t="shared" si="30"/>
        <v>0</v>
      </c>
      <c r="T2232" s="235">
        <f t="shared" si="30"/>
        <v>0</v>
      </c>
    </row>
    <row r="2233" spans="1:20" hidden="1" x14ac:dyDescent="0.35">
      <c r="A2233" s="3"/>
      <c r="B2233" s="165">
        <f>DATE(YEAR(B2232+31),MONTH(B2232+31),1)</f>
        <v>44986</v>
      </c>
      <c r="C2233" s="57"/>
      <c r="D2233" s="3" t="s">
        <v>16</v>
      </c>
      <c r="E2233" s="18">
        <f t="shared" si="32"/>
        <v>461</v>
      </c>
      <c r="F2233" s="166">
        <f t="shared" si="32"/>
        <v>2249</v>
      </c>
      <c r="G2233" s="166">
        <f t="shared" si="32"/>
        <v>2109</v>
      </c>
      <c r="H2233" s="21">
        <f t="shared" si="32"/>
        <v>4248</v>
      </c>
      <c r="I2233" s="21">
        <f t="shared" si="32"/>
        <v>632</v>
      </c>
      <c r="J2233" s="21">
        <f t="shared" si="32"/>
        <v>2142</v>
      </c>
      <c r="K2233" s="21">
        <f t="shared" si="32"/>
        <v>362</v>
      </c>
      <c r="L2233" s="21">
        <f t="shared" si="32"/>
        <v>3553</v>
      </c>
      <c r="M2233" s="21">
        <f t="shared" si="32"/>
        <v>1367</v>
      </c>
      <c r="N2233" s="21">
        <f t="shared" si="32"/>
        <v>2275</v>
      </c>
      <c r="O2233" s="19">
        <f t="shared" si="32"/>
        <v>4140</v>
      </c>
      <c r="P2233" s="22">
        <f t="shared" si="32"/>
        <v>258</v>
      </c>
      <c r="Q2233" s="22">
        <f t="shared" si="32"/>
        <v>166</v>
      </c>
      <c r="R2233" s="236">
        <f t="shared" si="33"/>
        <v>0.7857142857142857</v>
      </c>
      <c r="S2233" s="234">
        <f t="shared" si="30"/>
        <v>11</v>
      </c>
      <c r="T2233" s="235">
        <f t="shared" si="30"/>
        <v>3</v>
      </c>
    </row>
    <row r="2234" spans="1:20" hidden="1" x14ac:dyDescent="0.35">
      <c r="A2234" s="3"/>
      <c r="B2234" s="165">
        <f t="shared" si="34"/>
        <v>44986</v>
      </c>
      <c r="C2234" s="57"/>
      <c r="D2234" s="3" t="s">
        <v>104</v>
      </c>
      <c r="E2234" s="18">
        <f t="shared" si="32"/>
        <v>0</v>
      </c>
      <c r="F2234" s="166">
        <f t="shared" si="32"/>
        <v>0</v>
      </c>
      <c r="G2234" s="166">
        <f t="shared" ref="G2234:Q2257" si="35">SUMIFS(G$5:G$2214,$A$5:$A$2214,$D2234,$B$5:$B$2214,$B2234)</f>
        <v>0</v>
      </c>
      <c r="H2234" s="21">
        <f t="shared" si="35"/>
        <v>0</v>
      </c>
      <c r="I2234" s="21">
        <f t="shared" si="35"/>
        <v>0</v>
      </c>
      <c r="J2234" s="21">
        <f t="shared" si="35"/>
        <v>0</v>
      </c>
      <c r="K2234" s="21">
        <f t="shared" si="35"/>
        <v>0</v>
      </c>
      <c r="L2234" s="21">
        <f t="shared" si="35"/>
        <v>0</v>
      </c>
      <c r="M2234" s="21">
        <f t="shared" si="35"/>
        <v>0</v>
      </c>
      <c r="N2234" s="21">
        <f t="shared" si="35"/>
        <v>0</v>
      </c>
      <c r="O2234" s="19">
        <f t="shared" si="35"/>
        <v>0</v>
      </c>
      <c r="P2234" s="22">
        <f t="shared" si="35"/>
        <v>0</v>
      </c>
      <c r="Q2234" s="22">
        <f t="shared" si="35"/>
        <v>0</v>
      </c>
      <c r="R2234" s="236" t="str">
        <f t="shared" si="33"/>
        <v>-</v>
      </c>
      <c r="S2234" s="234">
        <f t="shared" si="30"/>
        <v>0</v>
      </c>
      <c r="T2234" s="235">
        <f t="shared" si="30"/>
        <v>0</v>
      </c>
    </row>
    <row r="2235" spans="1:20" hidden="1" x14ac:dyDescent="0.35">
      <c r="A2235" s="3"/>
      <c r="B2235" s="165">
        <f t="shared" si="34"/>
        <v>44986</v>
      </c>
      <c r="C2235" s="57"/>
      <c r="D2235" s="3" t="s">
        <v>105</v>
      </c>
      <c r="E2235" s="18">
        <f t="shared" ref="E2235:K2291" si="36">SUMIFS(E$5:E$2214,$A$5:$A$2214,$D2235,$B$5:$B$2214,$B2235)</f>
        <v>0</v>
      </c>
      <c r="F2235" s="166">
        <f t="shared" si="36"/>
        <v>0</v>
      </c>
      <c r="G2235" s="166">
        <f t="shared" si="35"/>
        <v>0</v>
      </c>
      <c r="H2235" s="21">
        <f t="shared" si="35"/>
        <v>0</v>
      </c>
      <c r="I2235" s="21">
        <f t="shared" si="35"/>
        <v>0</v>
      </c>
      <c r="J2235" s="21">
        <f t="shared" si="35"/>
        <v>0</v>
      </c>
      <c r="K2235" s="21">
        <f t="shared" si="35"/>
        <v>0</v>
      </c>
      <c r="L2235" s="21">
        <f t="shared" si="35"/>
        <v>0</v>
      </c>
      <c r="M2235" s="21">
        <f t="shared" si="35"/>
        <v>0</v>
      </c>
      <c r="N2235" s="21">
        <f t="shared" si="35"/>
        <v>0</v>
      </c>
      <c r="O2235" s="19">
        <f t="shared" si="35"/>
        <v>0</v>
      </c>
      <c r="P2235" s="22">
        <f t="shared" si="35"/>
        <v>0</v>
      </c>
      <c r="Q2235" s="22">
        <f t="shared" si="35"/>
        <v>0</v>
      </c>
      <c r="R2235" s="236" t="str">
        <f t="shared" si="33"/>
        <v>-</v>
      </c>
      <c r="S2235" s="234">
        <f t="shared" ref="S2235:T2254" si="37">SUMIFS(S$5:S$2214,$B$5:$B$2214,$B2235,$A$5:$A$2214,$D2235)</f>
        <v>0</v>
      </c>
      <c r="T2235" s="235">
        <f t="shared" si="37"/>
        <v>0</v>
      </c>
    </row>
    <row r="2236" spans="1:20" hidden="1" x14ac:dyDescent="0.35">
      <c r="A2236" s="3"/>
      <c r="B2236" s="165">
        <f t="shared" si="34"/>
        <v>44986</v>
      </c>
      <c r="C2236" s="57"/>
      <c r="D2236" s="3" t="s">
        <v>105</v>
      </c>
      <c r="E2236" s="18">
        <f t="shared" si="36"/>
        <v>0</v>
      </c>
      <c r="F2236" s="166">
        <f t="shared" si="36"/>
        <v>0</v>
      </c>
      <c r="G2236" s="166">
        <f t="shared" si="35"/>
        <v>0</v>
      </c>
      <c r="H2236" s="21">
        <f t="shared" si="35"/>
        <v>0</v>
      </c>
      <c r="I2236" s="21">
        <f t="shared" si="35"/>
        <v>0</v>
      </c>
      <c r="J2236" s="21">
        <f t="shared" si="35"/>
        <v>0</v>
      </c>
      <c r="K2236" s="21">
        <f t="shared" si="35"/>
        <v>0</v>
      </c>
      <c r="L2236" s="21">
        <f t="shared" si="35"/>
        <v>0</v>
      </c>
      <c r="M2236" s="21">
        <f t="shared" si="35"/>
        <v>0</v>
      </c>
      <c r="N2236" s="21">
        <f t="shared" si="35"/>
        <v>0</v>
      </c>
      <c r="O2236" s="19">
        <f t="shared" si="35"/>
        <v>0</v>
      </c>
      <c r="P2236" s="22">
        <f t="shared" si="35"/>
        <v>0</v>
      </c>
      <c r="Q2236" s="22">
        <f t="shared" si="35"/>
        <v>0</v>
      </c>
      <c r="R2236" s="236" t="str">
        <f t="shared" si="33"/>
        <v>-</v>
      </c>
      <c r="S2236" s="234">
        <f t="shared" si="37"/>
        <v>0</v>
      </c>
      <c r="T2236" s="235">
        <f t="shared" si="37"/>
        <v>0</v>
      </c>
    </row>
    <row r="2237" spans="1:20" hidden="1" x14ac:dyDescent="0.35">
      <c r="A2237" s="3"/>
      <c r="B2237" s="165">
        <f t="shared" si="34"/>
        <v>44986</v>
      </c>
      <c r="C2237" s="57"/>
      <c r="D2237" s="3" t="s">
        <v>106</v>
      </c>
      <c r="E2237" s="18">
        <f t="shared" si="36"/>
        <v>194</v>
      </c>
      <c r="F2237" s="166">
        <f t="shared" si="36"/>
        <v>1220</v>
      </c>
      <c r="G2237" s="166">
        <f t="shared" si="35"/>
        <v>1259</v>
      </c>
      <c r="H2237" s="21">
        <f t="shared" si="35"/>
        <v>3063</v>
      </c>
      <c r="I2237" s="21">
        <f t="shared" si="35"/>
        <v>347</v>
      </c>
      <c r="J2237" s="21">
        <f t="shared" si="35"/>
        <v>1529</v>
      </c>
      <c r="K2237" s="21">
        <f t="shared" si="35"/>
        <v>244</v>
      </c>
      <c r="L2237" s="21">
        <f t="shared" si="35"/>
        <v>2236</v>
      </c>
      <c r="M2237" s="21">
        <f t="shared" si="35"/>
        <v>660</v>
      </c>
      <c r="N2237" s="21">
        <f t="shared" si="35"/>
        <v>1247</v>
      </c>
      <c r="O2237" s="19">
        <f t="shared" si="35"/>
        <v>2047</v>
      </c>
      <c r="P2237" s="22">
        <f t="shared" si="35"/>
        <v>165</v>
      </c>
      <c r="Q2237" s="22">
        <f t="shared" si="35"/>
        <v>113</v>
      </c>
      <c r="R2237" s="236">
        <f t="shared" si="33"/>
        <v>0.5714285714285714</v>
      </c>
      <c r="S2237" s="234">
        <f t="shared" si="37"/>
        <v>4</v>
      </c>
      <c r="T2237" s="235">
        <f t="shared" si="37"/>
        <v>3</v>
      </c>
    </row>
    <row r="2238" spans="1:20" hidden="1" x14ac:dyDescent="0.35">
      <c r="A2238" s="3"/>
      <c r="B2238" s="165">
        <f t="shared" si="34"/>
        <v>44986</v>
      </c>
      <c r="C2238" s="57"/>
      <c r="D2238" s="3" t="s">
        <v>107</v>
      </c>
      <c r="E2238" s="18">
        <f t="shared" si="36"/>
        <v>231</v>
      </c>
      <c r="F2238" s="166">
        <f t="shared" si="36"/>
        <v>1330</v>
      </c>
      <c r="G2238" s="166">
        <f t="shared" si="35"/>
        <v>1147</v>
      </c>
      <c r="H2238" s="21">
        <f t="shared" si="35"/>
        <v>2605</v>
      </c>
      <c r="I2238" s="21">
        <f t="shared" si="35"/>
        <v>363</v>
      </c>
      <c r="J2238" s="21">
        <f t="shared" si="35"/>
        <v>1335</v>
      </c>
      <c r="K2238" s="21">
        <f t="shared" si="35"/>
        <v>332</v>
      </c>
      <c r="L2238" s="21">
        <f t="shared" si="35"/>
        <v>1980</v>
      </c>
      <c r="M2238" s="21">
        <f t="shared" si="35"/>
        <v>816</v>
      </c>
      <c r="N2238" s="21">
        <f t="shared" si="35"/>
        <v>1429</v>
      </c>
      <c r="O2238" s="19">
        <f t="shared" si="35"/>
        <v>2162</v>
      </c>
      <c r="P2238" s="22">
        <f t="shared" si="35"/>
        <v>296</v>
      </c>
      <c r="Q2238" s="22">
        <f t="shared" si="35"/>
        <v>160</v>
      </c>
      <c r="R2238" s="236">
        <f t="shared" si="33"/>
        <v>0.7142857142857143</v>
      </c>
      <c r="S2238" s="234">
        <f t="shared" si="37"/>
        <v>5</v>
      </c>
      <c r="T2238" s="235">
        <f t="shared" si="37"/>
        <v>2</v>
      </c>
    </row>
    <row r="2239" spans="1:20" hidden="1" x14ac:dyDescent="0.35">
      <c r="A2239" s="3"/>
      <c r="B2239" s="165">
        <f t="shared" si="34"/>
        <v>44986</v>
      </c>
      <c r="C2239" s="57"/>
      <c r="D2239" s="3" t="s">
        <v>108</v>
      </c>
      <c r="E2239" s="18">
        <f t="shared" si="36"/>
        <v>356</v>
      </c>
      <c r="F2239" s="166">
        <f t="shared" si="36"/>
        <v>1125</v>
      </c>
      <c r="G2239" s="166">
        <f t="shared" si="35"/>
        <v>1421</v>
      </c>
      <c r="H2239" s="21">
        <f t="shared" si="35"/>
        <v>2734</v>
      </c>
      <c r="I2239" s="21">
        <f t="shared" si="35"/>
        <v>341</v>
      </c>
      <c r="J2239" s="21">
        <f t="shared" si="35"/>
        <v>1238</v>
      </c>
      <c r="K2239" s="21">
        <f t="shared" si="35"/>
        <v>221</v>
      </c>
      <c r="L2239" s="21">
        <f t="shared" si="35"/>
        <v>2183</v>
      </c>
      <c r="M2239" s="21">
        <f t="shared" si="35"/>
        <v>734</v>
      </c>
      <c r="N2239" s="21">
        <f t="shared" si="35"/>
        <v>1250</v>
      </c>
      <c r="O2239" s="19">
        <f t="shared" si="35"/>
        <v>2323</v>
      </c>
      <c r="P2239" s="22">
        <f t="shared" si="35"/>
        <v>273</v>
      </c>
      <c r="Q2239" s="22">
        <f t="shared" si="35"/>
        <v>161</v>
      </c>
      <c r="R2239" s="236">
        <f t="shared" si="33"/>
        <v>0.45454545454545453</v>
      </c>
      <c r="S2239" s="234">
        <f t="shared" si="37"/>
        <v>5</v>
      </c>
      <c r="T2239" s="235">
        <f t="shared" si="37"/>
        <v>6</v>
      </c>
    </row>
    <row r="2240" spans="1:20" hidden="1" x14ac:dyDescent="0.35">
      <c r="A2240" s="3"/>
      <c r="B2240" s="165">
        <f t="shared" si="34"/>
        <v>44986</v>
      </c>
      <c r="C2240" s="57"/>
      <c r="D2240" s="3" t="s">
        <v>109</v>
      </c>
      <c r="E2240" s="18">
        <f t="shared" si="36"/>
        <v>443</v>
      </c>
      <c r="F2240" s="166">
        <f t="shared" si="36"/>
        <v>2358</v>
      </c>
      <c r="G2240" s="166">
        <f t="shared" si="35"/>
        <v>2414</v>
      </c>
      <c r="H2240" s="21">
        <f t="shared" si="35"/>
        <v>5353</v>
      </c>
      <c r="I2240" s="21">
        <f t="shared" si="35"/>
        <v>590</v>
      </c>
      <c r="J2240" s="21">
        <f t="shared" si="35"/>
        <v>2882</v>
      </c>
      <c r="K2240" s="21">
        <f t="shared" si="35"/>
        <v>429</v>
      </c>
      <c r="L2240" s="21">
        <f t="shared" si="35"/>
        <v>3377</v>
      </c>
      <c r="M2240" s="21">
        <f t="shared" si="35"/>
        <v>1191</v>
      </c>
      <c r="N2240" s="21">
        <f t="shared" si="35"/>
        <v>2406</v>
      </c>
      <c r="O2240" s="19">
        <f t="shared" si="35"/>
        <v>3611</v>
      </c>
      <c r="P2240" s="22">
        <f t="shared" si="35"/>
        <v>197</v>
      </c>
      <c r="Q2240" s="22">
        <f t="shared" si="35"/>
        <v>129</v>
      </c>
      <c r="R2240" s="236">
        <f t="shared" si="33"/>
        <v>0.6</v>
      </c>
      <c r="S2240" s="234">
        <f t="shared" si="37"/>
        <v>6</v>
      </c>
      <c r="T2240" s="235">
        <f t="shared" si="37"/>
        <v>4</v>
      </c>
    </row>
    <row r="2241" spans="1:20" hidden="1" x14ac:dyDescent="0.35">
      <c r="A2241" s="3"/>
      <c r="B2241" s="165">
        <f t="shared" si="34"/>
        <v>44986</v>
      </c>
      <c r="C2241" s="57"/>
      <c r="D2241" s="3" t="s">
        <v>110</v>
      </c>
      <c r="E2241" s="18">
        <f t="shared" si="36"/>
        <v>0</v>
      </c>
      <c r="F2241" s="166">
        <f t="shared" si="36"/>
        <v>0</v>
      </c>
      <c r="G2241" s="166">
        <f t="shared" si="35"/>
        <v>0</v>
      </c>
      <c r="H2241" s="21">
        <f t="shared" si="35"/>
        <v>0</v>
      </c>
      <c r="I2241" s="21">
        <f t="shared" si="35"/>
        <v>0</v>
      </c>
      <c r="J2241" s="21">
        <f t="shared" si="35"/>
        <v>0</v>
      </c>
      <c r="K2241" s="21">
        <f t="shared" si="35"/>
        <v>0</v>
      </c>
      <c r="L2241" s="21">
        <f t="shared" si="35"/>
        <v>0</v>
      </c>
      <c r="M2241" s="21">
        <f t="shared" si="35"/>
        <v>0</v>
      </c>
      <c r="N2241" s="21">
        <f t="shared" si="35"/>
        <v>0</v>
      </c>
      <c r="O2241" s="19">
        <f t="shared" si="35"/>
        <v>0</v>
      </c>
      <c r="P2241" s="22">
        <f t="shared" si="35"/>
        <v>0</v>
      </c>
      <c r="Q2241" s="22">
        <f t="shared" si="35"/>
        <v>0</v>
      </c>
      <c r="R2241" s="236" t="str">
        <f t="shared" si="33"/>
        <v>-</v>
      </c>
      <c r="S2241" s="234">
        <f t="shared" si="37"/>
        <v>0</v>
      </c>
      <c r="T2241" s="235">
        <f t="shared" si="37"/>
        <v>0</v>
      </c>
    </row>
    <row r="2242" spans="1:20" hidden="1" x14ac:dyDescent="0.35">
      <c r="A2242" s="3"/>
      <c r="B2242" s="165">
        <f>DATE(YEAR(B2241+31),MONTH(B2241+31),1)</f>
        <v>45017</v>
      </c>
      <c r="C2242" s="57"/>
      <c r="D2242" s="3" t="s">
        <v>16</v>
      </c>
      <c r="E2242" s="18">
        <f t="shared" si="36"/>
        <v>459</v>
      </c>
      <c r="F2242" s="166">
        <f t="shared" si="36"/>
        <v>2071</v>
      </c>
      <c r="G2242" s="166">
        <f t="shared" si="35"/>
        <v>2025</v>
      </c>
      <c r="H2242" s="21">
        <f t="shared" si="35"/>
        <v>4292</v>
      </c>
      <c r="I2242" s="21">
        <f t="shared" si="35"/>
        <v>584</v>
      </c>
      <c r="J2242" s="21">
        <f t="shared" si="35"/>
        <v>2052</v>
      </c>
      <c r="K2242" s="21">
        <f t="shared" si="35"/>
        <v>307</v>
      </c>
      <c r="L2242" s="21">
        <f t="shared" si="35"/>
        <v>3368</v>
      </c>
      <c r="M2242" s="21">
        <f t="shared" si="35"/>
        <v>1236</v>
      </c>
      <c r="N2242" s="21">
        <f t="shared" si="35"/>
        <v>2106</v>
      </c>
      <c r="O2242" s="19">
        <f t="shared" si="35"/>
        <v>3916</v>
      </c>
      <c r="P2242" s="22">
        <f t="shared" si="35"/>
        <v>191</v>
      </c>
      <c r="Q2242" s="22">
        <f t="shared" si="35"/>
        <v>112</v>
      </c>
      <c r="R2242" s="236">
        <f t="shared" si="33"/>
        <v>0.7857142857142857</v>
      </c>
      <c r="S2242" s="234">
        <f t="shared" si="37"/>
        <v>11</v>
      </c>
      <c r="T2242" s="235">
        <f t="shared" si="37"/>
        <v>3</v>
      </c>
    </row>
    <row r="2243" spans="1:20" hidden="1" x14ac:dyDescent="0.35">
      <c r="A2243" s="3"/>
      <c r="B2243" s="165">
        <f t="shared" si="34"/>
        <v>45017</v>
      </c>
      <c r="C2243" s="57"/>
      <c r="D2243" s="3" t="s">
        <v>104</v>
      </c>
      <c r="E2243" s="18">
        <f t="shared" si="36"/>
        <v>0</v>
      </c>
      <c r="F2243" s="166">
        <f t="shared" si="36"/>
        <v>0</v>
      </c>
      <c r="G2243" s="166">
        <f t="shared" si="35"/>
        <v>0</v>
      </c>
      <c r="H2243" s="21">
        <f t="shared" si="35"/>
        <v>0</v>
      </c>
      <c r="I2243" s="21">
        <f t="shared" si="35"/>
        <v>0</v>
      </c>
      <c r="J2243" s="21">
        <f t="shared" si="35"/>
        <v>0</v>
      </c>
      <c r="K2243" s="21">
        <f t="shared" si="35"/>
        <v>0</v>
      </c>
      <c r="L2243" s="21">
        <f t="shared" si="35"/>
        <v>0</v>
      </c>
      <c r="M2243" s="21">
        <f t="shared" si="35"/>
        <v>0</v>
      </c>
      <c r="N2243" s="21">
        <f t="shared" si="35"/>
        <v>0</v>
      </c>
      <c r="O2243" s="19">
        <f t="shared" si="35"/>
        <v>0</v>
      </c>
      <c r="P2243" s="22">
        <f t="shared" si="35"/>
        <v>0</v>
      </c>
      <c r="Q2243" s="22">
        <f t="shared" si="35"/>
        <v>0</v>
      </c>
      <c r="R2243" s="236" t="str">
        <f t="shared" si="33"/>
        <v>-</v>
      </c>
      <c r="S2243" s="234">
        <f t="shared" si="37"/>
        <v>0</v>
      </c>
      <c r="T2243" s="235">
        <f t="shared" si="37"/>
        <v>0</v>
      </c>
    </row>
    <row r="2244" spans="1:20" hidden="1" x14ac:dyDescent="0.35">
      <c r="A2244" s="3"/>
      <c r="B2244" s="165">
        <f t="shared" si="34"/>
        <v>45017</v>
      </c>
      <c r="C2244" s="57"/>
      <c r="D2244" s="3" t="s">
        <v>105</v>
      </c>
      <c r="E2244" s="18">
        <f t="shared" si="36"/>
        <v>0</v>
      </c>
      <c r="F2244" s="166">
        <f t="shared" si="36"/>
        <v>0</v>
      </c>
      <c r="G2244" s="166">
        <f t="shared" si="35"/>
        <v>0</v>
      </c>
      <c r="H2244" s="21">
        <f t="shared" si="35"/>
        <v>0</v>
      </c>
      <c r="I2244" s="21">
        <f t="shared" si="35"/>
        <v>0</v>
      </c>
      <c r="J2244" s="21">
        <f t="shared" si="35"/>
        <v>0</v>
      </c>
      <c r="K2244" s="21">
        <f t="shared" si="35"/>
        <v>0</v>
      </c>
      <c r="L2244" s="21">
        <f t="shared" si="35"/>
        <v>0</v>
      </c>
      <c r="M2244" s="21">
        <f t="shared" si="35"/>
        <v>0</v>
      </c>
      <c r="N2244" s="21">
        <f t="shared" si="35"/>
        <v>0</v>
      </c>
      <c r="O2244" s="19">
        <f t="shared" si="35"/>
        <v>0</v>
      </c>
      <c r="P2244" s="22">
        <f t="shared" si="35"/>
        <v>0</v>
      </c>
      <c r="Q2244" s="22">
        <f t="shared" si="35"/>
        <v>0</v>
      </c>
      <c r="R2244" s="236" t="str">
        <f t="shared" si="33"/>
        <v>-</v>
      </c>
      <c r="S2244" s="234">
        <f t="shared" si="37"/>
        <v>0</v>
      </c>
      <c r="T2244" s="235">
        <f t="shared" si="37"/>
        <v>0</v>
      </c>
    </row>
    <row r="2245" spans="1:20" hidden="1" x14ac:dyDescent="0.35">
      <c r="A2245" s="3"/>
      <c r="B2245" s="165">
        <f t="shared" si="34"/>
        <v>45017</v>
      </c>
      <c r="C2245" s="57"/>
      <c r="D2245" s="3" t="s">
        <v>105</v>
      </c>
      <c r="E2245" s="18">
        <f t="shared" si="36"/>
        <v>0</v>
      </c>
      <c r="F2245" s="166">
        <f t="shared" si="36"/>
        <v>0</v>
      </c>
      <c r="G2245" s="166">
        <f t="shared" si="35"/>
        <v>0</v>
      </c>
      <c r="H2245" s="21">
        <f t="shared" si="35"/>
        <v>0</v>
      </c>
      <c r="I2245" s="21">
        <f t="shared" si="35"/>
        <v>0</v>
      </c>
      <c r="J2245" s="21">
        <f t="shared" si="35"/>
        <v>0</v>
      </c>
      <c r="K2245" s="21">
        <f t="shared" si="35"/>
        <v>0</v>
      </c>
      <c r="L2245" s="21">
        <f t="shared" si="35"/>
        <v>0</v>
      </c>
      <c r="M2245" s="21">
        <f t="shared" si="35"/>
        <v>0</v>
      </c>
      <c r="N2245" s="21">
        <f t="shared" si="35"/>
        <v>0</v>
      </c>
      <c r="O2245" s="19">
        <f t="shared" si="35"/>
        <v>0</v>
      </c>
      <c r="P2245" s="22">
        <f t="shared" si="35"/>
        <v>0</v>
      </c>
      <c r="Q2245" s="22">
        <f t="shared" si="35"/>
        <v>0</v>
      </c>
      <c r="R2245" s="236" t="str">
        <f t="shared" si="33"/>
        <v>-</v>
      </c>
      <c r="S2245" s="234">
        <f t="shared" si="37"/>
        <v>0</v>
      </c>
      <c r="T2245" s="235">
        <f t="shared" si="37"/>
        <v>0</v>
      </c>
    </row>
    <row r="2246" spans="1:20" hidden="1" x14ac:dyDescent="0.35">
      <c r="A2246" s="3"/>
      <c r="B2246" s="165">
        <f t="shared" si="34"/>
        <v>45017</v>
      </c>
      <c r="C2246" s="57"/>
      <c r="D2246" s="3" t="s">
        <v>106</v>
      </c>
      <c r="E2246" s="18">
        <f t="shared" si="36"/>
        <v>186</v>
      </c>
      <c r="F2246" s="166">
        <f t="shared" si="36"/>
        <v>1258</v>
      </c>
      <c r="G2246" s="166">
        <f t="shared" si="35"/>
        <v>1226</v>
      </c>
      <c r="H2246" s="21">
        <f t="shared" si="35"/>
        <v>3276</v>
      </c>
      <c r="I2246" s="21">
        <f t="shared" si="35"/>
        <v>364</v>
      </c>
      <c r="J2246" s="21">
        <f t="shared" si="35"/>
        <v>1444</v>
      </c>
      <c r="K2246" s="21">
        <f t="shared" si="35"/>
        <v>221</v>
      </c>
      <c r="L2246" s="21">
        <f t="shared" si="35"/>
        <v>2322</v>
      </c>
      <c r="M2246" s="21">
        <f t="shared" si="35"/>
        <v>641</v>
      </c>
      <c r="N2246" s="21">
        <f t="shared" si="35"/>
        <v>1277</v>
      </c>
      <c r="O2246" s="19">
        <f t="shared" si="35"/>
        <v>1958</v>
      </c>
      <c r="P2246" s="22">
        <f t="shared" si="35"/>
        <v>81</v>
      </c>
      <c r="Q2246" s="22">
        <f t="shared" si="35"/>
        <v>57</v>
      </c>
      <c r="R2246" s="236">
        <f t="shared" si="33"/>
        <v>0.5714285714285714</v>
      </c>
      <c r="S2246" s="234">
        <f t="shared" si="37"/>
        <v>4</v>
      </c>
      <c r="T2246" s="235">
        <f t="shared" si="37"/>
        <v>3</v>
      </c>
    </row>
    <row r="2247" spans="1:20" hidden="1" x14ac:dyDescent="0.35">
      <c r="A2247" s="3"/>
      <c r="B2247" s="165">
        <f t="shared" si="34"/>
        <v>45017</v>
      </c>
      <c r="C2247" s="57"/>
      <c r="D2247" s="3" t="s">
        <v>107</v>
      </c>
      <c r="E2247" s="18">
        <f t="shared" si="36"/>
        <v>212</v>
      </c>
      <c r="F2247" s="166">
        <f t="shared" si="36"/>
        <v>1282</v>
      </c>
      <c r="G2247" s="166">
        <f t="shared" si="35"/>
        <v>1066</v>
      </c>
      <c r="H2247" s="21">
        <f t="shared" si="35"/>
        <v>2557</v>
      </c>
      <c r="I2247" s="21">
        <f t="shared" si="35"/>
        <v>365</v>
      </c>
      <c r="J2247" s="21">
        <f t="shared" si="35"/>
        <v>1335</v>
      </c>
      <c r="K2247" s="21">
        <f t="shared" si="35"/>
        <v>349</v>
      </c>
      <c r="L2247" s="21">
        <f t="shared" si="35"/>
        <v>1998</v>
      </c>
      <c r="M2247" s="21">
        <f t="shared" si="35"/>
        <v>806</v>
      </c>
      <c r="N2247" s="21">
        <f t="shared" si="35"/>
        <v>1365</v>
      </c>
      <c r="O2247" s="19">
        <f t="shared" si="35"/>
        <v>2024</v>
      </c>
      <c r="P2247" s="22">
        <f t="shared" si="35"/>
        <v>179</v>
      </c>
      <c r="Q2247" s="22">
        <f t="shared" si="35"/>
        <v>102</v>
      </c>
      <c r="R2247" s="236">
        <f t="shared" si="33"/>
        <v>0.7142857142857143</v>
      </c>
      <c r="S2247" s="234">
        <f t="shared" si="37"/>
        <v>5</v>
      </c>
      <c r="T2247" s="235">
        <f t="shared" si="37"/>
        <v>2</v>
      </c>
    </row>
    <row r="2248" spans="1:20" hidden="1" x14ac:dyDescent="0.35">
      <c r="A2248" s="3"/>
      <c r="B2248" s="165">
        <f t="shared" si="34"/>
        <v>45017</v>
      </c>
      <c r="C2248" s="57"/>
      <c r="D2248" s="3" t="s">
        <v>108</v>
      </c>
      <c r="E2248" s="18">
        <f t="shared" si="36"/>
        <v>333</v>
      </c>
      <c r="F2248" s="166">
        <f t="shared" si="36"/>
        <v>1280</v>
      </c>
      <c r="G2248" s="166">
        <f t="shared" si="35"/>
        <v>1387</v>
      </c>
      <c r="H2248" s="21">
        <f t="shared" si="35"/>
        <v>2900</v>
      </c>
      <c r="I2248" s="21">
        <f t="shared" si="35"/>
        <v>346</v>
      </c>
      <c r="J2248" s="21">
        <f t="shared" si="35"/>
        <v>1284</v>
      </c>
      <c r="K2248" s="21">
        <f t="shared" si="35"/>
        <v>225</v>
      </c>
      <c r="L2248" s="21">
        <f t="shared" si="35"/>
        <v>2288</v>
      </c>
      <c r="M2248" s="21">
        <f t="shared" si="35"/>
        <v>748</v>
      </c>
      <c r="N2248" s="21">
        <f t="shared" si="35"/>
        <v>1290</v>
      </c>
      <c r="O2248" s="19">
        <f t="shared" si="35"/>
        <v>2134</v>
      </c>
      <c r="P2248" s="22">
        <f t="shared" si="35"/>
        <v>167</v>
      </c>
      <c r="Q2248" s="22">
        <f t="shared" si="35"/>
        <v>115</v>
      </c>
      <c r="R2248" s="236">
        <f t="shared" si="33"/>
        <v>0.45454545454545453</v>
      </c>
      <c r="S2248" s="234">
        <f t="shared" si="37"/>
        <v>5</v>
      </c>
      <c r="T2248" s="235">
        <f t="shared" si="37"/>
        <v>6</v>
      </c>
    </row>
    <row r="2249" spans="1:20" hidden="1" x14ac:dyDescent="0.35">
      <c r="A2249" s="3"/>
      <c r="B2249" s="165">
        <f t="shared" si="34"/>
        <v>45017</v>
      </c>
      <c r="C2249" s="57"/>
      <c r="D2249" s="3" t="s">
        <v>109</v>
      </c>
      <c r="E2249" s="18">
        <f t="shared" si="36"/>
        <v>405</v>
      </c>
      <c r="F2249" s="166">
        <f t="shared" si="36"/>
        <v>2118</v>
      </c>
      <c r="G2249" s="166">
        <f t="shared" si="35"/>
        <v>2327</v>
      </c>
      <c r="H2249" s="21">
        <f t="shared" si="35"/>
        <v>5731</v>
      </c>
      <c r="I2249" s="21">
        <f t="shared" si="35"/>
        <v>572</v>
      </c>
      <c r="J2249" s="21">
        <f t="shared" si="35"/>
        <v>2681</v>
      </c>
      <c r="K2249" s="21">
        <f t="shared" si="35"/>
        <v>361</v>
      </c>
      <c r="L2249" s="21">
        <f t="shared" si="35"/>
        <v>3219</v>
      </c>
      <c r="M2249" s="21">
        <f t="shared" si="35"/>
        <v>1077</v>
      </c>
      <c r="N2249" s="21">
        <f t="shared" si="35"/>
        <v>2162</v>
      </c>
      <c r="O2249" s="19">
        <f t="shared" si="35"/>
        <v>3366</v>
      </c>
      <c r="P2249" s="22">
        <f t="shared" si="35"/>
        <v>144</v>
      </c>
      <c r="Q2249" s="22">
        <f t="shared" si="35"/>
        <v>106</v>
      </c>
      <c r="R2249" s="236">
        <f t="shared" si="33"/>
        <v>0.6</v>
      </c>
      <c r="S2249" s="234">
        <f t="shared" si="37"/>
        <v>6</v>
      </c>
      <c r="T2249" s="235">
        <f t="shared" si="37"/>
        <v>4</v>
      </c>
    </row>
    <row r="2250" spans="1:20" hidden="1" x14ac:dyDescent="0.35">
      <c r="A2250" s="3"/>
      <c r="B2250" s="165">
        <f t="shared" si="34"/>
        <v>45017</v>
      </c>
      <c r="C2250" s="57"/>
      <c r="D2250" s="3" t="s">
        <v>110</v>
      </c>
      <c r="E2250" s="18">
        <f t="shared" si="36"/>
        <v>0</v>
      </c>
      <c r="F2250" s="166">
        <f t="shared" si="36"/>
        <v>0</v>
      </c>
      <c r="G2250" s="166">
        <f t="shared" si="35"/>
        <v>0</v>
      </c>
      <c r="H2250" s="21">
        <f t="shared" si="35"/>
        <v>0</v>
      </c>
      <c r="I2250" s="21">
        <f t="shared" si="35"/>
        <v>0</v>
      </c>
      <c r="J2250" s="21">
        <f t="shared" si="35"/>
        <v>0</v>
      </c>
      <c r="K2250" s="21">
        <f t="shared" si="35"/>
        <v>0</v>
      </c>
      <c r="L2250" s="21">
        <f t="shared" si="35"/>
        <v>0</v>
      </c>
      <c r="M2250" s="21">
        <f t="shared" si="35"/>
        <v>0</v>
      </c>
      <c r="N2250" s="21">
        <f t="shared" si="35"/>
        <v>0</v>
      </c>
      <c r="O2250" s="19">
        <f t="shared" si="35"/>
        <v>0</v>
      </c>
      <c r="P2250" s="22">
        <f t="shared" si="35"/>
        <v>0</v>
      </c>
      <c r="Q2250" s="22">
        <f t="shared" si="35"/>
        <v>0</v>
      </c>
      <c r="R2250" s="236" t="str">
        <f t="shared" si="33"/>
        <v>-</v>
      </c>
      <c r="S2250" s="234">
        <f t="shared" si="37"/>
        <v>0</v>
      </c>
      <c r="T2250" s="235">
        <f t="shared" si="37"/>
        <v>0</v>
      </c>
    </row>
    <row r="2251" spans="1:20" hidden="1" x14ac:dyDescent="0.35">
      <c r="A2251" s="3"/>
      <c r="B2251" s="165">
        <f>DATE(YEAR(B2250+31),MONTH(B2250+31),1)</f>
        <v>45047</v>
      </c>
      <c r="C2251" s="57"/>
      <c r="D2251" s="3" t="s">
        <v>16</v>
      </c>
      <c r="E2251" s="18">
        <f t="shared" si="36"/>
        <v>412</v>
      </c>
      <c r="F2251" s="166">
        <f t="shared" si="36"/>
        <v>2045</v>
      </c>
      <c r="G2251" s="166">
        <f t="shared" si="35"/>
        <v>2021</v>
      </c>
      <c r="H2251" s="21">
        <f t="shared" si="35"/>
        <v>4121</v>
      </c>
      <c r="I2251" s="21">
        <f t="shared" si="35"/>
        <v>570</v>
      </c>
      <c r="J2251" s="21">
        <f t="shared" si="35"/>
        <v>1841</v>
      </c>
      <c r="K2251" s="21">
        <f t="shared" si="35"/>
        <v>337</v>
      </c>
      <c r="L2251" s="21">
        <f t="shared" si="35"/>
        <v>3266</v>
      </c>
      <c r="M2251" s="21">
        <f t="shared" si="35"/>
        <v>1222</v>
      </c>
      <c r="N2251" s="21">
        <f t="shared" si="35"/>
        <v>2077</v>
      </c>
      <c r="O2251" s="19">
        <f t="shared" si="35"/>
        <v>4094</v>
      </c>
      <c r="P2251" s="22">
        <f t="shared" si="35"/>
        <v>265</v>
      </c>
      <c r="Q2251" s="22">
        <f t="shared" si="35"/>
        <v>147</v>
      </c>
      <c r="R2251" s="236">
        <f t="shared" si="33"/>
        <v>0.7857142857142857</v>
      </c>
      <c r="S2251" s="234">
        <f t="shared" si="37"/>
        <v>11</v>
      </c>
      <c r="T2251" s="235">
        <f t="shared" si="37"/>
        <v>3</v>
      </c>
    </row>
    <row r="2252" spans="1:20" hidden="1" x14ac:dyDescent="0.35">
      <c r="A2252" s="3"/>
      <c r="B2252" s="165">
        <f t="shared" si="34"/>
        <v>45047</v>
      </c>
      <c r="C2252" s="57"/>
      <c r="D2252" s="3" t="s">
        <v>104</v>
      </c>
      <c r="E2252" s="18">
        <f t="shared" si="36"/>
        <v>0</v>
      </c>
      <c r="F2252" s="166">
        <f t="shared" si="36"/>
        <v>0</v>
      </c>
      <c r="G2252" s="166">
        <f t="shared" si="35"/>
        <v>0</v>
      </c>
      <c r="H2252" s="21">
        <f t="shared" si="35"/>
        <v>0</v>
      </c>
      <c r="I2252" s="21">
        <f t="shared" si="35"/>
        <v>0</v>
      </c>
      <c r="J2252" s="21">
        <f t="shared" si="35"/>
        <v>0</v>
      </c>
      <c r="K2252" s="21">
        <f t="shared" si="35"/>
        <v>0</v>
      </c>
      <c r="L2252" s="21">
        <f t="shared" si="35"/>
        <v>0</v>
      </c>
      <c r="M2252" s="21">
        <f t="shared" si="35"/>
        <v>0</v>
      </c>
      <c r="N2252" s="21">
        <f t="shared" si="35"/>
        <v>0</v>
      </c>
      <c r="O2252" s="19">
        <f t="shared" si="35"/>
        <v>0</v>
      </c>
      <c r="P2252" s="22">
        <f t="shared" si="35"/>
        <v>0</v>
      </c>
      <c r="Q2252" s="22">
        <f t="shared" si="35"/>
        <v>0</v>
      </c>
      <c r="R2252" s="236" t="str">
        <f t="shared" si="33"/>
        <v>-</v>
      </c>
      <c r="S2252" s="234">
        <f t="shared" si="37"/>
        <v>0</v>
      </c>
      <c r="T2252" s="235">
        <f t="shared" si="37"/>
        <v>0</v>
      </c>
    </row>
    <row r="2253" spans="1:20" hidden="1" x14ac:dyDescent="0.35">
      <c r="A2253" s="3"/>
      <c r="B2253" s="165">
        <f t="shared" si="34"/>
        <v>45047</v>
      </c>
      <c r="C2253" s="57"/>
      <c r="D2253" s="3" t="s">
        <v>105</v>
      </c>
      <c r="E2253" s="18">
        <f t="shared" si="36"/>
        <v>0</v>
      </c>
      <c r="F2253" s="166">
        <f t="shared" si="36"/>
        <v>0</v>
      </c>
      <c r="G2253" s="166">
        <f t="shared" si="35"/>
        <v>0</v>
      </c>
      <c r="H2253" s="21">
        <f t="shared" si="35"/>
        <v>0</v>
      </c>
      <c r="I2253" s="21">
        <f t="shared" si="35"/>
        <v>0</v>
      </c>
      <c r="J2253" s="21">
        <f t="shared" si="35"/>
        <v>0</v>
      </c>
      <c r="K2253" s="21">
        <f t="shared" si="35"/>
        <v>0</v>
      </c>
      <c r="L2253" s="21">
        <f t="shared" si="35"/>
        <v>0</v>
      </c>
      <c r="M2253" s="21">
        <f t="shared" si="35"/>
        <v>0</v>
      </c>
      <c r="N2253" s="21">
        <f t="shared" si="35"/>
        <v>0</v>
      </c>
      <c r="O2253" s="19">
        <f t="shared" si="35"/>
        <v>0</v>
      </c>
      <c r="P2253" s="22">
        <f t="shared" si="35"/>
        <v>0</v>
      </c>
      <c r="Q2253" s="22">
        <f t="shared" si="35"/>
        <v>0</v>
      </c>
      <c r="R2253" s="236" t="str">
        <f t="shared" si="33"/>
        <v>-</v>
      </c>
      <c r="S2253" s="234">
        <f t="shared" si="37"/>
        <v>0</v>
      </c>
      <c r="T2253" s="235">
        <f t="shared" si="37"/>
        <v>0</v>
      </c>
    </row>
    <row r="2254" spans="1:20" hidden="1" x14ac:dyDescent="0.35">
      <c r="A2254" s="3"/>
      <c r="B2254" s="165">
        <f t="shared" si="34"/>
        <v>45047</v>
      </c>
      <c r="C2254" s="57"/>
      <c r="D2254" s="3" t="s">
        <v>105</v>
      </c>
      <c r="E2254" s="18">
        <f t="shared" si="36"/>
        <v>0</v>
      </c>
      <c r="F2254" s="166">
        <f t="shared" si="36"/>
        <v>0</v>
      </c>
      <c r="G2254" s="166">
        <f t="shared" si="35"/>
        <v>0</v>
      </c>
      <c r="H2254" s="21">
        <f t="shared" si="35"/>
        <v>0</v>
      </c>
      <c r="I2254" s="21">
        <f t="shared" si="35"/>
        <v>0</v>
      </c>
      <c r="J2254" s="21">
        <f t="shared" si="35"/>
        <v>0</v>
      </c>
      <c r="K2254" s="21">
        <f t="shared" si="35"/>
        <v>0</v>
      </c>
      <c r="L2254" s="21">
        <f t="shared" si="35"/>
        <v>0</v>
      </c>
      <c r="M2254" s="21">
        <f t="shared" si="35"/>
        <v>0</v>
      </c>
      <c r="N2254" s="21">
        <f t="shared" si="35"/>
        <v>0</v>
      </c>
      <c r="O2254" s="19">
        <f t="shared" si="35"/>
        <v>0</v>
      </c>
      <c r="P2254" s="22">
        <f t="shared" si="35"/>
        <v>0</v>
      </c>
      <c r="Q2254" s="22">
        <f t="shared" si="35"/>
        <v>0</v>
      </c>
      <c r="R2254" s="236" t="str">
        <f t="shared" si="33"/>
        <v>-</v>
      </c>
      <c r="S2254" s="234">
        <f t="shared" si="37"/>
        <v>0</v>
      </c>
      <c r="T2254" s="235">
        <f t="shared" si="37"/>
        <v>0</v>
      </c>
    </row>
    <row r="2255" spans="1:20" hidden="1" x14ac:dyDescent="0.35">
      <c r="A2255" s="3"/>
      <c r="B2255" s="165">
        <f t="shared" si="34"/>
        <v>45047</v>
      </c>
      <c r="C2255" s="57"/>
      <c r="D2255" s="3" t="s">
        <v>106</v>
      </c>
      <c r="E2255" s="18">
        <f t="shared" si="36"/>
        <v>193</v>
      </c>
      <c r="F2255" s="166">
        <f t="shared" si="36"/>
        <v>1302</v>
      </c>
      <c r="G2255" s="166">
        <f t="shared" si="35"/>
        <v>1154</v>
      </c>
      <c r="H2255" s="21">
        <f t="shared" si="35"/>
        <v>3288</v>
      </c>
      <c r="I2255" s="21">
        <f t="shared" si="35"/>
        <v>351</v>
      </c>
      <c r="J2255" s="21">
        <f t="shared" si="35"/>
        <v>1419</v>
      </c>
      <c r="K2255" s="21">
        <f t="shared" si="35"/>
        <v>199</v>
      </c>
      <c r="L2255" s="21">
        <f t="shared" si="35"/>
        <v>2289</v>
      </c>
      <c r="M2255" s="21">
        <f t="shared" si="35"/>
        <v>640</v>
      </c>
      <c r="N2255" s="21">
        <f t="shared" si="35"/>
        <v>1321</v>
      </c>
      <c r="O2255" s="19">
        <f t="shared" si="35"/>
        <v>2024</v>
      </c>
      <c r="P2255" s="22">
        <f t="shared" si="35"/>
        <v>172</v>
      </c>
      <c r="Q2255" s="22">
        <f t="shared" si="35"/>
        <v>120</v>
      </c>
      <c r="R2255" s="236">
        <f t="shared" si="33"/>
        <v>0.7142857142857143</v>
      </c>
      <c r="S2255" s="234">
        <f t="shared" ref="S2255:T2274" si="38">SUMIFS(S$5:S$2214,$B$5:$B$2214,$B2255,$A$5:$A$2214,$D2255)</f>
        <v>5</v>
      </c>
      <c r="T2255" s="235">
        <f t="shared" si="38"/>
        <v>2</v>
      </c>
    </row>
    <row r="2256" spans="1:20" hidden="1" x14ac:dyDescent="0.35">
      <c r="A2256" s="3"/>
      <c r="B2256" s="165">
        <f t="shared" si="34"/>
        <v>45047</v>
      </c>
      <c r="C2256" s="57"/>
      <c r="D2256" s="3" t="s">
        <v>107</v>
      </c>
      <c r="E2256" s="18">
        <f t="shared" si="36"/>
        <v>216</v>
      </c>
      <c r="F2256" s="166">
        <f t="shared" si="36"/>
        <v>1230</v>
      </c>
      <c r="G2256" s="166">
        <f t="shared" si="35"/>
        <v>1157</v>
      </c>
      <c r="H2256" s="21">
        <f t="shared" si="35"/>
        <v>2393</v>
      </c>
      <c r="I2256" s="21">
        <f t="shared" si="35"/>
        <v>310</v>
      </c>
      <c r="J2256" s="21">
        <f t="shared" si="35"/>
        <v>1305</v>
      </c>
      <c r="K2256" s="21">
        <f t="shared" si="35"/>
        <v>333</v>
      </c>
      <c r="L2256" s="21">
        <f t="shared" si="35"/>
        <v>1969</v>
      </c>
      <c r="M2256" s="21">
        <f t="shared" si="35"/>
        <v>802</v>
      </c>
      <c r="N2256" s="21">
        <f t="shared" si="35"/>
        <v>1307</v>
      </c>
      <c r="O2256" s="19">
        <f t="shared" si="35"/>
        <v>2208</v>
      </c>
      <c r="P2256" s="22">
        <f t="shared" si="35"/>
        <v>320</v>
      </c>
      <c r="Q2256" s="22">
        <f t="shared" si="35"/>
        <v>179</v>
      </c>
      <c r="R2256" s="236">
        <f t="shared" si="33"/>
        <v>0.7142857142857143</v>
      </c>
      <c r="S2256" s="234">
        <f t="shared" si="38"/>
        <v>5</v>
      </c>
      <c r="T2256" s="235">
        <f t="shared" si="38"/>
        <v>2</v>
      </c>
    </row>
    <row r="2257" spans="1:20" hidden="1" x14ac:dyDescent="0.35">
      <c r="A2257" s="3"/>
      <c r="B2257" s="165">
        <f t="shared" si="34"/>
        <v>45047</v>
      </c>
      <c r="C2257" s="57"/>
      <c r="D2257" s="3" t="s">
        <v>108</v>
      </c>
      <c r="E2257" s="18">
        <f t="shared" si="36"/>
        <v>346</v>
      </c>
      <c r="F2257" s="166">
        <f t="shared" si="36"/>
        <v>1249</v>
      </c>
      <c r="G2257" s="166">
        <f t="shared" si="35"/>
        <v>1448</v>
      </c>
      <c r="H2257" s="21">
        <f t="shared" si="35"/>
        <v>2721</v>
      </c>
      <c r="I2257" s="21">
        <f t="shared" ref="I2257:Q2285" si="39">SUMIFS(I$5:I$2214,$A$5:$A$2214,$D2257,$B$5:$B$2214,$B2257)</f>
        <v>333</v>
      </c>
      <c r="J2257" s="21">
        <f t="shared" si="39"/>
        <v>1147</v>
      </c>
      <c r="K2257" s="21">
        <f t="shared" si="39"/>
        <v>210</v>
      </c>
      <c r="L2257" s="21">
        <f t="shared" si="39"/>
        <v>2225</v>
      </c>
      <c r="M2257" s="21">
        <f t="shared" si="39"/>
        <v>718</v>
      </c>
      <c r="N2257" s="21">
        <f t="shared" si="39"/>
        <v>1270</v>
      </c>
      <c r="O2257" s="19">
        <f t="shared" si="39"/>
        <v>2277</v>
      </c>
      <c r="P2257" s="22">
        <f t="shared" si="39"/>
        <v>234</v>
      </c>
      <c r="Q2257" s="22">
        <f t="shared" si="39"/>
        <v>153</v>
      </c>
      <c r="R2257" s="236">
        <f t="shared" si="33"/>
        <v>0.36363636363636365</v>
      </c>
      <c r="S2257" s="234">
        <f t="shared" si="38"/>
        <v>4</v>
      </c>
      <c r="T2257" s="235">
        <f t="shared" si="38"/>
        <v>7</v>
      </c>
    </row>
    <row r="2258" spans="1:20" hidden="1" x14ac:dyDescent="0.35">
      <c r="A2258" s="3"/>
      <c r="B2258" s="165">
        <f t="shared" si="34"/>
        <v>45047</v>
      </c>
      <c r="C2258" s="57"/>
      <c r="D2258" s="3" t="s">
        <v>109</v>
      </c>
      <c r="E2258" s="18">
        <f t="shared" si="36"/>
        <v>451</v>
      </c>
      <c r="F2258" s="166">
        <f t="shared" si="36"/>
        <v>2607</v>
      </c>
      <c r="G2258" s="166">
        <f t="shared" si="36"/>
        <v>2262</v>
      </c>
      <c r="H2258" s="21">
        <f t="shared" si="36"/>
        <v>6112</v>
      </c>
      <c r="I2258" s="21">
        <f t="shared" si="39"/>
        <v>724</v>
      </c>
      <c r="J2258" s="21">
        <f t="shared" si="39"/>
        <v>2989</v>
      </c>
      <c r="K2258" s="21">
        <f t="shared" si="39"/>
        <v>513</v>
      </c>
      <c r="L2258" s="21">
        <f t="shared" si="39"/>
        <v>3686</v>
      </c>
      <c r="M2258" s="21">
        <f t="shared" si="39"/>
        <v>1306</v>
      </c>
      <c r="N2258" s="21">
        <f t="shared" si="39"/>
        <v>2674</v>
      </c>
      <c r="O2258" s="19">
        <f t="shared" si="39"/>
        <v>3611</v>
      </c>
      <c r="P2258" s="22">
        <f t="shared" si="39"/>
        <v>172</v>
      </c>
      <c r="Q2258" s="22">
        <f t="shared" si="39"/>
        <v>116</v>
      </c>
      <c r="R2258" s="236">
        <f t="shared" si="33"/>
        <v>0.5</v>
      </c>
      <c r="S2258" s="234">
        <f t="shared" si="38"/>
        <v>5</v>
      </c>
      <c r="T2258" s="235">
        <f t="shared" si="38"/>
        <v>5</v>
      </c>
    </row>
    <row r="2259" spans="1:20" hidden="1" x14ac:dyDescent="0.35">
      <c r="A2259" s="3"/>
      <c r="B2259" s="165">
        <f t="shared" si="34"/>
        <v>45047</v>
      </c>
      <c r="C2259" s="57"/>
      <c r="D2259" s="3" t="s">
        <v>110</v>
      </c>
      <c r="E2259" s="18">
        <f t="shared" si="36"/>
        <v>0</v>
      </c>
      <c r="F2259" s="166">
        <f t="shared" si="36"/>
        <v>0</v>
      </c>
      <c r="G2259" s="166">
        <f t="shared" si="36"/>
        <v>0</v>
      </c>
      <c r="H2259" s="21">
        <f t="shared" si="36"/>
        <v>0</v>
      </c>
      <c r="I2259" s="21">
        <f t="shared" si="39"/>
        <v>0</v>
      </c>
      <c r="J2259" s="21">
        <f t="shared" si="39"/>
        <v>0</v>
      </c>
      <c r="K2259" s="21">
        <f t="shared" si="39"/>
        <v>0</v>
      </c>
      <c r="L2259" s="21">
        <f t="shared" si="39"/>
        <v>0</v>
      </c>
      <c r="M2259" s="21">
        <f t="shared" si="39"/>
        <v>0</v>
      </c>
      <c r="N2259" s="21">
        <f t="shared" si="39"/>
        <v>0</v>
      </c>
      <c r="O2259" s="19">
        <f t="shared" si="39"/>
        <v>0</v>
      </c>
      <c r="P2259" s="22">
        <f t="shared" si="39"/>
        <v>0</v>
      </c>
      <c r="Q2259" s="22">
        <f t="shared" si="39"/>
        <v>0</v>
      </c>
      <c r="R2259" s="236" t="str">
        <f t="shared" si="33"/>
        <v>-</v>
      </c>
      <c r="S2259" s="234">
        <f t="shared" si="38"/>
        <v>0</v>
      </c>
      <c r="T2259" s="235">
        <f t="shared" si="38"/>
        <v>0</v>
      </c>
    </row>
    <row r="2260" spans="1:20" hidden="1" x14ac:dyDescent="0.35">
      <c r="A2260" s="3"/>
      <c r="B2260" s="165">
        <f>DATE(YEAR(B2259+31),MONTH(B2259+31),1)</f>
        <v>45078</v>
      </c>
      <c r="C2260" s="57"/>
      <c r="D2260" s="3" t="s">
        <v>16</v>
      </c>
      <c r="E2260" s="18">
        <f t="shared" si="36"/>
        <v>456</v>
      </c>
      <c r="F2260" s="166">
        <f t="shared" si="36"/>
        <v>2009</v>
      </c>
      <c r="G2260" s="166">
        <f t="shared" si="36"/>
        <v>1851</v>
      </c>
      <c r="H2260" s="21">
        <f t="shared" si="36"/>
        <v>3760</v>
      </c>
      <c r="I2260" s="21">
        <f t="shared" si="39"/>
        <v>530</v>
      </c>
      <c r="J2260" s="21">
        <f t="shared" si="39"/>
        <v>1865</v>
      </c>
      <c r="K2260" s="21">
        <f t="shared" si="39"/>
        <v>363</v>
      </c>
      <c r="L2260" s="21">
        <f t="shared" si="39"/>
        <v>3237</v>
      </c>
      <c r="M2260" s="21">
        <f t="shared" si="39"/>
        <v>1220</v>
      </c>
      <c r="N2260" s="21">
        <f t="shared" si="39"/>
        <v>2035</v>
      </c>
      <c r="O2260" s="19">
        <f t="shared" si="39"/>
        <v>3916</v>
      </c>
      <c r="P2260" s="22">
        <f t="shared" si="39"/>
        <v>209</v>
      </c>
      <c r="Q2260" s="22">
        <f t="shared" si="39"/>
        <v>121</v>
      </c>
      <c r="R2260" s="236">
        <f t="shared" si="33"/>
        <v>0.7857142857142857</v>
      </c>
      <c r="S2260" s="234">
        <f t="shared" si="38"/>
        <v>11</v>
      </c>
      <c r="T2260" s="235">
        <f t="shared" si="38"/>
        <v>3</v>
      </c>
    </row>
    <row r="2261" spans="1:20" hidden="1" x14ac:dyDescent="0.35">
      <c r="A2261" s="3"/>
      <c r="B2261" s="165">
        <f t="shared" si="34"/>
        <v>45078</v>
      </c>
      <c r="C2261" s="57"/>
      <c r="D2261" s="3" t="s">
        <v>104</v>
      </c>
      <c r="E2261" s="18">
        <f t="shared" si="36"/>
        <v>0</v>
      </c>
      <c r="F2261" s="166">
        <f t="shared" si="36"/>
        <v>0</v>
      </c>
      <c r="G2261" s="166">
        <f t="shared" si="36"/>
        <v>0</v>
      </c>
      <c r="H2261" s="21">
        <f t="shared" si="36"/>
        <v>0</v>
      </c>
      <c r="I2261" s="21">
        <f t="shared" si="39"/>
        <v>0</v>
      </c>
      <c r="J2261" s="21">
        <f t="shared" si="39"/>
        <v>0</v>
      </c>
      <c r="K2261" s="21">
        <f t="shared" si="39"/>
        <v>0</v>
      </c>
      <c r="L2261" s="21">
        <f t="shared" si="39"/>
        <v>0</v>
      </c>
      <c r="M2261" s="21">
        <f t="shared" si="39"/>
        <v>0</v>
      </c>
      <c r="N2261" s="21">
        <f t="shared" si="39"/>
        <v>0</v>
      </c>
      <c r="O2261" s="19">
        <f t="shared" si="39"/>
        <v>0</v>
      </c>
      <c r="P2261" s="22">
        <f t="shared" si="39"/>
        <v>0</v>
      </c>
      <c r="Q2261" s="22">
        <f t="shared" si="39"/>
        <v>0</v>
      </c>
      <c r="R2261" s="236" t="str">
        <f t="shared" si="33"/>
        <v>-</v>
      </c>
      <c r="S2261" s="234">
        <f t="shared" si="38"/>
        <v>0</v>
      </c>
      <c r="T2261" s="235">
        <f t="shared" si="38"/>
        <v>0</v>
      </c>
    </row>
    <row r="2262" spans="1:20" hidden="1" x14ac:dyDescent="0.35">
      <c r="A2262" s="3"/>
      <c r="B2262" s="165">
        <f t="shared" si="34"/>
        <v>45078</v>
      </c>
      <c r="C2262" s="57"/>
      <c r="D2262" s="3" t="s">
        <v>105</v>
      </c>
      <c r="E2262" s="18">
        <f t="shared" si="36"/>
        <v>0</v>
      </c>
      <c r="F2262" s="166">
        <f t="shared" si="36"/>
        <v>0</v>
      </c>
      <c r="G2262" s="166">
        <f t="shared" si="36"/>
        <v>0</v>
      </c>
      <c r="H2262" s="21">
        <f t="shared" si="36"/>
        <v>0</v>
      </c>
      <c r="I2262" s="21">
        <f t="shared" si="39"/>
        <v>0</v>
      </c>
      <c r="J2262" s="21">
        <f t="shared" si="39"/>
        <v>0</v>
      </c>
      <c r="K2262" s="21">
        <f t="shared" si="39"/>
        <v>0</v>
      </c>
      <c r="L2262" s="21">
        <f t="shared" si="39"/>
        <v>0</v>
      </c>
      <c r="M2262" s="21">
        <f t="shared" si="39"/>
        <v>0</v>
      </c>
      <c r="N2262" s="21">
        <f t="shared" si="39"/>
        <v>0</v>
      </c>
      <c r="O2262" s="19">
        <f t="shared" si="39"/>
        <v>0</v>
      </c>
      <c r="P2262" s="22">
        <f t="shared" si="39"/>
        <v>0</v>
      </c>
      <c r="Q2262" s="22">
        <f t="shared" si="39"/>
        <v>0</v>
      </c>
      <c r="R2262" s="236" t="str">
        <f t="shared" si="33"/>
        <v>-</v>
      </c>
      <c r="S2262" s="234">
        <f t="shared" si="38"/>
        <v>0</v>
      </c>
      <c r="T2262" s="235">
        <f t="shared" si="38"/>
        <v>0</v>
      </c>
    </row>
    <row r="2263" spans="1:20" hidden="1" x14ac:dyDescent="0.35">
      <c r="A2263" s="3"/>
      <c r="B2263" s="165">
        <f t="shared" si="34"/>
        <v>45078</v>
      </c>
      <c r="C2263" s="57"/>
      <c r="D2263" s="3" t="s">
        <v>105</v>
      </c>
      <c r="E2263" s="18">
        <f t="shared" si="36"/>
        <v>0</v>
      </c>
      <c r="F2263" s="166">
        <f t="shared" si="36"/>
        <v>0</v>
      </c>
      <c r="G2263" s="166">
        <f t="shared" si="36"/>
        <v>0</v>
      </c>
      <c r="H2263" s="21">
        <f t="shared" si="36"/>
        <v>0</v>
      </c>
      <c r="I2263" s="21">
        <f t="shared" si="39"/>
        <v>0</v>
      </c>
      <c r="J2263" s="21">
        <f t="shared" si="39"/>
        <v>0</v>
      </c>
      <c r="K2263" s="21">
        <f t="shared" si="39"/>
        <v>0</v>
      </c>
      <c r="L2263" s="21">
        <f t="shared" si="39"/>
        <v>0</v>
      </c>
      <c r="M2263" s="21">
        <f t="shared" si="39"/>
        <v>0</v>
      </c>
      <c r="N2263" s="21">
        <f t="shared" si="39"/>
        <v>0</v>
      </c>
      <c r="O2263" s="19">
        <f t="shared" si="39"/>
        <v>0</v>
      </c>
      <c r="P2263" s="22">
        <f t="shared" si="39"/>
        <v>0</v>
      </c>
      <c r="Q2263" s="22">
        <f t="shared" si="39"/>
        <v>0</v>
      </c>
      <c r="R2263" s="236" t="str">
        <f t="shared" si="33"/>
        <v>-</v>
      </c>
      <c r="S2263" s="234">
        <f t="shared" si="38"/>
        <v>0</v>
      </c>
      <c r="T2263" s="235">
        <f t="shared" si="38"/>
        <v>0</v>
      </c>
    </row>
    <row r="2264" spans="1:20" hidden="1" x14ac:dyDescent="0.35">
      <c r="A2264" s="3"/>
      <c r="B2264" s="165">
        <f t="shared" si="34"/>
        <v>45078</v>
      </c>
      <c r="C2264" s="57"/>
      <c r="D2264" s="3" t="s">
        <v>106</v>
      </c>
      <c r="E2264" s="18">
        <f t="shared" si="36"/>
        <v>197</v>
      </c>
      <c r="F2264" s="166">
        <f t="shared" si="36"/>
        <v>1227</v>
      </c>
      <c r="G2264" s="166">
        <f t="shared" si="36"/>
        <v>1050</v>
      </c>
      <c r="H2264" s="21">
        <f t="shared" si="36"/>
        <v>3117</v>
      </c>
      <c r="I2264" s="21">
        <f t="shared" si="39"/>
        <v>361</v>
      </c>
      <c r="J2264" s="21">
        <f t="shared" si="39"/>
        <v>1383</v>
      </c>
      <c r="K2264" s="21">
        <f t="shared" si="39"/>
        <v>194</v>
      </c>
      <c r="L2264" s="21">
        <f t="shared" si="39"/>
        <v>2188</v>
      </c>
      <c r="M2264" s="21">
        <f t="shared" si="39"/>
        <v>624</v>
      </c>
      <c r="N2264" s="21">
        <f t="shared" si="39"/>
        <v>1250</v>
      </c>
      <c r="O2264" s="19">
        <f t="shared" si="39"/>
        <v>1958</v>
      </c>
      <c r="P2264" s="22">
        <f t="shared" si="39"/>
        <v>205</v>
      </c>
      <c r="Q2264" s="22">
        <f t="shared" si="39"/>
        <v>151</v>
      </c>
      <c r="R2264" s="236">
        <f t="shared" si="33"/>
        <v>0.8571428571428571</v>
      </c>
      <c r="S2264" s="234">
        <f t="shared" si="38"/>
        <v>6</v>
      </c>
      <c r="T2264" s="235">
        <f t="shared" si="38"/>
        <v>1</v>
      </c>
    </row>
    <row r="2265" spans="1:20" hidden="1" x14ac:dyDescent="0.35">
      <c r="A2265" s="3"/>
      <c r="B2265" s="165">
        <f t="shared" si="34"/>
        <v>45078</v>
      </c>
      <c r="C2265" s="57"/>
      <c r="D2265" s="3" t="s">
        <v>107</v>
      </c>
      <c r="E2265" s="18">
        <f t="shared" si="36"/>
        <v>243</v>
      </c>
      <c r="F2265" s="166">
        <f t="shared" si="36"/>
        <v>1266</v>
      </c>
      <c r="G2265" s="166">
        <f t="shared" si="36"/>
        <v>1153</v>
      </c>
      <c r="H2265" s="21">
        <f t="shared" si="36"/>
        <v>2297</v>
      </c>
      <c r="I2265" s="21">
        <f t="shared" si="39"/>
        <v>325</v>
      </c>
      <c r="J2265" s="21">
        <f t="shared" si="39"/>
        <v>1159</v>
      </c>
      <c r="K2265" s="21">
        <f t="shared" si="39"/>
        <v>332</v>
      </c>
      <c r="L2265" s="21">
        <f t="shared" si="39"/>
        <v>2056</v>
      </c>
      <c r="M2265" s="21">
        <f t="shared" si="39"/>
        <v>819</v>
      </c>
      <c r="N2265" s="21">
        <f t="shared" si="39"/>
        <v>1280</v>
      </c>
      <c r="O2265" s="19">
        <f t="shared" si="39"/>
        <v>2068</v>
      </c>
      <c r="P2265" s="22">
        <f t="shared" si="39"/>
        <v>250</v>
      </c>
      <c r="Q2265" s="22">
        <f t="shared" si="39"/>
        <v>150</v>
      </c>
      <c r="R2265" s="236">
        <f t="shared" si="33"/>
        <v>0.83333333333333337</v>
      </c>
      <c r="S2265" s="234">
        <f t="shared" si="38"/>
        <v>5</v>
      </c>
      <c r="T2265" s="235">
        <f t="shared" si="38"/>
        <v>1</v>
      </c>
    </row>
    <row r="2266" spans="1:20" hidden="1" x14ac:dyDescent="0.35">
      <c r="A2266" s="3"/>
      <c r="B2266" s="165">
        <f t="shared" si="34"/>
        <v>45078</v>
      </c>
      <c r="C2266" s="57"/>
      <c r="D2266" s="3" t="s">
        <v>108</v>
      </c>
      <c r="E2266" s="18">
        <f t="shared" si="36"/>
        <v>352</v>
      </c>
      <c r="F2266" s="166">
        <f t="shared" si="36"/>
        <v>1236</v>
      </c>
      <c r="G2266" s="166">
        <f t="shared" si="36"/>
        <v>1341</v>
      </c>
      <c r="H2266" s="21">
        <f t="shared" si="36"/>
        <v>2682</v>
      </c>
      <c r="I2266" s="21">
        <f t="shared" si="39"/>
        <v>334</v>
      </c>
      <c r="J2266" s="21">
        <f t="shared" si="39"/>
        <v>1162</v>
      </c>
      <c r="K2266" s="21">
        <f t="shared" si="39"/>
        <v>204</v>
      </c>
      <c r="L2266" s="21">
        <f t="shared" si="39"/>
        <v>2330</v>
      </c>
      <c r="M2266" s="21">
        <f t="shared" si="39"/>
        <v>718</v>
      </c>
      <c r="N2266" s="21">
        <f t="shared" si="39"/>
        <v>1252</v>
      </c>
      <c r="O2266" s="19">
        <f t="shared" si="39"/>
        <v>2178</v>
      </c>
      <c r="P2266" s="22">
        <f t="shared" si="39"/>
        <v>252</v>
      </c>
      <c r="Q2266" s="22">
        <f t="shared" si="39"/>
        <v>160</v>
      </c>
      <c r="R2266" s="236">
        <f t="shared" si="33"/>
        <v>0.45454545454545453</v>
      </c>
      <c r="S2266" s="234">
        <f t="shared" si="38"/>
        <v>5</v>
      </c>
      <c r="T2266" s="235">
        <f t="shared" si="38"/>
        <v>6</v>
      </c>
    </row>
    <row r="2267" spans="1:20" hidden="1" x14ac:dyDescent="0.35">
      <c r="A2267" s="3"/>
      <c r="B2267" s="165">
        <f t="shared" si="34"/>
        <v>45078</v>
      </c>
      <c r="C2267" s="57"/>
      <c r="D2267" s="3" t="s">
        <v>109</v>
      </c>
      <c r="E2267" s="18">
        <f t="shared" si="36"/>
        <v>468</v>
      </c>
      <c r="F2267" s="166">
        <f t="shared" si="36"/>
        <v>2496</v>
      </c>
      <c r="G2267" s="166">
        <f t="shared" si="36"/>
        <v>2168</v>
      </c>
      <c r="H2267" s="21">
        <f t="shared" si="36"/>
        <v>5858</v>
      </c>
      <c r="I2267" s="21">
        <f t="shared" si="39"/>
        <v>616</v>
      </c>
      <c r="J2267" s="21">
        <f t="shared" si="39"/>
        <v>3190</v>
      </c>
      <c r="K2267" s="21">
        <f t="shared" si="39"/>
        <v>449</v>
      </c>
      <c r="L2267" s="21">
        <f t="shared" si="39"/>
        <v>3692</v>
      </c>
      <c r="M2267" s="21">
        <f t="shared" si="39"/>
        <v>1222</v>
      </c>
      <c r="N2267" s="21">
        <f t="shared" si="39"/>
        <v>2532</v>
      </c>
      <c r="O2267" s="19">
        <f t="shared" si="39"/>
        <v>3476</v>
      </c>
      <c r="P2267" s="22">
        <f t="shared" si="39"/>
        <v>144</v>
      </c>
      <c r="Q2267" s="22">
        <f t="shared" si="39"/>
        <v>100</v>
      </c>
      <c r="R2267" s="236">
        <f t="shared" si="33"/>
        <v>0.5</v>
      </c>
      <c r="S2267" s="234">
        <f t="shared" si="38"/>
        <v>5</v>
      </c>
      <c r="T2267" s="235">
        <f t="shared" si="38"/>
        <v>5</v>
      </c>
    </row>
    <row r="2268" spans="1:20" hidden="1" x14ac:dyDescent="0.35">
      <c r="A2268" s="3"/>
      <c r="B2268" s="165">
        <f t="shared" si="34"/>
        <v>45078</v>
      </c>
      <c r="C2268" s="57"/>
      <c r="D2268" s="3" t="s">
        <v>110</v>
      </c>
      <c r="E2268" s="18">
        <f t="shared" si="36"/>
        <v>0</v>
      </c>
      <c r="F2268" s="166">
        <f t="shared" si="36"/>
        <v>0</v>
      </c>
      <c r="G2268" s="166">
        <f t="shared" si="36"/>
        <v>0</v>
      </c>
      <c r="H2268" s="21">
        <f t="shared" si="36"/>
        <v>0</v>
      </c>
      <c r="I2268" s="21">
        <f t="shared" si="39"/>
        <v>0</v>
      </c>
      <c r="J2268" s="21">
        <f t="shared" si="39"/>
        <v>0</v>
      </c>
      <c r="K2268" s="21">
        <f t="shared" si="39"/>
        <v>0</v>
      </c>
      <c r="L2268" s="21">
        <f t="shared" si="39"/>
        <v>0</v>
      </c>
      <c r="M2268" s="21">
        <f t="shared" si="39"/>
        <v>0</v>
      </c>
      <c r="N2268" s="21">
        <f t="shared" si="39"/>
        <v>0</v>
      </c>
      <c r="O2268" s="19">
        <f t="shared" si="39"/>
        <v>0</v>
      </c>
      <c r="P2268" s="22">
        <f t="shared" si="39"/>
        <v>0</v>
      </c>
      <c r="Q2268" s="22">
        <f t="shared" si="39"/>
        <v>0</v>
      </c>
      <c r="R2268" s="236" t="str">
        <f t="shared" si="33"/>
        <v>-</v>
      </c>
      <c r="S2268" s="234">
        <f t="shared" si="38"/>
        <v>0</v>
      </c>
      <c r="T2268" s="235">
        <f t="shared" si="38"/>
        <v>0</v>
      </c>
    </row>
    <row r="2269" spans="1:20" hidden="1" x14ac:dyDescent="0.35">
      <c r="A2269" s="3"/>
      <c r="B2269" s="165">
        <f>DATE(YEAR(B2268+31),MONTH(B2268+31),1)</f>
        <v>45108</v>
      </c>
      <c r="C2269" s="57"/>
      <c r="D2269" s="3" t="s">
        <v>16</v>
      </c>
      <c r="E2269" s="18">
        <f t="shared" si="36"/>
        <v>429</v>
      </c>
      <c r="F2269" s="166">
        <f t="shared" si="36"/>
        <v>2033</v>
      </c>
      <c r="G2269" s="166">
        <f t="shared" si="36"/>
        <v>1899</v>
      </c>
      <c r="H2269" s="21">
        <f t="shared" si="36"/>
        <v>4217</v>
      </c>
      <c r="I2269" s="21">
        <f t="shared" si="39"/>
        <v>600</v>
      </c>
      <c r="J2269" s="21">
        <f t="shared" si="39"/>
        <v>1901</v>
      </c>
      <c r="K2269" s="21">
        <f t="shared" si="39"/>
        <v>374</v>
      </c>
      <c r="L2269" s="21">
        <f t="shared" si="39"/>
        <v>3307</v>
      </c>
      <c r="M2269" s="21">
        <f t="shared" si="39"/>
        <v>1207</v>
      </c>
      <c r="N2269" s="21">
        <f t="shared" si="39"/>
        <v>2071</v>
      </c>
      <c r="O2269" s="19">
        <f t="shared" si="39"/>
        <v>4163</v>
      </c>
      <c r="P2269" s="22">
        <f t="shared" si="39"/>
        <v>216</v>
      </c>
      <c r="Q2269" s="22">
        <f t="shared" si="39"/>
        <v>126</v>
      </c>
      <c r="R2269" s="236">
        <f t="shared" si="33"/>
        <v>0.8571428571428571</v>
      </c>
      <c r="S2269" s="234">
        <f t="shared" si="38"/>
        <v>12</v>
      </c>
      <c r="T2269" s="235">
        <f t="shared" si="38"/>
        <v>2</v>
      </c>
    </row>
    <row r="2270" spans="1:20" hidden="1" x14ac:dyDescent="0.35">
      <c r="A2270" s="3"/>
      <c r="B2270" s="165">
        <f t="shared" si="34"/>
        <v>45108</v>
      </c>
      <c r="C2270" s="57"/>
      <c r="D2270" s="3" t="s">
        <v>104</v>
      </c>
      <c r="E2270" s="18">
        <f t="shared" si="36"/>
        <v>0</v>
      </c>
      <c r="F2270" s="166">
        <f t="shared" si="36"/>
        <v>0</v>
      </c>
      <c r="G2270" s="166">
        <f t="shared" si="36"/>
        <v>0</v>
      </c>
      <c r="H2270" s="21">
        <f t="shared" si="36"/>
        <v>0</v>
      </c>
      <c r="I2270" s="21">
        <f t="shared" si="39"/>
        <v>0</v>
      </c>
      <c r="J2270" s="21">
        <f t="shared" si="39"/>
        <v>0</v>
      </c>
      <c r="K2270" s="21">
        <f t="shared" si="39"/>
        <v>0</v>
      </c>
      <c r="L2270" s="21">
        <f t="shared" si="39"/>
        <v>0</v>
      </c>
      <c r="M2270" s="21">
        <f t="shared" si="39"/>
        <v>0</v>
      </c>
      <c r="N2270" s="21">
        <f t="shared" si="39"/>
        <v>0</v>
      </c>
      <c r="O2270" s="19">
        <f t="shared" si="39"/>
        <v>0</v>
      </c>
      <c r="P2270" s="22">
        <f t="shared" si="39"/>
        <v>0</v>
      </c>
      <c r="Q2270" s="22">
        <f t="shared" si="39"/>
        <v>0</v>
      </c>
      <c r="R2270" s="236" t="str">
        <f t="shared" si="33"/>
        <v>-</v>
      </c>
      <c r="S2270" s="234">
        <f t="shared" si="38"/>
        <v>0</v>
      </c>
      <c r="T2270" s="235">
        <f t="shared" si="38"/>
        <v>0</v>
      </c>
    </row>
    <row r="2271" spans="1:20" hidden="1" x14ac:dyDescent="0.35">
      <c r="A2271" s="3"/>
      <c r="B2271" s="165">
        <f t="shared" si="34"/>
        <v>45108</v>
      </c>
      <c r="C2271" s="57"/>
      <c r="D2271" s="3" t="s">
        <v>105</v>
      </c>
      <c r="E2271" s="18">
        <f t="shared" si="36"/>
        <v>0</v>
      </c>
      <c r="F2271" s="166">
        <f t="shared" si="36"/>
        <v>0</v>
      </c>
      <c r="G2271" s="166">
        <f t="shared" si="36"/>
        <v>0</v>
      </c>
      <c r="H2271" s="21">
        <f t="shared" si="36"/>
        <v>0</v>
      </c>
      <c r="I2271" s="21">
        <f t="shared" si="39"/>
        <v>0</v>
      </c>
      <c r="J2271" s="21">
        <f t="shared" si="39"/>
        <v>0</v>
      </c>
      <c r="K2271" s="21">
        <f t="shared" si="39"/>
        <v>0</v>
      </c>
      <c r="L2271" s="21">
        <f t="shared" si="39"/>
        <v>0</v>
      </c>
      <c r="M2271" s="21">
        <f t="shared" si="39"/>
        <v>0</v>
      </c>
      <c r="N2271" s="21">
        <f t="shared" si="39"/>
        <v>0</v>
      </c>
      <c r="O2271" s="19">
        <f t="shared" si="39"/>
        <v>0</v>
      </c>
      <c r="P2271" s="22">
        <f t="shared" si="39"/>
        <v>0</v>
      </c>
      <c r="Q2271" s="22">
        <f t="shared" si="39"/>
        <v>0</v>
      </c>
      <c r="R2271" s="236" t="str">
        <f t="shared" si="33"/>
        <v>-</v>
      </c>
      <c r="S2271" s="234">
        <f t="shared" si="38"/>
        <v>0</v>
      </c>
      <c r="T2271" s="235">
        <f t="shared" si="38"/>
        <v>0</v>
      </c>
    </row>
    <row r="2272" spans="1:20" hidden="1" x14ac:dyDescent="0.35">
      <c r="A2272" s="3"/>
      <c r="B2272" s="165">
        <f t="shared" si="34"/>
        <v>45108</v>
      </c>
      <c r="C2272" s="57"/>
      <c r="D2272" s="3" t="s">
        <v>105</v>
      </c>
      <c r="E2272" s="18">
        <f t="shared" si="36"/>
        <v>0</v>
      </c>
      <c r="F2272" s="166">
        <f t="shared" si="36"/>
        <v>0</v>
      </c>
      <c r="G2272" s="166">
        <f t="shared" si="36"/>
        <v>0</v>
      </c>
      <c r="H2272" s="21">
        <f t="shared" si="36"/>
        <v>0</v>
      </c>
      <c r="I2272" s="21">
        <f t="shared" si="39"/>
        <v>0</v>
      </c>
      <c r="J2272" s="21">
        <f t="shared" si="39"/>
        <v>0</v>
      </c>
      <c r="K2272" s="21">
        <f t="shared" si="39"/>
        <v>0</v>
      </c>
      <c r="L2272" s="21">
        <f t="shared" si="39"/>
        <v>0</v>
      </c>
      <c r="M2272" s="21">
        <f t="shared" si="39"/>
        <v>0</v>
      </c>
      <c r="N2272" s="21">
        <f t="shared" si="39"/>
        <v>0</v>
      </c>
      <c r="O2272" s="19">
        <f t="shared" si="39"/>
        <v>0</v>
      </c>
      <c r="P2272" s="22">
        <f t="shared" si="39"/>
        <v>0</v>
      </c>
      <c r="Q2272" s="22">
        <f t="shared" si="39"/>
        <v>0</v>
      </c>
      <c r="R2272" s="236" t="str">
        <f t="shared" si="33"/>
        <v>-</v>
      </c>
      <c r="S2272" s="234">
        <f t="shared" si="38"/>
        <v>0</v>
      </c>
      <c r="T2272" s="235">
        <f t="shared" si="38"/>
        <v>0</v>
      </c>
    </row>
    <row r="2273" spans="1:20" hidden="1" x14ac:dyDescent="0.35">
      <c r="A2273" s="3"/>
      <c r="B2273" s="165">
        <f t="shared" si="34"/>
        <v>45108</v>
      </c>
      <c r="C2273" s="57"/>
      <c r="D2273" s="3" t="s">
        <v>106</v>
      </c>
      <c r="E2273" s="18">
        <f t="shared" si="36"/>
        <v>246</v>
      </c>
      <c r="F2273" s="166">
        <f t="shared" si="36"/>
        <v>1446</v>
      </c>
      <c r="G2273" s="166">
        <f t="shared" si="36"/>
        <v>1176</v>
      </c>
      <c r="H2273" s="21">
        <f t="shared" si="36"/>
        <v>3204</v>
      </c>
      <c r="I2273" s="21">
        <f t="shared" si="39"/>
        <v>450</v>
      </c>
      <c r="J2273" s="21">
        <f t="shared" si="39"/>
        <v>1361</v>
      </c>
      <c r="K2273" s="21">
        <f t="shared" si="39"/>
        <v>265</v>
      </c>
      <c r="L2273" s="21">
        <f t="shared" si="39"/>
        <v>2441</v>
      </c>
      <c r="M2273" s="21">
        <f t="shared" si="39"/>
        <v>714</v>
      </c>
      <c r="N2273" s="21">
        <f t="shared" si="39"/>
        <v>1479</v>
      </c>
      <c r="O2273" s="19">
        <f t="shared" si="39"/>
        <v>2093</v>
      </c>
      <c r="P2273" s="22">
        <f t="shared" si="39"/>
        <v>209</v>
      </c>
      <c r="Q2273" s="22">
        <f t="shared" si="39"/>
        <v>139</v>
      </c>
      <c r="R2273" s="236">
        <f t="shared" si="33"/>
        <v>0.7142857142857143</v>
      </c>
      <c r="S2273" s="234">
        <f t="shared" si="38"/>
        <v>5</v>
      </c>
      <c r="T2273" s="235">
        <f t="shared" si="38"/>
        <v>2</v>
      </c>
    </row>
    <row r="2274" spans="1:20" hidden="1" x14ac:dyDescent="0.35">
      <c r="A2274" s="3"/>
      <c r="B2274" s="165">
        <f t="shared" si="34"/>
        <v>45108</v>
      </c>
      <c r="C2274" s="57"/>
      <c r="D2274" s="3" t="s">
        <v>107</v>
      </c>
      <c r="E2274" s="18">
        <f t="shared" si="36"/>
        <v>214</v>
      </c>
      <c r="F2274" s="166">
        <f t="shared" si="36"/>
        <v>1247</v>
      </c>
      <c r="G2274" s="166">
        <f t="shared" si="36"/>
        <v>1429</v>
      </c>
      <c r="H2274" s="21">
        <f t="shared" si="36"/>
        <v>2387</v>
      </c>
      <c r="I2274" s="21">
        <f t="shared" si="39"/>
        <v>331</v>
      </c>
      <c r="J2274" s="21">
        <f t="shared" si="39"/>
        <v>1099</v>
      </c>
      <c r="K2274" s="21">
        <f t="shared" si="39"/>
        <v>290</v>
      </c>
      <c r="L2274" s="21">
        <f t="shared" si="39"/>
        <v>2012</v>
      </c>
      <c r="M2274" s="21">
        <f t="shared" si="39"/>
        <v>790</v>
      </c>
      <c r="N2274" s="21">
        <f t="shared" si="39"/>
        <v>1210</v>
      </c>
      <c r="O2274" s="19">
        <f t="shared" si="39"/>
        <v>2116</v>
      </c>
      <c r="P2274" s="22">
        <f t="shared" si="39"/>
        <v>294</v>
      </c>
      <c r="Q2274" s="22">
        <f t="shared" si="39"/>
        <v>175</v>
      </c>
      <c r="R2274" s="236">
        <f t="shared" si="33"/>
        <v>0.83333333333333337</v>
      </c>
      <c r="S2274" s="234">
        <f t="shared" si="38"/>
        <v>5</v>
      </c>
      <c r="T2274" s="235">
        <f t="shared" si="38"/>
        <v>1</v>
      </c>
    </row>
    <row r="2275" spans="1:20" hidden="1" x14ac:dyDescent="0.35">
      <c r="A2275" s="3"/>
      <c r="B2275" s="165">
        <f t="shared" si="34"/>
        <v>45108</v>
      </c>
      <c r="C2275" s="57"/>
      <c r="D2275" s="3" t="s">
        <v>108</v>
      </c>
      <c r="E2275" s="18">
        <f t="shared" si="36"/>
        <v>350</v>
      </c>
      <c r="F2275" s="166">
        <f t="shared" si="36"/>
        <v>1351</v>
      </c>
      <c r="G2275" s="166">
        <f t="shared" si="36"/>
        <v>1269</v>
      </c>
      <c r="H2275" s="21">
        <f t="shared" si="36"/>
        <v>2583</v>
      </c>
      <c r="I2275" s="21">
        <f t="shared" si="39"/>
        <v>344</v>
      </c>
      <c r="J2275" s="21">
        <f t="shared" si="39"/>
        <v>1191</v>
      </c>
      <c r="K2275" s="21">
        <f t="shared" si="39"/>
        <v>213</v>
      </c>
      <c r="L2275" s="21">
        <f t="shared" si="39"/>
        <v>2568</v>
      </c>
      <c r="M2275" s="21">
        <f t="shared" si="39"/>
        <v>744</v>
      </c>
      <c r="N2275" s="21">
        <f t="shared" si="39"/>
        <v>1348</v>
      </c>
      <c r="O2275" s="19">
        <f t="shared" si="39"/>
        <v>2254</v>
      </c>
      <c r="P2275" s="22">
        <f t="shared" si="39"/>
        <v>302</v>
      </c>
      <c r="Q2275" s="22">
        <f t="shared" si="39"/>
        <v>187</v>
      </c>
      <c r="R2275" s="236">
        <f t="shared" si="33"/>
        <v>0.36363636363636365</v>
      </c>
      <c r="S2275" s="234">
        <f t="shared" ref="S2275:T2298" si="40">SUMIFS(S$5:S$2214,$B$5:$B$2214,$B2275,$A$5:$A$2214,$D2275)</f>
        <v>4</v>
      </c>
      <c r="T2275" s="235">
        <f t="shared" si="40"/>
        <v>7</v>
      </c>
    </row>
    <row r="2276" spans="1:20" hidden="1" x14ac:dyDescent="0.35">
      <c r="A2276" s="3"/>
      <c r="B2276" s="165">
        <f t="shared" si="34"/>
        <v>45108</v>
      </c>
      <c r="C2276" s="57"/>
      <c r="D2276" s="3" t="s">
        <v>109</v>
      </c>
      <c r="E2276" s="18">
        <f t="shared" si="36"/>
        <v>448</v>
      </c>
      <c r="F2276" s="166">
        <f t="shared" si="36"/>
        <v>2539</v>
      </c>
      <c r="G2276" s="166">
        <f t="shared" si="36"/>
        <v>2326</v>
      </c>
      <c r="H2276" s="21">
        <f t="shared" si="36"/>
        <v>6381</v>
      </c>
      <c r="I2276" s="21">
        <f t="shared" si="39"/>
        <v>645</v>
      </c>
      <c r="J2276" s="21">
        <f t="shared" si="39"/>
        <v>3301</v>
      </c>
      <c r="K2276" s="21">
        <f t="shared" si="39"/>
        <v>479</v>
      </c>
      <c r="L2276" s="21">
        <f t="shared" si="39"/>
        <v>3732</v>
      </c>
      <c r="M2276" s="21">
        <f t="shared" si="39"/>
        <v>1141</v>
      </c>
      <c r="N2276" s="21">
        <f t="shared" si="39"/>
        <v>2632</v>
      </c>
      <c r="O2276" s="19">
        <f t="shared" si="39"/>
        <v>3680</v>
      </c>
      <c r="P2276" s="22">
        <f t="shared" si="39"/>
        <v>158</v>
      </c>
      <c r="Q2276" s="22">
        <f t="shared" si="39"/>
        <v>117</v>
      </c>
      <c r="R2276" s="236">
        <f t="shared" si="33"/>
        <v>0.5</v>
      </c>
      <c r="S2276" s="234">
        <f t="shared" si="40"/>
        <v>5</v>
      </c>
      <c r="T2276" s="235">
        <f t="shared" si="40"/>
        <v>5</v>
      </c>
    </row>
    <row r="2277" spans="1:20" hidden="1" x14ac:dyDescent="0.35">
      <c r="A2277" s="3"/>
      <c r="B2277" s="165">
        <f t="shared" si="34"/>
        <v>45108</v>
      </c>
      <c r="C2277" s="57"/>
      <c r="D2277" s="3" t="s">
        <v>110</v>
      </c>
      <c r="E2277" s="18">
        <f t="shared" si="36"/>
        <v>0</v>
      </c>
      <c r="F2277" s="166">
        <f t="shared" si="36"/>
        <v>0</v>
      </c>
      <c r="G2277" s="166">
        <f t="shared" si="36"/>
        <v>0</v>
      </c>
      <c r="H2277" s="21">
        <f t="shared" si="36"/>
        <v>0</v>
      </c>
      <c r="I2277" s="21">
        <f t="shared" si="39"/>
        <v>0</v>
      </c>
      <c r="J2277" s="21">
        <f t="shared" si="39"/>
        <v>0</v>
      </c>
      <c r="K2277" s="21">
        <f t="shared" si="39"/>
        <v>0</v>
      </c>
      <c r="L2277" s="21">
        <f t="shared" si="39"/>
        <v>0</v>
      </c>
      <c r="M2277" s="21">
        <f t="shared" si="39"/>
        <v>0</v>
      </c>
      <c r="N2277" s="21">
        <f t="shared" si="39"/>
        <v>0</v>
      </c>
      <c r="O2277" s="19">
        <f t="shared" si="39"/>
        <v>0</v>
      </c>
      <c r="P2277" s="22">
        <f t="shared" si="39"/>
        <v>0</v>
      </c>
      <c r="Q2277" s="22">
        <f t="shared" si="39"/>
        <v>0</v>
      </c>
      <c r="R2277" s="236" t="str">
        <f t="shared" si="33"/>
        <v>-</v>
      </c>
      <c r="S2277" s="234">
        <f t="shared" si="40"/>
        <v>0</v>
      </c>
      <c r="T2277" s="235">
        <f t="shared" si="40"/>
        <v>0</v>
      </c>
    </row>
    <row r="2278" spans="1:20" hidden="1" x14ac:dyDescent="0.35">
      <c r="A2278" s="3"/>
      <c r="B2278" s="165">
        <f>DATE(YEAR(B2277+31),MONTH(B2277+31),1)</f>
        <v>45139</v>
      </c>
      <c r="C2278" s="57"/>
      <c r="D2278" s="3" t="s">
        <v>16</v>
      </c>
      <c r="E2278" s="18">
        <f t="shared" si="36"/>
        <v>454</v>
      </c>
      <c r="F2278" s="166">
        <f t="shared" si="36"/>
        <v>1999</v>
      </c>
      <c r="G2278" s="166">
        <f t="shared" si="36"/>
        <v>1936</v>
      </c>
      <c r="H2278" s="21">
        <f t="shared" si="36"/>
        <v>4342</v>
      </c>
      <c r="I2278" s="21">
        <f t="shared" si="39"/>
        <v>565</v>
      </c>
      <c r="J2278" s="21">
        <f t="shared" si="39"/>
        <v>2037</v>
      </c>
      <c r="K2278" s="21">
        <f t="shared" si="39"/>
        <v>357</v>
      </c>
      <c r="L2278" s="21">
        <f t="shared" si="39"/>
        <v>3616</v>
      </c>
      <c r="M2278" s="21">
        <f t="shared" si="39"/>
        <v>1249</v>
      </c>
      <c r="N2278" s="21">
        <f t="shared" si="39"/>
        <v>2032</v>
      </c>
      <c r="O2278" s="19">
        <f t="shared" si="39"/>
        <v>4140</v>
      </c>
      <c r="P2278" s="22">
        <f t="shared" si="39"/>
        <v>275</v>
      </c>
      <c r="Q2278" s="22">
        <f t="shared" si="39"/>
        <v>158</v>
      </c>
      <c r="R2278" s="236">
        <f t="shared" si="33"/>
        <v>0.7857142857142857</v>
      </c>
      <c r="S2278" s="234">
        <f t="shared" si="40"/>
        <v>11</v>
      </c>
      <c r="T2278" s="235">
        <f t="shared" si="40"/>
        <v>3</v>
      </c>
    </row>
    <row r="2279" spans="1:20" hidden="1" x14ac:dyDescent="0.35">
      <c r="A2279" s="3"/>
      <c r="B2279" s="165">
        <f t="shared" si="34"/>
        <v>45139</v>
      </c>
      <c r="C2279" s="57"/>
      <c r="D2279" s="3" t="s">
        <v>104</v>
      </c>
      <c r="E2279" s="18">
        <f t="shared" si="36"/>
        <v>0</v>
      </c>
      <c r="F2279" s="166">
        <f t="shared" si="36"/>
        <v>0</v>
      </c>
      <c r="G2279" s="166">
        <f t="shared" si="36"/>
        <v>0</v>
      </c>
      <c r="H2279" s="21">
        <f t="shared" si="36"/>
        <v>0</v>
      </c>
      <c r="I2279" s="21">
        <f t="shared" si="39"/>
        <v>0</v>
      </c>
      <c r="J2279" s="21">
        <f t="shared" si="39"/>
        <v>0</v>
      </c>
      <c r="K2279" s="21">
        <f t="shared" si="39"/>
        <v>0</v>
      </c>
      <c r="L2279" s="21">
        <f t="shared" si="39"/>
        <v>0</v>
      </c>
      <c r="M2279" s="21">
        <f t="shared" si="39"/>
        <v>0</v>
      </c>
      <c r="N2279" s="21">
        <f t="shared" si="39"/>
        <v>0</v>
      </c>
      <c r="O2279" s="19">
        <f t="shared" si="39"/>
        <v>0</v>
      </c>
      <c r="P2279" s="22">
        <f t="shared" si="39"/>
        <v>0</v>
      </c>
      <c r="Q2279" s="22">
        <f t="shared" si="39"/>
        <v>0</v>
      </c>
      <c r="R2279" s="236" t="str">
        <f t="shared" si="33"/>
        <v>-</v>
      </c>
      <c r="S2279" s="234">
        <f t="shared" si="40"/>
        <v>0</v>
      </c>
      <c r="T2279" s="235">
        <f t="shared" si="40"/>
        <v>0</v>
      </c>
    </row>
    <row r="2280" spans="1:20" hidden="1" x14ac:dyDescent="0.35">
      <c r="A2280" s="3"/>
      <c r="B2280" s="165">
        <f t="shared" si="34"/>
        <v>45139</v>
      </c>
      <c r="C2280" s="57"/>
      <c r="D2280" s="3" t="s">
        <v>105</v>
      </c>
      <c r="E2280" s="18">
        <f t="shared" si="36"/>
        <v>0</v>
      </c>
      <c r="F2280" s="166">
        <f t="shared" si="36"/>
        <v>0</v>
      </c>
      <c r="G2280" s="166">
        <f t="shared" si="36"/>
        <v>0</v>
      </c>
      <c r="H2280" s="21">
        <f t="shared" si="36"/>
        <v>0</v>
      </c>
      <c r="I2280" s="21">
        <f t="shared" si="39"/>
        <v>0</v>
      </c>
      <c r="J2280" s="21">
        <f t="shared" si="39"/>
        <v>0</v>
      </c>
      <c r="K2280" s="21">
        <f t="shared" si="39"/>
        <v>0</v>
      </c>
      <c r="L2280" s="21">
        <f t="shared" si="39"/>
        <v>0</v>
      </c>
      <c r="M2280" s="21">
        <f t="shared" si="39"/>
        <v>0</v>
      </c>
      <c r="N2280" s="21">
        <f t="shared" si="39"/>
        <v>0</v>
      </c>
      <c r="O2280" s="19">
        <f t="shared" si="39"/>
        <v>0</v>
      </c>
      <c r="P2280" s="22">
        <f t="shared" si="39"/>
        <v>0</v>
      </c>
      <c r="Q2280" s="22">
        <f t="shared" si="39"/>
        <v>0</v>
      </c>
      <c r="R2280" s="236" t="str">
        <f t="shared" ref="R2280:R2495" si="41">IFERROR(S2280/(S2280+T2280),"-")</f>
        <v>-</v>
      </c>
      <c r="S2280" s="234">
        <f t="shared" si="40"/>
        <v>0</v>
      </c>
      <c r="T2280" s="235">
        <f t="shared" si="40"/>
        <v>0</v>
      </c>
    </row>
    <row r="2281" spans="1:20" hidden="1" x14ac:dyDescent="0.35">
      <c r="A2281" s="3"/>
      <c r="B2281" s="165">
        <f t="shared" si="34"/>
        <v>45139</v>
      </c>
      <c r="C2281" s="57"/>
      <c r="D2281" s="3" t="s">
        <v>105</v>
      </c>
      <c r="E2281" s="18">
        <f t="shared" si="36"/>
        <v>0</v>
      </c>
      <c r="F2281" s="166">
        <f t="shared" si="36"/>
        <v>0</v>
      </c>
      <c r="G2281" s="166">
        <f t="shared" si="36"/>
        <v>0</v>
      </c>
      <c r="H2281" s="21">
        <f t="shared" si="36"/>
        <v>0</v>
      </c>
      <c r="I2281" s="21">
        <f t="shared" si="39"/>
        <v>0</v>
      </c>
      <c r="J2281" s="21">
        <f t="shared" si="39"/>
        <v>0</v>
      </c>
      <c r="K2281" s="21">
        <f t="shared" si="39"/>
        <v>0</v>
      </c>
      <c r="L2281" s="21">
        <f t="shared" si="39"/>
        <v>0</v>
      </c>
      <c r="M2281" s="21">
        <f t="shared" si="39"/>
        <v>0</v>
      </c>
      <c r="N2281" s="21">
        <f t="shared" si="39"/>
        <v>0</v>
      </c>
      <c r="O2281" s="19">
        <f t="shared" si="39"/>
        <v>0</v>
      </c>
      <c r="P2281" s="22">
        <f t="shared" si="39"/>
        <v>0</v>
      </c>
      <c r="Q2281" s="22">
        <f t="shared" si="39"/>
        <v>0</v>
      </c>
      <c r="R2281" s="236" t="str">
        <f t="shared" si="41"/>
        <v>-</v>
      </c>
      <c r="S2281" s="234">
        <f t="shared" si="40"/>
        <v>0</v>
      </c>
      <c r="T2281" s="235">
        <f t="shared" si="40"/>
        <v>0</v>
      </c>
    </row>
    <row r="2282" spans="1:20" hidden="1" x14ac:dyDescent="0.35">
      <c r="A2282" s="3"/>
      <c r="B2282" s="165">
        <f t="shared" si="34"/>
        <v>45139</v>
      </c>
      <c r="C2282" s="57"/>
      <c r="D2282" s="3" t="s">
        <v>106</v>
      </c>
      <c r="E2282" s="18">
        <f t="shared" si="36"/>
        <v>210</v>
      </c>
      <c r="F2282" s="166">
        <f t="shared" si="36"/>
        <v>1295</v>
      </c>
      <c r="G2282" s="166">
        <f t="shared" si="36"/>
        <v>1108</v>
      </c>
      <c r="H2282" s="21">
        <f t="shared" si="36"/>
        <v>3079</v>
      </c>
      <c r="I2282" s="21">
        <f t="shared" si="39"/>
        <v>390</v>
      </c>
      <c r="J2282" s="21">
        <f t="shared" si="39"/>
        <v>1364</v>
      </c>
      <c r="K2282" s="21">
        <f t="shared" si="39"/>
        <v>248</v>
      </c>
      <c r="L2282" s="21">
        <f t="shared" si="39"/>
        <v>2283</v>
      </c>
      <c r="M2282" s="21">
        <f t="shared" si="39"/>
        <v>621</v>
      </c>
      <c r="N2282" s="21">
        <f t="shared" si="39"/>
        <v>1320</v>
      </c>
      <c r="O2282" s="19">
        <f t="shared" si="39"/>
        <v>2139</v>
      </c>
      <c r="P2282" s="22">
        <f t="shared" si="39"/>
        <v>221</v>
      </c>
      <c r="Q2282" s="22">
        <f t="shared" si="39"/>
        <v>159</v>
      </c>
      <c r="R2282" s="236">
        <f t="shared" si="41"/>
        <v>0.8571428571428571</v>
      </c>
      <c r="S2282" s="234">
        <f t="shared" si="40"/>
        <v>6</v>
      </c>
      <c r="T2282" s="235">
        <f t="shared" si="40"/>
        <v>1</v>
      </c>
    </row>
    <row r="2283" spans="1:20" hidden="1" x14ac:dyDescent="0.35">
      <c r="A2283" s="3"/>
      <c r="B2283" s="165">
        <f t="shared" si="34"/>
        <v>45139</v>
      </c>
      <c r="C2283" s="57"/>
      <c r="D2283" s="3" t="s">
        <v>107</v>
      </c>
      <c r="E2283" s="18">
        <f t="shared" si="36"/>
        <v>222</v>
      </c>
      <c r="F2283" s="166">
        <f t="shared" si="36"/>
        <v>1137</v>
      </c>
      <c r="G2283" s="166">
        <f t="shared" si="36"/>
        <v>1306</v>
      </c>
      <c r="H2283" s="21">
        <f t="shared" si="36"/>
        <v>2246</v>
      </c>
      <c r="I2283" s="21">
        <f t="shared" si="39"/>
        <v>300</v>
      </c>
      <c r="J2283" s="21">
        <f t="shared" si="39"/>
        <v>1130</v>
      </c>
      <c r="K2283" s="21">
        <f t="shared" si="39"/>
        <v>316</v>
      </c>
      <c r="L2283" s="21">
        <f t="shared" si="39"/>
        <v>1857</v>
      </c>
      <c r="M2283" s="21">
        <f t="shared" si="39"/>
        <v>716</v>
      </c>
      <c r="N2283" s="21">
        <f t="shared" si="39"/>
        <v>1162</v>
      </c>
      <c r="O2283" s="19">
        <f t="shared" si="39"/>
        <v>1955</v>
      </c>
      <c r="P2283" s="22">
        <f t="shared" si="39"/>
        <v>325</v>
      </c>
      <c r="Q2283" s="22">
        <f t="shared" si="39"/>
        <v>181</v>
      </c>
      <c r="R2283" s="236">
        <f t="shared" si="41"/>
        <v>0.83333333333333337</v>
      </c>
      <c r="S2283" s="234">
        <f t="shared" si="40"/>
        <v>5</v>
      </c>
      <c r="T2283" s="235">
        <f t="shared" si="40"/>
        <v>1</v>
      </c>
    </row>
    <row r="2284" spans="1:20" hidden="1" x14ac:dyDescent="0.35">
      <c r="A2284" s="3"/>
      <c r="B2284" s="165">
        <f t="shared" si="34"/>
        <v>45139</v>
      </c>
      <c r="C2284" s="57"/>
      <c r="D2284" s="3" t="s">
        <v>108</v>
      </c>
      <c r="E2284" s="18">
        <f t="shared" si="36"/>
        <v>329</v>
      </c>
      <c r="F2284" s="166">
        <f t="shared" si="36"/>
        <v>1282</v>
      </c>
      <c r="G2284" s="166">
        <f t="shared" si="36"/>
        <v>1449</v>
      </c>
      <c r="H2284" s="21">
        <f t="shared" si="36"/>
        <v>2627</v>
      </c>
      <c r="I2284" s="21">
        <f t="shared" si="39"/>
        <v>373</v>
      </c>
      <c r="J2284" s="21">
        <f t="shared" si="39"/>
        <v>1273</v>
      </c>
      <c r="K2284" s="21">
        <f t="shared" si="39"/>
        <v>276</v>
      </c>
      <c r="L2284" s="21">
        <f t="shared" si="39"/>
        <v>2632</v>
      </c>
      <c r="M2284" s="21">
        <f t="shared" si="39"/>
        <v>754</v>
      </c>
      <c r="N2284" s="21">
        <f t="shared" si="39"/>
        <v>1299</v>
      </c>
      <c r="O2284" s="19">
        <f t="shared" si="39"/>
        <v>2346</v>
      </c>
      <c r="P2284" s="22">
        <f t="shared" si="39"/>
        <v>282</v>
      </c>
      <c r="Q2284" s="22">
        <f t="shared" si="39"/>
        <v>190</v>
      </c>
      <c r="R2284" s="236">
        <f t="shared" si="41"/>
        <v>0.36363636363636365</v>
      </c>
      <c r="S2284" s="234">
        <f t="shared" si="40"/>
        <v>4</v>
      </c>
      <c r="T2284" s="235">
        <f t="shared" si="40"/>
        <v>7</v>
      </c>
    </row>
    <row r="2285" spans="1:20" hidden="1" x14ac:dyDescent="0.35">
      <c r="A2285" s="3"/>
      <c r="B2285" s="165">
        <f t="shared" si="34"/>
        <v>45139</v>
      </c>
      <c r="C2285" s="57"/>
      <c r="D2285" s="3" t="s">
        <v>109</v>
      </c>
      <c r="E2285" s="18">
        <f t="shared" si="36"/>
        <v>476</v>
      </c>
      <c r="F2285" s="166">
        <f t="shared" si="36"/>
        <v>2619</v>
      </c>
      <c r="G2285" s="166">
        <f t="shared" si="36"/>
        <v>2325</v>
      </c>
      <c r="H2285" s="21">
        <f t="shared" si="36"/>
        <v>6141</v>
      </c>
      <c r="I2285" s="21">
        <f t="shared" si="39"/>
        <v>714</v>
      </c>
      <c r="J2285" s="21">
        <f t="shared" si="39"/>
        <v>3291</v>
      </c>
      <c r="K2285" s="21">
        <f t="shared" si="39"/>
        <v>482</v>
      </c>
      <c r="L2285" s="21">
        <f t="shared" ref="L2285:Q2327" si="42">SUMIFS(L$5:L$2214,$A$5:$A$2214,$D2285,$B$5:$B$2214,$B2285)</f>
        <v>4454</v>
      </c>
      <c r="M2285" s="21">
        <f t="shared" si="42"/>
        <v>1372</v>
      </c>
      <c r="N2285" s="21">
        <f t="shared" si="42"/>
        <v>2673</v>
      </c>
      <c r="O2285" s="19">
        <f t="shared" si="42"/>
        <v>3818</v>
      </c>
      <c r="P2285" s="22">
        <f t="shared" si="42"/>
        <v>186</v>
      </c>
      <c r="Q2285" s="22">
        <f t="shared" si="42"/>
        <v>136</v>
      </c>
      <c r="R2285" s="236">
        <f t="shared" si="41"/>
        <v>0.5</v>
      </c>
      <c r="S2285" s="234">
        <f t="shared" si="40"/>
        <v>5</v>
      </c>
      <c r="T2285" s="235">
        <f t="shared" si="40"/>
        <v>5</v>
      </c>
    </row>
    <row r="2286" spans="1:20" hidden="1" x14ac:dyDescent="0.35">
      <c r="A2286" s="3"/>
      <c r="B2286" s="165">
        <f t="shared" si="34"/>
        <v>45139</v>
      </c>
      <c r="C2286" s="57"/>
      <c r="D2286" s="3" t="s">
        <v>110</v>
      </c>
      <c r="E2286" s="18">
        <f t="shared" si="36"/>
        <v>0</v>
      </c>
      <c r="F2286" s="166">
        <f t="shared" si="36"/>
        <v>0</v>
      </c>
      <c r="G2286" s="166">
        <f t="shared" si="36"/>
        <v>0</v>
      </c>
      <c r="H2286" s="21">
        <f t="shared" si="36"/>
        <v>0</v>
      </c>
      <c r="I2286" s="21">
        <f t="shared" si="36"/>
        <v>0</v>
      </c>
      <c r="J2286" s="21">
        <f t="shared" si="36"/>
        <v>0</v>
      </c>
      <c r="K2286" s="21">
        <f t="shared" si="36"/>
        <v>0</v>
      </c>
      <c r="L2286" s="21">
        <f t="shared" si="42"/>
        <v>0</v>
      </c>
      <c r="M2286" s="21">
        <f t="shared" si="42"/>
        <v>0</v>
      </c>
      <c r="N2286" s="21">
        <f t="shared" si="42"/>
        <v>0</v>
      </c>
      <c r="O2286" s="19">
        <f t="shared" si="42"/>
        <v>0</v>
      </c>
      <c r="P2286" s="22">
        <f t="shared" si="42"/>
        <v>0</v>
      </c>
      <c r="Q2286" s="22">
        <f t="shared" si="42"/>
        <v>0</v>
      </c>
      <c r="R2286" s="236" t="str">
        <f t="shared" si="41"/>
        <v>-</v>
      </c>
      <c r="S2286" s="234">
        <f t="shared" si="40"/>
        <v>0</v>
      </c>
      <c r="T2286" s="235">
        <f t="shared" si="40"/>
        <v>0</v>
      </c>
    </row>
    <row r="2287" spans="1:20" hidden="1" x14ac:dyDescent="0.35">
      <c r="A2287" s="3"/>
      <c r="B2287" s="165">
        <f>DATE(YEAR(B2286+31),MONTH(B2286+31),1)</f>
        <v>45170</v>
      </c>
      <c r="C2287" s="57"/>
      <c r="D2287" s="3" t="s">
        <v>16</v>
      </c>
      <c r="E2287" s="18">
        <f t="shared" si="36"/>
        <v>399</v>
      </c>
      <c r="F2287" s="166">
        <f t="shared" si="36"/>
        <v>2035</v>
      </c>
      <c r="G2287" s="166">
        <f t="shared" si="36"/>
        <v>1994</v>
      </c>
      <c r="H2287" s="21">
        <f t="shared" si="36"/>
        <v>3967</v>
      </c>
      <c r="I2287" s="21">
        <f t="shared" si="36"/>
        <v>544</v>
      </c>
      <c r="J2287" s="21">
        <f t="shared" si="36"/>
        <v>1856</v>
      </c>
      <c r="K2287" s="21">
        <f t="shared" si="36"/>
        <v>354</v>
      </c>
      <c r="L2287" s="21">
        <f t="shared" si="42"/>
        <v>3535</v>
      </c>
      <c r="M2287" s="21">
        <f t="shared" si="42"/>
        <v>1245</v>
      </c>
      <c r="N2287" s="21">
        <f t="shared" si="42"/>
        <v>2058</v>
      </c>
      <c r="O2287" s="19">
        <f t="shared" si="42"/>
        <v>4026</v>
      </c>
      <c r="P2287" s="22">
        <f t="shared" si="42"/>
        <v>233</v>
      </c>
      <c r="Q2287" s="22">
        <f t="shared" si="42"/>
        <v>139</v>
      </c>
      <c r="R2287" s="236">
        <f t="shared" si="41"/>
        <v>0.7142857142857143</v>
      </c>
      <c r="S2287" s="234">
        <f t="shared" si="40"/>
        <v>10</v>
      </c>
      <c r="T2287" s="235">
        <f t="shared" si="40"/>
        <v>4</v>
      </c>
    </row>
    <row r="2288" spans="1:20" hidden="1" x14ac:dyDescent="0.35">
      <c r="A2288" s="3"/>
      <c r="B2288" s="165">
        <f t="shared" si="34"/>
        <v>45170</v>
      </c>
      <c r="C2288" s="57"/>
      <c r="D2288" s="3" t="s">
        <v>104</v>
      </c>
      <c r="E2288" s="18">
        <f t="shared" si="36"/>
        <v>0</v>
      </c>
      <c r="F2288" s="166">
        <f t="shared" si="36"/>
        <v>0</v>
      </c>
      <c r="G2288" s="166">
        <f t="shared" si="36"/>
        <v>0</v>
      </c>
      <c r="H2288" s="21">
        <f t="shared" si="36"/>
        <v>0</v>
      </c>
      <c r="I2288" s="21">
        <f t="shared" si="36"/>
        <v>0</v>
      </c>
      <c r="J2288" s="21">
        <f t="shared" si="36"/>
        <v>0</v>
      </c>
      <c r="K2288" s="21">
        <f t="shared" si="36"/>
        <v>0</v>
      </c>
      <c r="L2288" s="21">
        <f t="shared" si="42"/>
        <v>0</v>
      </c>
      <c r="M2288" s="21">
        <f t="shared" si="42"/>
        <v>0</v>
      </c>
      <c r="N2288" s="21">
        <f t="shared" si="42"/>
        <v>0</v>
      </c>
      <c r="O2288" s="19">
        <f t="shared" si="42"/>
        <v>0</v>
      </c>
      <c r="P2288" s="22">
        <f t="shared" si="42"/>
        <v>0</v>
      </c>
      <c r="Q2288" s="22">
        <f t="shared" si="42"/>
        <v>0</v>
      </c>
      <c r="R2288" s="236" t="str">
        <f t="shared" si="41"/>
        <v>-</v>
      </c>
      <c r="S2288" s="234">
        <f t="shared" si="40"/>
        <v>0</v>
      </c>
      <c r="T2288" s="235">
        <f t="shared" si="40"/>
        <v>0</v>
      </c>
    </row>
    <row r="2289" spans="1:20" hidden="1" x14ac:dyDescent="0.35">
      <c r="A2289" s="3"/>
      <c r="B2289" s="165">
        <f t="shared" ref="B2289:B2295" si="43">B2288</f>
        <v>45170</v>
      </c>
      <c r="C2289" s="57"/>
      <c r="D2289" s="3" t="s">
        <v>105</v>
      </c>
      <c r="E2289" s="18">
        <f t="shared" si="36"/>
        <v>0</v>
      </c>
      <c r="F2289" s="166">
        <f t="shared" si="36"/>
        <v>0</v>
      </c>
      <c r="G2289" s="166">
        <f t="shared" si="36"/>
        <v>0</v>
      </c>
      <c r="H2289" s="21">
        <f t="shared" si="36"/>
        <v>0</v>
      </c>
      <c r="I2289" s="21">
        <f t="shared" si="36"/>
        <v>0</v>
      </c>
      <c r="J2289" s="21">
        <f t="shared" si="36"/>
        <v>0</v>
      </c>
      <c r="K2289" s="21">
        <f t="shared" si="36"/>
        <v>0</v>
      </c>
      <c r="L2289" s="21">
        <f t="shared" si="42"/>
        <v>0</v>
      </c>
      <c r="M2289" s="21">
        <f t="shared" si="42"/>
        <v>0</v>
      </c>
      <c r="N2289" s="21">
        <f t="shared" si="42"/>
        <v>0</v>
      </c>
      <c r="O2289" s="19">
        <f t="shared" si="42"/>
        <v>0</v>
      </c>
      <c r="P2289" s="22">
        <f t="shared" si="42"/>
        <v>0</v>
      </c>
      <c r="Q2289" s="22">
        <f t="shared" si="42"/>
        <v>0</v>
      </c>
      <c r="R2289" s="236" t="str">
        <f t="shared" si="41"/>
        <v>-</v>
      </c>
      <c r="S2289" s="234">
        <f t="shared" si="40"/>
        <v>0</v>
      </c>
      <c r="T2289" s="235">
        <f t="shared" si="40"/>
        <v>0</v>
      </c>
    </row>
    <row r="2290" spans="1:20" hidden="1" x14ac:dyDescent="0.35">
      <c r="A2290" s="3"/>
      <c r="B2290" s="165">
        <f t="shared" si="43"/>
        <v>45170</v>
      </c>
      <c r="C2290" s="57"/>
      <c r="D2290" s="3" t="s">
        <v>105</v>
      </c>
      <c r="E2290" s="18">
        <f t="shared" si="36"/>
        <v>0</v>
      </c>
      <c r="F2290" s="166">
        <f t="shared" si="36"/>
        <v>0</v>
      </c>
      <c r="G2290" s="166">
        <f t="shared" si="36"/>
        <v>0</v>
      </c>
      <c r="H2290" s="21">
        <f t="shared" si="36"/>
        <v>0</v>
      </c>
      <c r="I2290" s="21">
        <f t="shared" si="36"/>
        <v>0</v>
      </c>
      <c r="J2290" s="21">
        <f t="shared" si="36"/>
        <v>0</v>
      </c>
      <c r="K2290" s="21">
        <f t="shared" si="36"/>
        <v>0</v>
      </c>
      <c r="L2290" s="21">
        <f t="shared" si="42"/>
        <v>0</v>
      </c>
      <c r="M2290" s="21">
        <f t="shared" si="42"/>
        <v>0</v>
      </c>
      <c r="N2290" s="21">
        <f t="shared" si="42"/>
        <v>0</v>
      </c>
      <c r="O2290" s="19">
        <f t="shared" si="42"/>
        <v>0</v>
      </c>
      <c r="P2290" s="22">
        <f t="shared" si="42"/>
        <v>0</v>
      </c>
      <c r="Q2290" s="22">
        <f t="shared" si="42"/>
        <v>0</v>
      </c>
      <c r="R2290" s="236" t="str">
        <f t="shared" si="41"/>
        <v>-</v>
      </c>
      <c r="S2290" s="234">
        <f t="shared" si="40"/>
        <v>0</v>
      </c>
      <c r="T2290" s="235">
        <f t="shared" si="40"/>
        <v>0</v>
      </c>
    </row>
    <row r="2291" spans="1:20" hidden="1" x14ac:dyDescent="0.35">
      <c r="A2291" s="3"/>
      <c r="B2291" s="165">
        <f t="shared" si="43"/>
        <v>45170</v>
      </c>
      <c r="C2291" s="57"/>
      <c r="D2291" s="3" t="s">
        <v>106</v>
      </c>
      <c r="E2291" s="18">
        <f t="shared" si="36"/>
        <v>209</v>
      </c>
      <c r="F2291" s="166">
        <f t="shared" si="36"/>
        <v>1342</v>
      </c>
      <c r="G2291" s="166">
        <f t="shared" si="36"/>
        <v>1168</v>
      </c>
      <c r="H2291" s="21">
        <f t="shared" si="36"/>
        <v>3008</v>
      </c>
      <c r="I2291" s="21">
        <f t="shared" si="36"/>
        <v>386</v>
      </c>
      <c r="J2291" s="21">
        <f t="shared" ref="J2291:N2354" si="44">SUMIFS(J$5:J$2214,$A$5:$A$2214,$D2291,$B$5:$B$2214,$B2291)</f>
        <v>1323</v>
      </c>
      <c r="K2291" s="21">
        <f t="shared" si="44"/>
        <v>276</v>
      </c>
      <c r="L2291" s="21">
        <f t="shared" si="42"/>
        <v>2363</v>
      </c>
      <c r="M2291" s="21">
        <f t="shared" si="42"/>
        <v>675</v>
      </c>
      <c r="N2291" s="21">
        <f t="shared" si="42"/>
        <v>1353</v>
      </c>
      <c r="O2291" s="19">
        <f t="shared" si="42"/>
        <v>2112</v>
      </c>
      <c r="P2291" s="22">
        <f t="shared" si="42"/>
        <v>221</v>
      </c>
      <c r="Q2291" s="22">
        <f t="shared" si="42"/>
        <v>143</v>
      </c>
      <c r="R2291" s="236">
        <f t="shared" si="41"/>
        <v>0.7142857142857143</v>
      </c>
      <c r="S2291" s="234">
        <f t="shared" si="40"/>
        <v>5</v>
      </c>
      <c r="T2291" s="235">
        <f t="shared" si="40"/>
        <v>2</v>
      </c>
    </row>
    <row r="2292" spans="1:20" hidden="1" x14ac:dyDescent="0.35">
      <c r="A2292" s="3"/>
      <c r="B2292" s="165">
        <f t="shared" si="43"/>
        <v>45170</v>
      </c>
      <c r="C2292" s="57"/>
      <c r="D2292" s="3" t="s">
        <v>107</v>
      </c>
      <c r="E2292" s="18">
        <f t="shared" ref="E2292:I2334" si="45">SUMIFS(E$5:E$2214,$A$5:$A$2214,$D2292,$B$5:$B$2214,$B2292)</f>
        <v>252</v>
      </c>
      <c r="F2292" s="166">
        <f t="shared" si="45"/>
        <v>1254</v>
      </c>
      <c r="G2292" s="166">
        <f t="shared" si="45"/>
        <v>1109</v>
      </c>
      <c r="H2292" s="21">
        <f t="shared" si="45"/>
        <v>2038</v>
      </c>
      <c r="I2292" s="21">
        <f t="shared" si="45"/>
        <v>309</v>
      </c>
      <c r="J2292" s="21">
        <f t="shared" si="44"/>
        <v>962</v>
      </c>
      <c r="K2292" s="21">
        <f t="shared" si="44"/>
        <v>204</v>
      </c>
      <c r="L2292" s="21">
        <f t="shared" si="42"/>
        <v>1928</v>
      </c>
      <c r="M2292" s="21">
        <f t="shared" si="42"/>
        <v>814</v>
      </c>
      <c r="N2292" s="21">
        <f t="shared" si="42"/>
        <v>1274</v>
      </c>
      <c r="O2292" s="19">
        <f t="shared" si="42"/>
        <v>1914</v>
      </c>
      <c r="P2292" s="22">
        <f t="shared" si="42"/>
        <v>348</v>
      </c>
      <c r="Q2292" s="22">
        <f t="shared" si="42"/>
        <v>201</v>
      </c>
      <c r="R2292" s="236">
        <f t="shared" si="41"/>
        <v>0.83333333333333337</v>
      </c>
      <c r="S2292" s="234">
        <f t="shared" si="40"/>
        <v>5</v>
      </c>
      <c r="T2292" s="235">
        <f t="shared" si="40"/>
        <v>1</v>
      </c>
    </row>
    <row r="2293" spans="1:20" hidden="1" x14ac:dyDescent="0.35">
      <c r="A2293" s="3"/>
      <c r="B2293" s="165">
        <f t="shared" si="43"/>
        <v>45170</v>
      </c>
      <c r="C2293" s="57"/>
      <c r="D2293" s="3" t="s">
        <v>108</v>
      </c>
      <c r="E2293" s="18">
        <f t="shared" si="45"/>
        <v>336</v>
      </c>
      <c r="F2293" s="166">
        <f t="shared" si="45"/>
        <v>1348</v>
      </c>
      <c r="G2293" s="166">
        <f t="shared" si="45"/>
        <v>1257</v>
      </c>
      <c r="H2293" s="21">
        <f t="shared" si="45"/>
        <v>2577</v>
      </c>
      <c r="I2293" s="21">
        <f t="shared" si="45"/>
        <v>368</v>
      </c>
      <c r="J2293" s="21">
        <f t="shared" si="44"/>
        <v>1104</v>
      </c>
      <c r="K2293" s="21">
        <f t="shared" si="44"/>
        <v>230</v>
      </c>
      <c r="L2293" s="21">
        <f t="shared" si="42"/>
        <v>2841</v>
      </c>
      <c r="M2293" s="21">
        <f t="shared" si="42"/>
        <v>837</v>
      </c>
      <c r="N2293" s="21">
        <f t="shared" si="42"/>
        <v>1370</v>
      </c>
      <c r="O2293" s="19">
        <f t="shared" si="42"/>
        <v>2178</v>
      </c>
      <c r="P2293" s="22">
        <f t="shared" si="42"/>
        <v>322</v>
      </c>
      <c r="Q2293" s="22">
        <f t="shared" si="42"/>
        <v>213</v>
      </c>
      <c r="R2293" s="236">
        <f t="shared" si="41"/>
        <v>0.45454545454545453</v>
      </c>
      <c r="S2293" s="234">
        <f t="shared" si="40"/>
        <v>5</v>
      </c>
      <c r="T2293" s="235">
        <f t="shared" si="40"/>
        <v>6</v>
      </c>
    </row>
    <row r="2294" spans="1:20" hidden="1" x14ac:dyDescent="0.35">
      <c r="A2294" s="3"/>
      <c r="B2294" s="165">
        <f t="shared" si="43"/>
        <v>45170</v>
      </c>
      <c r="C2294" s="57"/>
      <c r="D2294" s="3" t="s">
        <v>109</v>
      </c>
      <c r="E2294" s="18">
        <f t="shared" si="45"/>
        <v>424</v>
      </c>
      <c r="F2294" s="166">
        <f t="shared" si="45"/>
        <v>2344</v>
      </c>
      <c r="G2294" s="166">
        <f t="shared" si="45"/>
        <v>2214</v>
      </c>
      <c r="H2294" s="21">
        <f t="shared" si="45"/>
        <v>5183</v>
      </c>
      <c r="I2294" s="21">
        <f t="shared" si="45"/>
        <v>558</v>
      </c>
      <c r="J2294" s="21">
        <f t="shared" si="44"/>
        <v>3110</v>
      </c>
      <c r="K2294" s="21">
        <f t="shared" si="44"/>
        <v>417</v>
      </c>
      <c r="L2294" s="21">
        <f t="shared" si="42"/>
        <v>4271</v>
      </c>
      <c r="M2294" s="21">
        <f t="shared" si="42"/>
        <v>1234</v>
      </c>
      <c r="N2294" s="21">
        <f t="shared" si="42"/>
        <v>2393</v>
      </c>
      <c r="O2294" s="19">
        <f t="shared" si="42"/>
        <v>3740</v>
      </c>
      <c r="P2294" s="22">
        <f t="shared" si="42"/>
        <v>199</v>
      </c>
      <c r="Q2294" s="22">
        <f t="shared" si="42"/>
        <v>141</v>
      </c>
      <c r="R2294" s="236">
        <f t="shared" si="41"/>
        <v>0.4</v>
      </c>
      <c r="S2294" s="234">
        <f t="shared" si="40"/>
        <v>4</v>
      </c>
      <c r="T2294" s="235">
        <f t="shared" si="40"/>
        <v>6</v>
      </c>
    </row>
    <row r="2295" spans="1:20" hidden="1" x14ac:dyDescent="0.35">
      <c r="A2295" s="3"/>
      <c r="B2295" s="165">
        <f t="shared" si="43"/>
        <v>45170</v>
      </c>
      <c r="C2295" s="57"/>
      <c r="D2295" s="3" t="s">
        <v>110</v>
      </c>
      <c r="E2295" s="18">
        <f t="shared" si="45"/>
        <v>0</v>
      </c>
      <c r="F2295" s="166">
        <f t="shared" si="45"/>
        <v>0</v>
      </c>
      <c r="G2295" s="166">
        <f t="shared" si="45"/>
        <v>0</v>
      </c>
      <c r="H2295" s="21">
        <f t="shared" si="45"/>
        <v>0</v>
      </c>
      <c r="I2295" s="21">
        <f t="shared" si="45"/>
        <v>0</v>
      </c>
      <c r="J2295" s="21">
        <f t="shared" si="44"/>
        <v>0</v>
      </c>
      <c r="K2295" s="21">
        <f t="shared" si="44"/>
        <v>0</v>
      </c>
      <c r="L2295" s="21">
        <f t="shared" si="42"/>
        <v>0</v>
      </c>
      <c r="M2295" s="21">
        <f t="shared" si="42"/>
        <v>0</v>
      </c>
      <c r="N2295" s="21">
        <f t="shared" si="42"/>
        <v>0</v>
      </c>
      <c r="O2295" s="19">
        <f t="shared" si="42"/>
        <v>0</v>
      </c>
      <c r="P2295" s="22">
        <f t="shared" si="42"/>
        <v>0</v>
      </c>
      <c r="Q2295" s="22">
        <f t="shared" si="42"/>
        <v>0</v>
      </c>
      <c r="R2295" s="236" t="str">
        <f t="shared" si="41"/>
        <v>-</v>
      </c>
      <c r="S2295" s="234">
        <f t="shared" si="40"/>
        <v>0</v>
      </c>
      <c r="T2295" s="235">
        <f t="shared" si="40"/>
        <v>0</v>
      </c>
    </row>
    <row r="2296" spans="1:20" hidden="1" x14ac:dyDescent="0.35">
      <c r="A2296" s="3"/>
      <c r="B2296" s="165">
        <f>DATE(YEAR(B2295+31),MONTH(B2295+31),1)</f>
        <v>45200</v>
      </c>
      <c r="C2296" s="57"/>
      <c r="D2296" s="3" t="s">
        <v>16</v>
      </c>
      <c r="E2296" s="18">
        <f t="shared" si="45"/>
        <v>436</v>
      </c>
      <c r="F2296" s="166">
        <f t="shared" si="45"/>
        <v>1940</v>
      </c>
      <c r="G2296" s="166">
        <f t="shared" si="45"/>
        <v>2047</v>
      </c>
      <c r="H2296" s="21">
        <f t="shared" si="45"/>
        <v>3652</v>
      </c>
      <c r="I2296" s="21">
        <f t="shared" si="45"/>
        <v>516</v>
      </c>
      <c r="J2296" s="21">
        <f t="shared" si="44"/>
        <v>1679</v>
      </c>
      <c r="K2296" s="21">
        <f t="shared" si="44"/>
        <v>318</v>
      </c>
      <c r="L2296" s="21">
        <f t="shared" si="42"/>
        <v>3218</v>
      </c>
      <c r="M2296" s="21">
        <f t="shared" si="42"/>
        <v>1172</v>
      </c>
      <c r="N2296" s="21">
        <f t="shared" si="42"/>
        <v>1965</v>
      </c>
      <c r="O2296" s="19">
        <f t="shared" si="42"/>
        <v>4209</v>
      </c>
      <c r="P2296" s="22">
        <f t="shared" si="42"/>
        <v>276</v>
      </c>
      <c r="Q2296" s="22">
        <f t="shared" si="42"/>
        <v>168</v>
      </c>
      <c r="R2296" s="236">
        <f t="shared" si="41"/>
        <v>0.76923076923076927</v>
      </c>
      <c r="S2296" s="234">
        <f t="shared" si="40"/>
        <v>10</v>
      </c>
      <c r="T2296" s="235">
        <f t="shared" si="40"/>
        <v>3</v>
      </c>
    </row>
    <row r="2297" spans="1:20" hidden="1" x14ac:dyDescent="0.35">
      <c r="A2297" s="3"/>
      <c r="B2297" s="165">
        <f t="shared" ref="B2297:B2322" si="46">B2296</f>
        <v>45200</v>
      </c>
      <c r="C2297" s="57"/>
      <c r="D2297" s="3" t="s">
        <v>104</v>
      </c>
      <c r="E2297" s="18">
        <f t="shared" si="45"/>
        <v>0</v>
      </c>
      <c r="F2297" s="166">
        <f t="shared" si="45"/>
        <v>0</v>
      </c>
      <c r="G2297" s="166">
        <f t="shared" si="45"/>
        <v>0</v>
      </c>
      <c r="H2297" s="21">
        <f t="shared" si="45"/>
        <v>0</v>
      </c>
      <c r="I2297" s="21">
        <f t="shared" si="45"/>
        <v>0</v>
      </c>
      <c r="J2297" s="21">
        <f t="shared" si="44"/>
        <v>0</v>
      </c>
      <c r="K2297" s="21">
        <f t="shared" si="44"/>
        <v>0</v>
      </c>
      <c r="L2297" s="21">
        <f t="shared" si="42"/>
        <v>0</v>
      </c>
      <c r="M2297" s="21">
        <f t="shared" si="42"/>
        <v>0</v>
      </c>
      <c r="N2297" s="21">
        <f t="shared" si="42"/>
        <v>0</v>
      </c>
      <c r="O2297" s="19">
        <f t="shared" si="42"/>
        <v>0</v>
      </c>
      <c r="P2297" s="22">
        <f t="shared" si="42"/>
        <v>0</v>
      </c>
      <c r="Q2297" s="22">
        <f t="shared" si="42"/>
        <v>0</v>
      </c>
      <c r="R2297" s="236" t="str">
        <f t="shared" si="41"/>
        <v>-</v>
      </c>
      <c r="S2297" s="234">
        <f t="shared" si="40"/>
        <v>0</v>
      </c>
      <c r="T2297" s="235">
        <f t="shared" si="40"/>
        <v>0</v>
      </c>
    </row>
    <row r="2298" spans="1:20" hidden="1" x14ac:dyDescent="0.35">
      <c r="A2298" s="3"/>
      <c r="B2298" s="165">
        <f t="shared" si="46"/>
        <v>45200</v>
      </c>
      <c r="C2298" s="57"/>
      <c r="D2298" s="3" t="s">
        <v>105</v>
      </c>
      <c r="E2298" s="18">
        <f t="shared" si="45"/>
        <v>0</v>
      </c>
      <c r="F2298" s="166">
        <f t="shared" si="45"/>
        <v>0</v>
      </c>
      <c r="G2298" s="166">
        <f t="shared" si="45"/>
        <v>0</v>
      </c>
      <c r="H2298" s="21">
        <f t="shared" si="45"/>
        <v>0</v>
      </c>
      <c r="I2298" s="21">
        <f t="shared" si="45"/>
        <v>0</v>
      </c>
      <c r="J2298" s="21">
        <f t="shared" si="44"/>
        <v>0</v>
      </c>
      <c r="K2298" s="21">
        <f t="shared" si="44"/>
        <v>0</v>
      </c>
      <c r="L2298" s="21">
        <f t="shared" si="42"/>
        <v>0</v>
      </c>
      <c r="M2298" s="21">
        <f t="shared" si="42"/>
        <v>0</v>
      </c>
      <c r="N2298" s="21">
        <f t="shared" si="42"/>
        <v>0</v>
      </c>
      <c r="O2298" s="19">
        <f t="shared" si="42"/>
        <v>0</v>
      </c>
      <c r="P2298" s="22">
        <f t="shared" si="42"/>
        <v>0</v>
      </c>
      <c r="Q2298" s="22">
        <f t="shared" si="42"/>
        <v>0</v>
      </c>
      <c r="R2298" s="236" t="str">
        <f t="shared" si="41"/>
        <v>-</v>
      </c>
      <c r="S2298" s="234">
        <f t="shared" si="40"/>
        <v>0</v>
      </c>
      <c r="T2298" s="235">
        <f t="shared" si="40"/>
        <v>0</v>
      </c>
    </row>
    <row r="2299" spans="1:20" hidden="1" x14ac:dyDescent="0.35">
      <c r="A2299" s="3"/>
      <c r="B2299" s="165">
        <f t="shared" si="46"/>
        <v>45200</v>
      </c>
      <c r="C2299" s="57"/>
      <c r="D2299" s="3" t="s">
        <v>105</v>
      </c>
      <c r="E2299" s="18">
        <f t="shared" si="45"/>
        <v>0</v>
      </c>
      <c r="F2299" s="166">
        <f t="shared" si="45"/>
        <v>0</v>
      </c>
      <c r="G2299" s="166">
        <f t="shared" si="45"/>
        <v>0</v>
      </c>
      <c r="H2299" s="21">
        <f t="shared" si="45"/>
        <v>0</v>
      </c>
      <c r="I2299" s="21">
        <f t="shared" si="45"/>
        <v>0</v>
      </c>
      <c r="J2299" s="21">
        <f t="shared" si="44"/>
        <v>0</v>
      </c>
      <c r="K2299" s="21">
        <f t="shared" si="44"/>
        <v>0</v>
      </c>
      <c r="L2299" s="21">
        <f t="shared" si="42"/>
        <v>0</v>
      </c>
      <c r="M2299" s="21">
        <f t="shared" si="42"/>
        <v>0</v>
      </c>
      <c r="N2299" s="21">
        <f t="shared" si="42"/>
        <v>0</v>
      </c>
      <c r="O2299" s="19">
        <f t="shared" si="42"/>
        <v>0</v>
      </c>
      <c r="P2299" s="22">
        <f t="shared" si="42"/>
        <v>0</v>
      </c>
      <c r="Q2299" s="22">
        <f t="shared" si="42"/>
        <v>0</v>
      </c>
      <c r="R2299" s="236"/>
      <c r="S2299" s="234"/>
      <c r="T2299" s="235"/>
    </row>
    <row r="2300" spans="1:20" hidden="1" x14ac:dyDescent="0.35">
      <c r="A2300" s="3"/>
      <c r="B2300" s="165">
        <f t="shared" si="46"/>
        <v>45200</v>
      </c>
      <c r="C2300" s="57"/>
      <c r="D2300" s="3" t="s">
        <v>106</v>
      </c>
      <c r="E2300" s="18">
        <f t="shared" si="45"/>
        <v>197</v>
      </c>
      <c r="F2300" s="166">
        <f t="shared" si="45"/>
        <v>1207</v>
      </c>
      <c r="G2300" s="166">
        <f t="shared" si="45"/>
        <v>1291</v>
      </c>
      <c r="H2300" s="21">
        <f t="shared" si="45"/>
        <v>2875</v>
      </c>
      <c r="I2300" s="21">
        <f t="shared" si="45"/>
        <v>387</v>
      </c>
      <c r="J2300" s="21">
        <f t="shared" si="44"/>
        <v>1014</v>
      </c>
      <c r="K2300" s="21">
        <f t="shared" si="44"/>
        <v>212</v>
      </c>
      <c r="L2300" s="21">
        <f t="shared" si="42"/>
        <v>2121</v>
      </c>
      <c r="M2300" s="21">
        <f t="shared" si="42"/>
        <v>652</v>
      </c>
      <c r="N2300" s="21">
        <f t="shared" si="42"/>
        <v>1232</v>
      </c>
      <c r="O2300" s="19">
        <f t="shared" si="42"/>
        <v>2185</v>
      </c>
      <c r="P2300" s="22">
        <f t="shared" si="42"/>
        <v>196</v>
      </c>
      <c r="Q2300" s="22">
        <f t="shared" si="42"/>
        <v>134</v>
      </c>
      <c r="R2300" s="236"/>
      <c r="S2300" s="234"/>
      <c r="T2300" s="235"/>
    </row>
    <row r="2301" spans="1:20" hidden="1" x14ac:dyDescent="0.35">
      <c r="A2301" s="3"/>
      <c r="B2301" s="165">
        <f t="shared" si="46"/>
        <v>45200</v>
      </c>
      <c r="C2301" s="57"/>
      <c r="D2301" s="3" t="s">
        <v>107</v>
      </c>
      <c r="E2301" s="18">
        <f t="shared" si="45"/>
        <v>254</v>
      </c>
      <c r="F2301" s="166">
        <f t="shared" si="45"/>
        <v>1110</v>
      </c>
      <c r="G2301" s="166">
        <f t="shared" si="45"/>
        <v>1172</v>
      </c>
      <c r="H2301" s="21">
        <f t="shared" si="45"/>
        <v>1930</v>
      </c>
      <c r="I2301" s="21">
        <f t="shared" si="45"/>
        <v>289</v>
      </c>
      <c r="J2301" s="21">
        <f t="shared" si="44"/>
        <v>855</v>
      </c>
      <c r="K2301" s="21">
        <f t="shared" si="44"/>
        <v>212</v>
      </c>
      <c r="L2301" s="21">
        <f t="shared" si="42"/>
        <v>1866</v>
      </c>
      <c r="M2301" s="21">
        <f t="shared" si="42"/>
        <v>740</v>
      </c>
      <c r="N2301" s="21">
        <f t="shared" si="42"/>
        <v>1140</v>
      </c>
      <c r="O2301" s="19">
        <f t="shared" si="42"/>
        <v>2047</v>
      </c>
      <c r="P2301" s="22">
        <f t="shared" si="42"/>
        <v>289</v>
      </c>
      <c r="Q2301" s="22">
        <f t="shared" si="42"/>
        <v>172</v>
      </c>
      <c r="R2301" s="236"/>
      <c r="S2301" s="234"/>
      <c r="T2301" s="235"/>
    </row>
    <row r="2302" spans="1:20" hidden="1" x14ac:dyDescent="0.35">
      <c r="A2302" s="3"/>
      <c r="B2302" s="165">
        <f t="shared" si="46"/>
        <v>45200</v>
      </c>
      <c r="C2302" s="57"/>
      <c r="D2302" s="3" t="s">
        <v>108</v>
      </c>
      <c r="E2302" s="18">
        <f t="shared" si="45"/>
        <v>344</v>
      </c>
      <c r="F2302" s="166">
        <f t="shared" si="45"/>
        <v>1181</v>
      </c>
      <c r="G2302" s="166">
        <f t="shared" si="45"/>
        <v>1282</v>
      </c>
      <c r="H2302" s="21">
        <f t="shared" si="45"/>
        <v>2258</v>
      </c>
      <c r="I2302" s="21">
        <f t="shared" si="45"/>
        <v>316</v>
      </c>
      <c r="J2302" s="21">
        <f t="shared" si="44"/>
        <v>964</v>
      </c>
      <c r="K2302" s="21">
        <f t="shared" si="44"/>
        <v>203</v>
      </c>
      <c r="L2302" s="21">
        <f t="shared" si="42"/>
        <v>2381</v>
      </c>
      <c r="M2302" s="21">
        <f t="shared" si="42"/>
        <v>706</v>
      </c>
      <c r="N2302" s="21">
        <f t="shared" si="42"/>
        <v>1204</v>
      </c>
      <c r="O2302" s="19">
        <f t="shared" si="42"/>
        <v>2323</v>
      </c>
      <c r="P2302" s="22">
        <f t="shared" si="42"/>
        <v>347</v>
      </c>
      <c r="Q2302" s="22">
        <f t="shared" si="42"/>
        <v>242</v>
      </c>
      <c r="R2302" s="236"/>
      <c r="S2302" s="234"/>
      <c r="T2302" s="235"/>
    </row>
    <row r="2303" spans="1:20" hidden="1" x14ac:dyDescent="0.35">
      <c r="A2303" s="3"/>
      <c r="B2303" s="165">
        <f t="shared" si="46"/>
        <v>45200</v>
      </c>
      <c r="C2303" s="57"/>
      <c r="D2303" s="3" t="s">
        <v>109</v>
      </c>
      <c r="E2303" s="18">
        <f t="shared" si="45"/>
        <v>430</v>
      </c>
      <c r="F2303" s="166">
        <f t="shared" si="45"/>
        <v>2331</v>
      </c>
      <c r="G2303" s="166">
        <f t="shared" si="45"/>
        <v>2169</v>
      </c>
      <c r="H2303" s="21">
        <f t="shared" si="45"/>
        <v>4869</v>
      </c>
      <c r="I2303" s="21">
        <f t="shared" si="45"/>
        <v>544</v>
      </c>
      <c r="J2303" s="21">
        <f t="shared" si="44"/>
        <v>2937</v>
      </c>
      <c r="K2303" s="21">
        <f t="shared" si="44"/>
        <v>419</v>
      </c>
      <c r="L2303" s="21">
        <f t="shared" si="42"/>
        <v>4098</v>
      </c>
      <c r="M2303" s="21">
        <f t="shared" si="42"/>
        <v>1130</v>
      </c>
      <c r="N2303" s="21">
        <f t="shared" si="42"/>
        <v>2372</v>
      </c>
      <c r="O2303" s="19">
        <f t="shared" si="42"/>
        <v>3933</v>
      </c>
      <c r="P2303" s="22">
        <f t="shared" si="42"/>
        <v>189</v>
      </c>
      <c r="Q2303" s="22">
        <f t="shared" si="42"/>
        <v>141</v>
      </c>
      <c r="R2303" s="236"/>
      <c r="S2303" s="234"/>
      <c r="T2303" s="235"/>
    </row>
    <row r="2304" spans="1:20" hidden="1" x14ac:dyDescent="0.35">
      <c r="A2304" s="3"/>
      <c r="B2304" s="165">
        <f t="shared" si="46"/>
        <v>45200</v>
      </c>
      <c r="C2304" s="57"/>
      <c r="D2304" s="3" t="s">
        <v>110</v>
      </c>
      <c r="E2304" s="18">
        <f t="shared" si="45"/>
        <v>0</v>
      </c>
      <c r="F2304" s="166">
        <f t="shared" si="45"/>
        <v>0</v>
      </c>
      <c r="G2304" s="166">
        <f t="shared" si="45"/>
        <v>0</v>
      </c>
      <c r="H2304" s="21">
        <f t="shared" si="45"/>
        <v>0</v>
      </c>
      <c r="I2304" s="21">
        <f t="shared" si="45"/>
        <v>0</v>
      </c>
      <c r="J2304" s="21">
        <f t="shared" si="44"/>
        <v>0</v>
      </c>
      <c r="K2304" s="21">
        <f t="shared" si="44"/>
        <v>0</v>
      </c>
      <c r="L2304" s="21">
        <f t="shared" si="42"/>
        <v>0</v>
      </c>
      <c r="M2304" s="21">
        <f t="shared" si="42"/>
        <v>0</v>
      </c>
      <c r="N2304" s="21">
        <f t="shared" si="42"/>
        <v>0</v>
      </c>
      <c r="O2304" s="19">
        <f t="shared" si="42"/>
        <v>0</v>
      </c>
      <c r="P2304" s="22">
        <f t="shared" si="42"/>
        <v>0</v>
      </c>
      <c r="Q2304" s="22">
        <f t="shared" si="42"/>
        <v>0</v>
      </c>
      <c r="R2304" s="236"/>
      <c r="S2304" s="234"/>
      <c r="T2304" s="235"/>
    </row>
    <row r="2305" spans="1:20" hidden="1" x14ac:dyDescent="0.35">
      <c r="A2305" s="3"/>
      <c r="B2305" s="165">
        <f>DATE(YEAR(B2304+31),MONTH(B2304+31),1)</f>
        <v>45231</v>
      </c>
      <c r="C2305" s="57"/>
      <c r="D2305" s="3" t="s">
        <v>16</v>
      </c>
      <c r="E2305" s="18">
        <f t="shared" si="45"/>
        <v>446</v>
      </c>
      <c r="F2305" s="166">
        <f t="shared" si="45"/>
        <v>1943</v>
      </c>
      <c r="G2305" s="166">
        <f t="shared" si="45"/>
        <v>1917</v>
      </c>
      <c r="H2305" s="21">
        <f t="shared" si="45"/>
        <v>3590</v>
      </c>
      <c r="I2305" s="21">
        <f t="shared" si="45"/>
        <v>468</v>
      </c>
      <c r="J2305" s="21">
        <f t="shared" si="44"/>
        <v>1484</v>
      </c>
      <c r="K2305" s="21">
        <f t="shared" si="44"/>
        <v>271</v>
      </c>
      <c r="L2305" s="21">
        <f t="shared" si="42"/>
        <v>3168</v>
      </c>
      <c r="M2305" s="21">
        <f t="shared" si="42"/>
        <v>1162</v>
      </c>
      <c r="N2305" s="21">
        <f t="shared" si="42"/>
        <v>1960</v>
      </c>
      <c r="O2305" s="19">
        <f t="shared" si="42"/>
        <v>4048</v>
      </c>
      <c r="P2305" s="22">
        <f t="shared" si="42"/>
        <v>284</v>
      </c>
      <c r="Q2305" s="22">
        <f t="shared" si="42"/>
        <v>168</v>
      </c>
      <c r="R2305" s="236"/>
      <c r="S2305" s="234"/>
      <c r="T2305" s="235"/>
    </row>
    <row r="2306" spans="1:20" hidden="1" x14ac:dyDescent="0.35">
      <c r="A2306" s="3"/>
      <c r="B2306" s="165">
        <f t="shared" si="46"/>
        <v>45231</v>
      </c>
      <c r="C2306" s="57"/>
      <c r="D2306" s="3" t="s">
        <v>104</v>
      </c>
      <c r="E2306" s="18">
        <f t="shared" si="45"/>
        <v>0</v>
      </c>
      <c r="F2306" s="166">
        <f t="shared" si="45"/>
        <v>0</v>
      </c>
      <c r="G2306" s="166">
        <f t="shared" si="45"/>
        <v>0</v>
      </c>
      <c r="H2306" s="21">
        <f t="shared" si="45"/>
        <v>0</v>
      </c>
      <c r="I2306" s="21">
        <f t="shared" si="45"/>
        <v>0</v>
      </c>
      <c r="J2306" s="21">
        <f t="shared" si="44"/>
        <v>0</v>
      </c>
      <c r="K2306" s="21">
        <f t="shared" si="44"/>
        <v>0</v>
      </c>
      <c r="L2306" s="21">
        <f t="shared" si="42"/>
        <v>0</v>
      </c>
      <c r="M2306" s="21">
        <f t="shared" si="42"/>
        <v>0</v>
      </c>
      <c r="N2306" s="21">
        <f t="shared" si="42"/>
        <v>0</v>
      </c>
      <c r="O2306" s="19">
        <f t="shared" si="42"/>
        <v>0</v>
      </c>
      <c r="P2306" s="22">
        <f t="shared" si="42"/>
        <v>0</v>
      </c>
      <c r="Q2306" s="22">
        <f t="shared" si="42"/>
        <v>0</v>
      </c>
      <c r="R2306" s="236"/>
      <c r="S2306" s="234"/>
      <c r="T2306" s="235"/>
    </row>
    <row r="2307" spans="1:20" hidden="1" x14ac:dyDescent="0.35">
      <c r="A2307" s="3"/>
      <c r="B2307" s="165">
        <f t="shared" si="46"/>
        <v>45231</v>
      </c>
      <c r="C2307" s="57"/>
      <c r="D2307" s="3" t="s">
        <v>105</v>
      </c>
      <c r="E2307" s="18">
        <f t="shared" si="45"/>
        <v>0</v>
      </c>
      <c r="F2307" s="166">
        <f t="shared" si="45"/>
        <v>0</v>
      </c>
      <c r="G2307" s="166">
        <f t="shared" si="45"/>
        <v>0</v>
      </c>
      <c r="H2307" s="21">
        <f t="shared" si="45"/>
        <v>0</v>
      </c>
      <c r="I2307" s="21">
        <f t="shared" si="45"/>
        <v>0</v>
      </c>
      <c r="J2307" s="21">
        <f t="shared" si="44"/>
        <v>0</v>
      </c>
      <c r="K2307" s="21">
        <f t="shared" si="44"/>
        <v>0</v>
      </c>
      <c r="L2307" s="21">
        <f t="shared" si="42"/>
        <v>0</v>
      </c>
      <c r="M2307" s="21">
        <f t="shared" si="42"/>
        <v>0</v>
      </c>
      <c r="N2307" s="21">
        <f t="shared" si="42"/>
        <v>0</v>
      </c>
      <c r="O2307" s="19">
        <f t="shared" si="42"/>
        <v>0</v>
      </c>
      <c r="P2307" s="22">
        <f t="shared" si="42"/>
        <v>0</v>
      </c>
      <c r="Q2307" s="22">
        <f t="shared" si="42"/>
        <v>0</v>
      </c>
      <c r="R2307" s="236"/>
      <c r="S2307" s="234"/>
      <c r="T2307" s="235"/>
    </row>
    <row r="2308" spans="1:20" hidden="1" x14ac:dyDescent="0.35">
      <c r="A2308" s="3"/>
      <c r="B2308" s="165">
        <f t="shared" si="46"/>
        <v>45231</v>
      </c>
      <c r="C2308" s="57"/>
      <c r="D2308" s="3" t="s">
        <v>105</v>
      </c>
      <c r="E2308" s="18">
        <f t="shared" si="45"/>
        <v>0</v>
      </c>
      <c r="F2308" s="166">
        <f t="shared" si="45"/>
        <v>0</v>
      </c>
      <c r="G2308" s="166">
        <f t="shared" si="45"/>
        <v>0</v>
      </c>
      <c r="H2308" s="21">
        <f t="shared" si="45"/>
        <v>0</v>
      </c>
      <c r="I2308" s="21">
        <f t="shared" si="45"/>
        <v>0</v>
      </c>
      <c r="J2308" s="21">
        <f t="shared" si="44"/>
        <v>0</v>
      </c>
      <c r="K2308" s="21">
        <f t="shared" si="44"/>
        <v>0</v>
      </c>
      <c r="L2308" s="21">
        <f t="shared" si="42"/>
        <v>0</v>
      </c>
      <c r="M2308" s="21">
        <f t="shared" si="42"/>
        <v>0</v>
      </c>
      <c r="N2308" s="21">
        <f t="shared" si="42"/>
        <v>0</v>
      </c>
      <c r="O2308" s="19">
        <f t="shared" si="42"/>
        <v>0</v>
      </c>
      <c r="P2308" s="22">
        <f t="shared" si="42"/>
        <v>0</v>
      </c>
      <c r="Q2308" s="22">
        <f t="shared" si="42"/>
        <v>0</v>
      </c>
      <c r="R2308" s="236"/>
      <c r="S2308" s="234"/>
      <c r="T2308" s="235"/>
    </row>
    <row r="2309" spans="1:20" hidden="1" x14ac:dyDescent="0.35">
      <c r="A2309" s="3"/>
      <c r="B2309" s="165">
        <f t="shared" si="46"/>
        <v>45231</v>
      </c>
      <c r="C2309" s="57"/>
      <c r="D2309" s="3" t="s">
        <v>106</v>
      </c>
      <c r="E2309" s="18">
        <f t="shared" si="45"/>
        <v>204</v>
      </c>
      <c r="F2309" s="166">
        <f t="shared" si="45"/>
        <v>1255</v>
      </c>
      <c r="G2309" s="166">
        <f t="shared" si="45"/>
        <v>1124</v>
      </c>
      <c r="H2309" s="21">
        <f t="shared" si="45"/>
        <v>2756</v>
      </c>
      <c r="I2309" s="21">
        <f t="shared" si="45"/>
        <v>391</v>
      </c>
      <c r="J2309" s="21">
        <f t="shared" si="44"/>
        <v>987</v>
      </c>
      <c r="K2309" s="21">
        <f t="shared" si="44"/>
        <v>197</v>
      </c>
      <c r="L2309" s="21">
        <f t="shared" si="42"/>
        <v>2037</v>
      </c>
      <c r="M2309" s="21">
        <f t="shared" si="42"/>
        <v>676</v>
      </c>
      <c r="N2309" s="21">
        <f t="shared" si="42"/>
        <v>1264</v>
      </c>
      <c r="O2309" s="19">
        <f t="shared" si="42"/>
        <v>2090</v>
      </c>
      <c r="P2309" s="22">
        <f t="shared" si="42"/>
        <v>223</v>
      </c>
      <c r="Q2309" s="22">
        <f t="shared" si="42"/>
        <v>164</v>
      </c>
      <c r="R2309" s="236"/>
      <c r="S2309" s="234"/>
      <c r="T2309" s="235"/>
    </row>
    <row r="2310" spans="1:20" hidden="1" x14ac:dyDescent="0.35">
      <c r="A2310" s="3"/>
      <c r="B2310" s="165">
        <f t="shared" si="46"/>
        <v>45231</v>
      </c>
      <c r="C2310" s="57"/>
      <c r="D2310" s="3" t="s">
        <v>107</v>
      </c>
      <c r="E2310" s="18">
        <f t="shared" si="45"/>
        <v>254</v>
      </c>
      <c r="F2310" s="166">
        <f t="shared" si="45"/>
        <v>1218</v>
      </c>
      <c r="G2310" s="166">
        <f t="shared" si="45"/>
        <v>1308</v>
      </c>
      <c r="H2310" s="21">
        <f t="shared" si="45"/>
        <v>2005</v>
      </c>
      <c r="I2310" s="21">
        <f t="shared" si="45"/>
        <v>329</v>
      </c>
      <c r="J2310" s="21">
        <f t="shared" si="44"/>
        <v>935</v>
      </c>
      <c r="K2310" s="21">
        <f t="shared" si="44"/>
        <v>216</v>
      </c>
      <c r="L2310" s="21">
        <f t="shared" si="42"/>
        <v>1940</v>
      </c>
      <c r="M2310" s="21">
        <f t="shared" si="42"/>
        <v>771</v>
      </c>
      <c r="N2310" s="21">
        <f t="shared" si="42"/>
        <v>1244</v>
      </c>
      <c r="O2310" s="19">
        <f t="shared" si="42"/>
        <v>2068</v>
      </c>
      <c r="P2310" s="22">
        <f t="shared" si="42"/>
        <v>349</v>
      </c>
      <c r="Q2310" s="22">
        <f t="shared" si="42"/>
        <v>223</v>
      </c>
      <c r="R2310" s="236"/>
      <c r="S2310" s="234"/>
      <c r="T2310" s="235"/>
    </row>
    <row r="2311" spans="1:20" hidden="1" x14ac:dyDescent="0.35">
      <c r="A2311" s="3"/>
      <c r="B2311" s="165">
        <f t="shared" si="46"/>
        <v>45231</v>
      </c>
      <c r="C2311" s="57"/>
      <c r="D2311" s="3" t="s">
        <v>108</v>
      </c>
      <c r="E2311" s="18">
        <f t="shared" si="45"/>
        <v>344</v>
      </c>
      <c r="F2311" s="166">
        <f t="shared" si="45"/>
        <v>1282</v>
      </c>
      <c r="G2311" s="166">
        <f t="shared" si="45"/>
        <v>1319</v>
      </c>
      <c r="H2311" s="21">
        <f t="shared" si="45"/>
        <v>2520</v>
      </c>
      <c r="I2311" s="21">
        <f t="shared" si="45"/>
        <v>350</v>
      </c>
      <c r="J2311" s="21">
        <f t="shared" si="44"/>
        <v>969</v>
      </c>
      <c r="K2311" s="21">
        <f t="shared" si="44"/>
        <v>199</v>
      </c>
      <c r="L2311" s="21">
        <f t="shared" si="42"/>
        <v>2605</v>
      </c>
      <c r="M2311" s="21">
        <f t="shared" si="42"/>
        <v>762</v>
      </c>
      <c r="N2311" s="21">
        <f t="shared" si="42"/>
        <v>1297</v>
      </c>
      <c r="O2311" s="19">
        <f t="shared" si="42"/>
        <v>2288</v>
      </c>
      <c r="P2311" s="22">
        <f t="shared" si="42"/>
        <v>308</v>
      </c>
      <c r="Q2311" s="22">
        <f t="shared" si="42"/>
        <v>216</v>
      </c>
      <c r="R2311" s="236"/>
      <c r="S2311" s="234"/>
      <c r="T2311" s="235"/>
    </row>
    <row r="2312" spans="1:20" hidden="1" x14ac:dyDescent="0.35">
      <c r="A2312" s="3"/>
      <c r="B2312" s="165">
        <f t="shared" si="46"/>
        <v>45231</v>
      </c>
      <c r="C2312" s="57"/>
      <c r="D2312" s="3" t="s">
        <v>109</v>
      </c>
      <c r="E2312" s="18">
        <f t="shared" si="45"/>
        <v>482</v>
      </c>
      <c r="F2312" s="166">
        <f t="shared" si="45"/>
        <v>2437</v>
      </c>
      <c r="G2312" s="166">
        <f t="shared" si="45"/>
        <v>2248</v>
      </c>
      <c r="H2312" s="21">
        <f t="shared" si="45"/>
        <v>4888</v>
      </c>
      <c r="I2312" s="21">
        <f t="shared" si="45"/>
        <v>532</v>
      </c>
      <c r="J2312" s="21">
        <f t="shared" si="44"/>
        <v>2623</v>
      </c>
      <c r="K2312" s="21">
        <f t="shared" si="44"/>
        <v>444</v>
      </c>
      <c r="L2312" s="21">
        <f t="shared" si="42"/>
        <v>4220</v>
      </c>
      <c r="M2312" s="21">
        <f t="shared" si="42"/>
        <v>1291</v>
      </c>
      <c r="N2312" s="21">
        <f t="shared" si="42"/>
        <v>2479</v>
      </c>
      <c r="O2312" s="19">
        <f t="shared" si="42"/>
        <v>3784</v>
      </c>
      <c r="P2312" s="22">
        <f t="shared" si="42"/>
        <v>194</v>
      </c>
      <c r="Q2312" s="22">
        <f t="shared" si="42"/>
        <v>142</v>
      </c>
      <c r="R2312" s="236"/>
      <c r="S2312" s="234"/>
      <c r="T2312" s="235"/>
    </row>
    <row r="2313" spans="1:20" hidden="1" x14ac:dyDescent="0.35">
      <c r="A2313" s="3"/>
      <c r="B2313" s="165">
        <f t="shared" si="46"/>
        <v>45231</v>
      </c>
      <c r="C2313" s="57"/>
      <c r="D2313" s="3" t="s">
        <v>110</v>
      </c>
      <c r="E2313" s="18">
        <f t="shared" si="45"/>
        <v>0</v>
      </c>
      <c r="F2313" s="166">
        <f t="shared" si="45"/>
        <v>0</v>
      </c>
      <c r="G2313" s="166">
        <f t="shared" si="45"/>
        <v>0</v>
      </c>
      <c r="H2313" s="21">
        <f t="shared" si="45"/>
        <v>0</v>
      </c>
      <c r="I2313" s="21">
        <f t="shared" si="45"/>
        <v>0</v>
      </c>
      <c r="J2313" s="21">
        <f t="shared" si="44"/>
        <v>0</v>
      </c>
      <c r="K2313" s="21">
        <f t="shared" si="44"/>
        <v>0</v>
      </c>
      <c r="L2313" s="21">
        <f t="shared" si="42"/>
        <v>0</v>
      </c>
      <c r="M2313" s="21">
        <f t="shared" si="42"/>
        <v>0</v>
      </c>
      <c r="N2313" s="21">
        <f t="shared" si="42"/>
        <v>0</v>
      </c>
      <c r="O2313" s="19">
        <f t="shared" si="42"/>
        <v>0</v>
      </c>
      <c r="P2313" s="22">
        <f t="shared" si="42"/>
        <v>0</v>
      </c>
      <c r="Q2313" s="22">
        <f t="shared" si="42"/>
        <v>0</v>
      </c>
      <c r="R2313" s="236"/>
      <c r="S2313" s="234"/>
      <c r="T2313" s="235"/>
    </row>
    <row r="2314" spans="1:20" hidden="1" x14ac:dyDescent="0.35">
      <c r="A2314" s="3"/>
      <c r="B2314" s="165">
        <f>DATE(YEAR(B2313+31),MONTH(B2313+31),1)</f>
        <v>45261</v>
      </c>
      <c r="C2314" s="57"/>
      <c r="D2314" s="3" t="s">
        <v>16</v>
      </c>
      <c r="E2314" s="18">
        <f t="shared" si="45"/>
        <v>526</v>
      </c>
      <c r="F2314" s="166">
        <f t="shared" si="45"/>
        <v>2340</v>
      </c>
      <c r="G2314" s="166">
        <f t="shared" si="45"/>
        <v>2242</v>
      </c>
      <c r="H2314" s="21">
        <f t="shared" si="45"/>
        <v>3914</v>
      </c>
      <c r="I2314" s="21">
        <f t="shared" si="45"/>
        <v>553</v>
      </c>
      <c r="J2314" s="21">
        <f t="shared" si="44"/>
        <v>1763</v>
      </c>
      <c r="K2314" s="21">
        <f t="shared" si="44"/>
        <v>368</v>
      </c>
      <c r="L2314" s="21">
        <f t="shared" si="42"/>
        <v>3734</v>
      </c>
      <c r="M2314" s="21">
        <f t="shared" si="42"/>
        <v>1391</v>
      </c>
      <c r="N2314" s="21">
        <f t="shared" si="42"/>
        <v>2391</v>
      </c>
      <c r="O2314" s="19">
        <f t="shared" si="42"/>
        <v>4209</v>
      </c>
      <c r="P2314" s="22">
        <f t="shared" si="42"/>
        <v>374</v>
      </c>
      <c r="Q2314" s="22">
        <f t="shared" si="42"/>
        <v>193</v>
      </c>
      <c r="R2314" s="236"/>
      <c r="S2314" s="234"/>
      <c r="T2314" s="235"/>
    </row>
    <row r="2315" spans="1:20" hidden="1" x14ac:dyDescent="0.35">
      <c r="A2315" s="3"/>
      <c r="B2315" s="165">
        <f t="shared" si="46"/>
        <v>45261</v>
      </c>
      <c r="C2315" s="57"/>
      <c r="D2315" s="3" t="s">
        <v>104</v>
      </c>
      <c r="E2315" s="18">
        <f t="shared" si="45"/>
        <v>0</v>
      </c>
      <c r="F2315" s="166">
        <f t="shared" si="45"/>
        <v>0</v>
      </c>
      <c r="G2315" s="166">
        <f t="shared" si="45"/>
        <v>0</v>
      </c>
      <c r="H2315" s="21">
        <f t="shared" si="45"/>
        <v>0</v>
      </c>
      <c r="I2315" s="21">
        <f t="shared" si="45"/>
        <v>0</v>
      </c>
      <c r="J2315" s="21">
        <f t="shared" si="44"/>
        <v>0</v>
      </c>
      <c r="K2315" s="21">
        <f t="shared" si="44"/>
        <v>0</v>
      </c>
      <c r="L2315" s="21">
        <f t="shared" si="42"/>
        <v>0</v>
      </c>
      <c r="M2315" s="21">
        <f t="shared" si="42"/>
        <v>0</v>
      </c>
      <c r="N2315" s="21">
        <f t="shared" si="42"/>
        <v>0</v>
      </c>
      <c r="O2315" s="19">
        <f t="shared" si="42"/>
        <v>0</v>
      </c>
      <c r="P2315" s="22">
        <f t="shared" si="42"/>
        <v>0</v>
      </c>
      <c r="Q2315" s="22">
        <f t="shared" si="42"/>
        <v>0</v>
      </c>
      <c r="R2315" s="236"/>
      <c r="S2315" s="234"/>
      <c r="T2315" s="235"/>
    </row>
    <row r="2316" spans="1:20" hidden="1" x14ac:dyDescent="0.35">
      <c r="A2316" s="3"/>
      <c r="B2316" s="165">
        <f t="shared" si="46"/>
        <v>45261</v>
      </c>
      <c r="C2316" s="57"/>
      <c r="D2316" s="3" t="s">
        <v>105</v>
      </c>
      <c r="E2316" s="18">
        <f t="shared" si="45"/>
        <v>0</v>
      </c>
      <c r="F2316" s="166">
        <f t="shared" si="45"/>
        <v>0</v>
      </c>
      <c r="G2316" s="166">
        <f t="shared" si="45"/>
        <v>0</v>
      </c>
      <c r="H2316" s="21">
        <f t="shared" si="45"/>
        <v>0</v>
      </c>
      <c r="I2316" s="21">
        <f t="shared" si="45"/>
        <v>0</v>
      </c>
      <c r="J2316" s="21">
        <f t="shared" si="44"/>
        <v>0</v>
      </c>
      <c r="K2316" s="21">
        <f t="shared" si="44"/>
        <v>0</v>
      </c>
      <c r="L2316" s="21">
        <f t="shared" si="42"/>
        <v>0</v>
      </c>
      <c r="M2316" s="21">
        <f t="shared" si="42"/>
        <v>0</v>
      </c>
      <c r="N2316" s="21">
        <f t="shared" si="42"/>
        <v>0</v>
      </c>
      <c r="O2316" s="19">
        <f t="shared" si="42"/>
        <v>0</v>
      </c>
      <c r="P2316" s="22">
        <f t="shared" si="42"/>
        <v>0</v>
      </c>
      <c r="Q2316" s="22">
        <f t="shared" si="42"/>
        <v>0</v>
      </c>
      <c r="R2316" s="236"/>
      <c r="S2316" s="234"/>
      <c r="T2316" s="235"/>
    </row>
    <row r="2317" spans="1:20" hidden="1" x14ac:dyDescent="0.35">
      <c r="A2317" s="3"/>
      <c r="B2317" s="165">
        <f t="shared" si="46"/>
        <v>45261</v>
      </c>
      <c r="C2317" s="57"/>
      <c r="D2317" s="3" t="s">
        <v>105</v>
      </c>
      <c r="E2317" s="18">
        <f t="shared" si="45"/>
        <v>0</v>
      </c>
      <c r="F2317" s="166">
        <f t="shared" si="45"/>
        <v>0</v>
      </c>
      <c r="G2317" s="166">
        <f t="shared" si="45"/>
        <v>0</v>
      </c>
      <c r="H2317" s="21">
        <f t="shared" si="45"/>
        <v>0</v>
      </c>
      <c r="I2317" s="21">
        <f t="shared" si="45"/>
        <v>0</v>
      </c>
      <c r="J2317" s="21">
        <f t="shared" si="44"/>
        <v>0</v>
      </c>
      <c r="K2317" s="21">
        <f t="shared" si="44"/>
        <v>0</v>
      </c>
      <c r="L2317" s="21">
        <f t="shared" si="42"/>
        <v>0</v>
      </c>
      <c r="M2317" s="21">
        <f t="shared" si="42"/>
        <v>0</v>
      </c>
      <c r="N2317" s="21">
        <f t="shared" si="42"/>
        <v>0</v>
      </c>
      <c r="O2317" s="19">
        <f t="shared" si="42"/>
        <v>0</v>
      </c>
      <c r="P2317" s="22">
        <f t="shared" si="42"/>
        <v>0</v>
      </c>
      <c r="Q2317" s="22">
        <f t="shared" si="42"/>
        <v>0</v>
      </c>
      <c r="R2317" s="236"/>
      <c r="S2317" s="234"/>
      <c r="T2317" s="235"/>
    </row>
    <row r="2318" spans="1:20" hidden="1" x14ac:dyDescent="0.35">
      <c r="A2318" s="3"/>
      <c r="B2318" s="165">
        <f t="shared" si="46"/>
        <v>45261</v>
      </c>
      <c r="C2318" s="57"/>
      <c r="D2318" s="3" t="s">
        <v>106</v>
      </c>
      <c r="E2318" s="18">
        <f t="shared" si="45"/>
        <v>223</v>
      </c>
      <c r="F2318" s="166">
        <f t="shared" si="45"/>
        <v>1413</v>
      </c>
      <c r="G2318" s="166">
        <f t="shared" si="45"/>
        <v>1406</v>
      </c>
      <c r="H2318" s="21">
        <f t="shared" si="45"/>
        <v>3049</v>
      </c>
      <c r="I2318" s="21">
        <f t="shared" si="45"/>
        <v>435</v>
      </c>
      <c r="J2318" s="21">
        <f t="shared" si="44"/>
        <v>1111</v>
      </c>
      <c r="K2318" s="21">
        <f t="shared" si="44"/>
        <v>250</v>
      </c>
      <c r="L2318" s="21">
        <f t="shared" si="42"/>
        <v>2421</v>
      </c>
      <c r="M2318" s="21">
        <f t="shared" si="42"/>
        <v>754</v>
      </c>
      <c r="N2318" s="21">
        <f t="shared" si="42"/>
        <v>1424</v>
      </c>
      <c r="O2318" s="19">
        <f t="shared" si="42"/>
        <v>2231</v>
      </c>
      <c r="P2318" s="22">
        <f t="shared" si="42"/>
        <v>279</v>
      </c>
      <c r="Q2318" s="22">
        <f t="shared" si="42"/>
        <v>179</v>
      </c>
      <c r="R2318" s="236"/>
      <c r="S2318" s="234"/>
      <c r="T2318" s="235"/>
    </row>
    <row r="2319" spans="1:20" hidden="1" x14ac:dyDescent="0.35">
      <c r="A2319" s="3"/>
      <c r="B2319" s="165">
        <f t="shared" si="46"/>
        <v>45261</v>
      </c>
      <c r="C2319" s="57"/>
      <c r="D2319" s="3" t="s">
        <v>107</v>
      </c>
      <c r="E2319" s="18">
        <f t="shared" si="45"/>
        <v>259</v>
      </c>
      <c r="F2319" s="166">
        <f t="shared" si="45"/>
        <v>1458</v>
      </c>
      <c r="G2319" s="166">
        <f t="shared" si="45"/>
        <v>1500</v>
      </c>
      <c r="H2319" s="21">
        <f t="shared" si="45"/>
        <v>2206</v>
      </c>
      <c r="I2319" s="21">
        <f t="shared" si="45"/>
        <v>367</v>
      </c>
      <c r="J2319" s="21">
        <f t="shared" si="44"/>
        <v>1024</v>
      </c>
      <c r="K2319" s="21">
        <f t="shared" si="44"/>
        <v>265</v>
      </c>
      <c r="L2319" s="21">
        <f t="shared" si="42"/>
        <v>2186</v>
      </c>
      <c r="M2319" s="21">
        <f t="shared" si="42"/>
        <v>885</v>
      </c>
      <c r="N2319" s="21">
        <f t="shared" si="42"/>
        <v>1482</v>
      </c>
      <c r="O2319" s="19">
        <f t="shared" si="42"/>
        <v>2231</v>
      </c>
      <c r="P2319" s="22">
        <f t="shared" si="42"/>
        <v>442</v>
      </c>
      <c r="Q2319" s="22">
        <f t="shared" si="42"/>
        <v>268</v>
      </c>
      <c r="R2319" s="236"/>
      <c r="S2319" s="234"/>
      <c r="T2319" s="235"/>
    </row>
    <row r="2320" spans="1:20" hidden="1" x14ac:dyDescent="0.35">
      <c r="A2320" s="3"/>
      <c r="B2320" s="165">
        <f t="shared" si="46"/>
        <v>45261</v>
      </c>
      <c r="C2320" s="57"/>
      <c r="D2320" s="3" t="s">
        <v>108</v>
      </c>
      <c r="E2320" s="18">
        <f t="shared" si="45"/>
        <v>376</v>
      </c>
      <c r="F2320" s="166">
        <f t="shared" si="45"/>
        <v>1556</v>
      </c>
      <c r="G2320" s="166">
        <f t="shared" si="45"/>
        <v>1370</v>
      </c>
      <c r="H2320" s="21">
        <f t="shared" si="45"/>
        <v>2852</v>
      </c>
      <c r="I2320" s="21">
        <f t="shared" si="45"/>
        <v>463</v>
      </c>
      <c r="J2320" s="21">
        <f t="shared" si="44"/>
        <v>1099</v>
      </c>
      <c r="K2320" s="21">
        <f t="shared" si="44"/>
        <v>247</v>
      </c>
      <c r="L2320" s="21">
        <f t="shared" si="42"/>
        <v>2918</v>
      </c>
      <c r="M2320" s="21">
        <f t="shared" si="42"/>
        <v>876</v>
      </c>
      <c r="N2320" s="21">
        <f t="shared" si="42"/>
        <v>1569</v>
      </c>
      <c r="O2320" s="19">
        <f t="shared" si="42"/>
        <v>2507</v>
      </c>
      <c r="P2320" s="22">
        <f t="shared" si="42"/>
        <v>359</v>
      </c>
      <c r="Q2320" s="22">
        <f t="shared" si="42"/>
        <v>240</v>
      </c>
      <c r="R2320" s="236"/>
      <c r="S2320" s="234"/>
      <c r="T2320" s="235"/>
    </row>
    <row r="2321" spans="1:20" hidden="1" x14ac:dyDescent="0.35">
      <c r="A2321" s="3"/>
      <c r="B2321" s="165">
        <f t="shared" si="46"/>
        <v>45261</v>
      </c>
      <c r="C2321" s="57"/>
      <c r="D2321" s="3" t="s">
        <v>109</v>
      </c>
      <c r="E2321" s="18">
        <f t="shared" si="45"/>
        <v>535</v>
      </c>
      <c r="F2321" s="166">
        <f t="shared" si="45"/>
        <v>2938</v>
      </c>
      <c r="G2321" s="166">
        <f t="shared" si="45"/>
        <v>2436</v>
      </c>
      <c r="H2321" s="21">
        <f t="shared" si="45"/>
        <v>5726</v>
      </c>
      <c r="I2321" s="21">
        <f t="shared" si="45"/>
        <v>694</v>
      </c>
      <c r="J2321" s="21">
        <f t="shared" si="44"/>
        <v>2981</v>
      </c>
      <c r="K2321" s="21">
        <f t="shared" si="44"/>
        <v>508</v>
      </c>
      <c r="L2321" s="21">
        <f t="shared" si="42"/>
        <v>4860</v>
      </c>
      <c r="M2321" s="21">
        <f t="shared" si="42"/>
        <v>1525</v>
      </c>
      <c r="N2321" s="21">
        <f t="shared" si="42"/>
        <v>2962</v>
      </c>
      <c r="O2321" s="19">
        <f t="shared" si="42"/>
        <v>4048</v>
      </c>
      <c r="P2321" s="22">
        <f t="shared" si="42"/>
        <v>224</v>
      </c>
      <c r="Q2321" s="22">
        <f t="shared" si="42"/>
        <v>160</v>
      </c>
      <c r="R2321" s="236"/>
      <c r="S2321" s="234"/>
      <c r="T2321" s="235"/>
    </row>
    <row r="2322" spans="1:20" hidden="1" x14ac:dyDescent="0.35">
      <c r="A2322" s="3"/>
      <c r="B2322" s="165">
        <f t="shared" si="46"/>
        <v>45261</v>
      </c>
      <c r="C2322" s="57"/>
      <c r="D2322" s="3" t="s">
        <v>110</v>
      </c>
      <c r="E2322" s="18">
        <f t="shared" si="45"/>
        <v>0</v>
      </c>
      <c r="F2322" s="166">
        <f t="shared" si="45"/>
        <v>0</v>
      </c>
      <c r="G2322" s="166">
        <f t="shared" si="45"/>
        <v>0</v>
      </c>
      <c r="H2322" s="21">
        <f t="shared" si="45"/>
        <v>0</v>
      </c>
      <c r="I2322" s="21">
        <f t="shared" si="45"/>
        <v>0</v>
      </c>
      <c r="J2322" s="21">
        <f t="shared" si="44"/>
        <v>0</v>
      </c>
      <c r="K2322" s="21">
        <f t="shared" si="44"/>
        <v>0</v>
      </c>
      <c r="L2322" s="21">
        <f t="shared" si="42"/>
        <v>0</v>
      </c>
      <c r="M2322" s="21">
        <f t="shared" si="42"/>
        <v>0</v>
      </c>
      <c r="N2322" s="21">
        <f t="shared" si="42"/>
        <v>0</v>
      </c>
      <c r="O2322" s="19">
        <f t="shared" si="42"/>
        <v>0</v>
      </c>
      <c r="P2322" s="22">
        <f t="shared" si="42"/>
        <v>0</v>
      </c>
      <c r="Q2322" s="22">
        <f t="shared" si="42"/>
        <v>0</v>
      </c>
      <c r="R2322" s="236"/>
      <c r="S2322" s="234"/>
      <c r="T2322" s="235"/>
    </row>
    <row r="2323" spans="1:20" hidden="1" x14ac:dyDescent="0.35">
      <c r="A2323" s="3"/>
      <c r="B2323" s="165">
        <f>DATE(YEAR(B2322+31),MONTH(B2322+31),1)</f>
        <v>45292</v>
      </c>
      <c r="C2323" s="57"/>
      <c r="D2323" s="3" t="s">
        <v>16</v>
      </c>
      <c r="E2323" s="18">
        <f t="shared" si="45"/>
        <v>409</v>
      </c>
      <c r="F2323" s="166">
        <f t="shared" si="45"/>
        <v>1871</v>
      </c>
      <c r="G2323" s="166">
        <f t="shared" si="45"/>
        <v>2083</v>
      </c>
      <c r="H2323" s="21">
        <f t="shared" si="45"/>
        <v>4124</v>
      </c>
      <c r="I2323" s="21">
        <f t="shared" si="45"/>
        <v>529</v>
      </c>
      <c r="J2323" s="21">
        <f t="shared" si="44"/>
        <v>1754</v>
      </c>
      <c r="K2323" s="21">
        <f t="shared" si="44"/>
        <v>295</v>
      </c>
      <c r="L2323" s="21">
        <f t="shared" si="42"/>
        <v>3346</v>
      </c>
      <c r="M2323" s="21">
        <f t="shared" si="42"/>
        <v>1169</v>
      </c>
      <c r="N2323" s="21">
        <f t="shared" si="42"/>
        <v>1908</v>
      </c>
      <c r="O2323" s="19">
        <f t="shared" si="42"/>
        <v>3910</v>
      </c>
      <c r="P2323" s="22">
        <f t="shared" si="42"/>
        <v>244</v>
      </c>
      <c r="Q2323" s="22">
        <f t="shared" si="42"/>
        <v>141</v>
      </c>
      <c r="R2323" s="236"/>
      <c r="S2323" s="234"/>
      <c r="T2323" s="235"/>
    </row>
    <row r="2324" spans="1:20" hidden="1" x14ac:dyDescent="0.35">
      <c r="A2324" s="3"/>
      <c r="B2324" s="165">
        <f t="shared" ref="B2324:B2349" si="47">B2323</f>
        <v>45292</v>
      </c>
      <c r="C2324" s="57"/>
      <c r="D2324" s="3" t="s">
        <v>104</v>
      </c>
      <c r="E2324" s="18">
        <f t="shared" si="45"/>
        <v>0</v>
      </c>
      <c r="F2324" s="166">
        <f t="shared" si="45"/>
        <v>0</v>
      </c>
      <c r="G2324" s="166">
        <f t="shared" si="45"/>
        <v>0</v>
      </c>
      <c r="H2324" s="21">
        <f t="shared" si="45"/>
        <v>0</v>
      </c>
      <c r="I2324" s="21">
        <f t="shared" si="45"/>
        <v>0</v>
      </c>
      <c r="J2324" s="21">
        <f t="shared" si="44"/>
        <v>0</v>
      </c>
      <c r="K2324" s="21">
        <f t="shared" si="44"/>
        <v>0</v>
      </c>
      <c r="L2324" s="21">
        <f t="shared" si="42"/>
        <v>0</v>
      </c>
      <c r="M2324" s="21">
        <f t="shared" si="42"/>
        <v>0</v>
      </c>
      <c r="N2324" s="21">
        <f t="shared" si="42"/>
        <v>0</v>
      </c>
      <c r="O2324" s="19">
        <f t="shared" si="42"/>
        <v>0</v>
      </c>
      <c r="P2324" s="22">
        <f t="shared" si="42"/>
        <v>0</v>
      </c>
      <c r="Q2324" s="22">
        <f t="shared" si="42"/>
        <v>0</v>
      </c>
      <c r="R2324" s="236"/>
      <c r="S2324" s="234"/>
      <c r="T2324" s="235"/>
    </row>
    <row r="2325" spans="1:20" hidden="1" x14ac:dyDescent="0.35">
      <c r="A2325" s="3"/>
      <c r="B2325" s="165">
        <f t="shared" si="47"/>
        <v>45292</v>
      </c>
      <c r="C2325" s="57"/>
      <c r="D2325" s="3" t="s">
        <v>105</v>
      </c>
      <c r="E2325" s="18">
        <f t="shared" si="45"/>
        <v>0</v>
      </c>
      <c r="F2325" s="166">
        <f t="shared" si="45"/>
        <v>0</v>
      </c>
      <c r="G2325" s="166">
        <f t="shared" si="45"/>
        <v>0</v>
      </c>
      <c r="H2325" s="21">
        <f t="shared" si="45"/>
        <v>0</v>
      </c>
      <c r="I2325" s="21">
        <f t="shared" si="45"/>
        <v>0</v>
      </c>
      <c r="J2325" s="21">
        <f t="shared" si="44"/>
        <v>0</v>
      </c>
      <c r="K2325" s="21">
        <f t="shared" si="44"/>
        <v>0</v>
      </c>
      <c r="L2325" s="21">
        <f t="shared" si="42"/>
        <v>0</v>
      </c>
      <c r="M2325" s="21">
        <f t="shared" si="42"/>
        <v>0</v>
      </c>
      <c r="N2325" s="21">
        <f t="shared" si="42"/>
        <v>0</v>
      </c>
      <c r="O2325" s="19">
        <f t="shared" si="42"/>
        <v>0</v>
      </c>
      <c r="P2325" s="22">
        <f t="shared" si="42"/>
        <v>0</v>
      </c>
      <c r="Q2325" s="22">
        <f t="shared" si="42"/>
        <v>0</v>
      </c>
      <c r="R2325" s="236"/>
      <c r="S2325" s="234"/>
      <c r="T2325" s="235"/>
    </row>
    <row r="2326" spans="1:20" hidden="1" x14ac:dyDescent="0.35">
      <c r="A2326" s="3"/>
      <c r="B2326" s="165">
        <f t="shared" si="47"/>
        <v>45292</v>
      </c>
      <c r="C2326" s="57"/>
      <c r="D2326" s="3" t="s">
        <v>105</v>
      </c>
      <c r="E2326" s="18">
        <f t="shared" si="45"/>
        <v>0</v>
      </c>
      <c r="F2326" s="166">
        <f t="shared" si="45"/>
        <v>0</v>
      </c>
      <c r="G2326" s="166">
        <f t="shared" si="45"/>
        <v>0</v>
      </c>
      <c r="H2326" s="21">
        <f t="shared" si="45"/>
        <v>0</v>
      </c>
      <c r="I2326" s="21">
        <f t="shared" si="45"/>
        <v>0</v>
      </c>
      <c r="J2326" s="21">
        <f t="shared" si="44"/>
        <v>0</v>
      </c>
      <c r="K2326" s="21">
        <f t="shared" si="44"/>
        <v>0</v>
      </c>
      <c r="L2326" s="21">
        <f t="shared" si="42"/>
        <v>0</v>
      </c>
      <c r="M2326" s="21">
        <f t="shared" si="42"/>
        <v>0</v>
      </c>
      <c r="N2326" s="21">
        <f t="shared" si="42"/>
        <v>0</v>
      </c>
      <c r="O2326" s="19">
        <f t="shared" si="42"/>
        <v>0</v>
      </c>
      <c r="P2326" s="22">
        <f t="shared" si="42"/>
        <v>0</v>
      </c>
      <c r="Q2326" s="22">
        <f t="shared" si="42"/>
        <v>0</v>
      </c>
      <c r="R2326" s="236"/>
      <c r="S2326" s="234"/>
      <c r="T2326" s="235"/>
    </row>
    <row r="2327" spans="1:20" hidden="1" x14ac:dyDescent="0.35">
      <c r="A2327" s="3"/>
      <c r="B2327" s="165">
        <f t="shared" si="47"/>
        <v>45292</v>
      </c>
      <c r="C2327" s="57"/>
      <c r="D2327" s="3" t="s">
        <v>106</v>
      </c>
      <c r="E2327" s="18">
        <f t="shared" si="45"/>
        <v>197</v>
      </c>
      <c r="F2327" s="166">
        <f t="shared" si="45"/>
        <v>1131</v>
      </c>
      <c r="G2327" s="166">
        <f t="shared" si="45"/>
        <v>1183</v>
      </c>
      <c r="H2327" s="21">
        <f t="shared" si="45"/>
        <v>2849</v>
      </c>
      <c r="I2327" s="21">
        <f t="shared" si="45"/>
        <v>383</v>
      </c>
      <c r="J2327" s="21">
        <f t="shared" si="44"/>
        <v>1164</v>
      </c>
      <c r="K2327" s="21">
        <f t="shared" si="44"/>
        <v>197</v>
      </c>
      <c r="L2327" s="21">
        <f t="shared" si="42"/>
        <v>2076</v>
      </c>
      <c r="M2327" s="21">
        <f t="shared" si="42"/>
        <v>628</v>
      </c>
      <c r="N2327" s="21">
        <f t="shared" si="42"/>
        <v>1159</v>
      </c>
      <c r="O2327" s="19">
        <f t="shared" ref="O2327:Q2390" si="48">SUMIFS(O$5:O$2214,$A$5:$A$2214,$D2327,$B$5:$B$2214,$B2327)</f>
        <v>2139</v>
      </c>
      <c r="P2327" s="22">
        <f t="shared" si="48"/>
        <v>213</v>
      </c>
      <c r="Q2327" s="22">
        <f t="shared" si="48"/>
        <v>139</v>
      </c>
      <c r="R2327" s="236"/>
      <c r="S2327" s="234"/>
      <c r="T2327" s="235"/>
    </row>
    <row r="2328" spans="1:20" hidden="1" x14ac:dyDescent="0.35">
      <c r="A2328" s="3"/>
      <c r="B2328" s="165">
        <f t="shared" si="47"/>
        <v>45292</v>
      </c>
      <c r="C2328" s="57"/>
      <c r="D2328" s="3" t="s">
        <v>107</v>
      </c>
      <c r="E2328" s="18">
        <f t="shared" si="45"/>
        <v>224</v>
      </c>
      <c r="F2328" s="166">
        <f t="shared" si="45"/>
        <v>999</v>
      </c>
      <c r="G2328" s="166">
        <f t="shared" si="45"/>
        <v>1116</v>
      </c>
      <c r="H2328" s="21">
        <f t="shared" si="45"/>
        <v>1816</v>
      </c>
      <c r="I2328" s="21">
        <f t="shared" si="45"/>
        <v>255</v>
      </c>
      <c r="J2328" s="21">
        <f t="shared" si="44"/>
        <v>743</v>
      </c>
      <c r="K2328" s="21">
        <f t="shared" si="44"/>
        <v>186</v>
      </c>
      <c r="L2328" s="21">
        <f t="shared" si="44"/>
        <v>1731</v>
      </c>
      <c r="M2328" s="21">
        <f t="shared" si="44"/>
        <v>649</v>
      </c>
      <c r="N2328" s="21">
        <f t="shared" si="44"/>
        <v>1018</v>
      </c>
      <c r="O2328" s="19">
        <f t="shared" si="48"/>
        <v>2001</v>
      </c>
      <c r="P2328" s="22">
        <f t="shared" si="48"/>
        <v>305</v>
      </c>
      <c r="Q2328" s="22">
        <f t="shared" si="48"/>
        <v>173</v>
      </c>
      <c r="R2328" s="236"/>
      <c r="S2328" s="234"/>
      <c r="T2328" s="235"/>
    </row>
    <row r="2329" spans="1:20" hidden="1" x14ac:dyDescent="0.35">
      <c r="A2329" s="3"/>
      <c r="B2329" s="165">
        <f t="shared" si="47"/>
        <v>45292</v>
      </c>
      <c r="C2329" s="57"/>
      <c r="D2329" s="3" t="s">
        <v>108</v>
      </c>
      <c r="E2329" s="18">
        <f t="shared" si="45"/>
        <v>322</v>
      </c>
      <c r="F2329" s="166">
        <f t="shared" si="45"/>
        <v>1170</v>
      </c>
      <c r="G2329" s="166">
        <f t="shared" si="45"/>
        <v>1190</v>
      </c>
      <c r="H2329" s="21">
        <f t="shared" si="45"/>
        <v>2441</v>
      </c>
      <c r="I2329" s="21">
        <f t="shared" si="45"/>
        <v>367</v>
      </c>
      <c r="J2329" s="21">
        <f t="shared" si="44"/>
        <v>1043</v>
      </c>
      <c r="K2329" s="21">
        <f t="shared" si="44"/>
        <v>191</v>
      </c>
      <c r="L2329" s="21">
        <f t="shared" si="44"/>
        <v>2495</v>
      </c>
      <c r="M2329" s="21">
        <f t="shared" si="44"/>
        <v>707</v>
      </c>
      <c r="N2329" s="21">
        <f t="shared" si="44"/>
        <v>1188</v>
      </c>
      <c r="O2329" s="19">
        <f t="shared" si="48"/>
        <v>2415</v>
      </c>
      <c r="P2329" s="22">
        <f t="shared" si="48"/>
        <v>315</v>
      </c>
      <c r="Q2329" s="22">
        <f t="shared" si="48"/>
        <v>218</v>
      </c>
      <c r="R2329" s="236"/>
      <c r="S2329" s="234"/>
      <c r="T2329" s="235"/>
    </row>
    <row r="2330" spans="1:20" hidden="1" x14ac:dyDescent="0.35">
      <c r="A2330" s="3"/>
      <c r="B2330" s="165">
        <f t="shared" si="47"/>
        <v>45292</v>
      </c>
      <c r="C2330" s="57"/>
      <c r="D2330" s="3" t="s">
        <v>109</v>
      </c>
      <c r="E2330" s="18">
        <f t="shared" si="45"/>
        <v>414</v>
      </c>
      <c r="F2330" s="166">
        <f t="shared" si="45"/>
        <v>2310</v>
      </c>
      <c r="G2330" s="166">
        <f t="shared" si="45"/>
        <v>2069</v>
      </c>
      <c r="H2330" s="21">
        <f t="shared" si="45"/>
        <v>5281</v>
      </c>
      <c r="I2330" s="21">
        <f t="shared" si="45"/>
        <v>604</v>
      </c>
      <c r="J2330" s="21">
        <f t="shared" si="44"/>
        <v>2803</v>
      </c>
      <c r="K2330" s="21">
        <f t="shared" si="44"/>
        <v>397</v>
      </c>
      <c r="L2330" s="21">
        <f t="shared" si="44"/>
        <v>4551</v>
      </c>
      <c r="M2330" s="21">
        <f t="shared" si="44"/>
        <v>1222</v>
      </c>
      <c r="N2330" s="21">
        <f t="shared" si="44"/>
        <v>2345</v>
      </c>
      <c r="O2330" s="19">
        <f t="shared" si="48"/>
        <v>3979</v>
      </c>
      <c r="P2330" s="22">
        <f t="shared" si="48"/>
        <v>161</v>
      </c>
      <c r="Q2330" s="22">
        <f t="shared" si="48"/>
        <v>111</v>
      </c>
      <c r="R2330" s="236"/>
      <c r="S2330" s="234"/>
      <c r="T2330" s="235"/>
    </row>
    <row r="2331" spans="1:20" hidden="1" x14ac:dyDescent="0.35">
      <c r="A2331" s="3"/>
      <c r="B2331" s="165">
        <f t="shared" si="47"/>
        <v>45292</v>
      </c>
      <c r="C2331" s="57"/>
      <c r="D2331" s="3" t="s">
        <v>110</v>
      </c>
      <c r="E2331" s="18">
        <f t="shared" si="45"/>
        <v>0</v>
      </c>
      <c r="F2331" s="166">
        <f t="shared" si="45"/>
        <v>0</v>
      </c>
      <c r="G2331" s="166">
        <f t="shared" si="45"/>
        <v>0</v>
      </c>
      <c r="H2331" s="21">
        <f t="shared" si="45"/>
        <v>0</v>
      </c>
      <c r="I2331" s="21">
        <f t="shared" si="45"/>
        <v>0</v>
      </c>
      <c r="J2331" s="21">
        <f t="shared" si="44"/>
        <v>0</v>
      </c>
      <c r="K2331" s="21">
        <f t="shared" si="44"/>
        <v>0</v>
      </c>
      <c r="L2331" s="21">
        <f t="shared" si="44"/>
        <v>0</v>
      </c>
      <c r="M2331" s="21">
        <f t="shared" si="44"/>
        <v>0</v>
      </c>
      <c r="N2331" s="21">
        <f t="shared" si="44"/>
        <v>0</v>
      </c>
      <c r="O2331" s="19">
        <f t="shared" si="48"/>
        <v>0</v>
      </c>
      <c r="P2331" s="22">
        <f t="shared" si="48"/>
        <v>0</v>
      </c>
      <c r="Q2331" s="22">
        <f t="shared" si="48"/>
        <v>0</v>
      </c>
      <c r="R2331" s="236"/>
      <c r="S2331" s="234"/>
      <c r="T2331" s="235"/>
    </row>
    <row r="2332" spans="1:20" hidden="1" x14ac:dyDescent="0.35">
      <c r="A2332" s="3"/>
      <c r="B2332" s="165">
        <f>DATE(YEAR(B2331+31),MONTH(B2331+31),1)</f>
        <v>45323</v>
      </c>
      <c r="C2332" s="57"/>
      <c r="D2332" s="3" t="s">
        <v>16</v>
      </c>
      <c r="E2332" s="18">
        <f t="shared" si="45"/>
        <v>393</v>
      </c>
      <c r="F2332" s="166">
        <f t="shared" si="45"/>
        <v>1919</v>
      </c>
      <c r="G2332" s="166">
        <f t="shared" si="45"/>
        <v>1793</v>
      </c>
      <c r="H2332" s="21">
        <f t="shared" si="45"/>
        <v>3269</v>
      </c>
      <c r="I2332" s="21">
        <f t="shared" si="45"/>
        <v>474</v>
      </c>
      <c r="J2332" s="21">
        <f t="shared" si="44"/>
        <v>1685</v>
      </c>
      <c r="K2332" s="21">
        <f t="shared" si="44"/>
        <v>317</v>
      </c>
      <c r="L2332" s="21">
        <f t="shared" si="44"/>
        <v>3408</v>
      </c>
      <c r="M2332" s="21">
        <f t="shared" si="44"/>
        <v>1201</v>
      </c>
      <c r="N2332" s="21">
        <f t="shared" si="44"/>
        <v>1947</v>
      </c>
      <c r="O2332" s="19">
        <f t="shared" si="48"/>
        <v>3990</v>
      </c>
      <c r="P2332" s="22">
        <f t="shared" si="48"/>
        <v>242</v>
      </c>
      <c r="Q2332" s="22">
        <f t="shared" si="48"/>
        <v>136</v>
      </c>
      <c r="R2332" s="236"/>
      <c r="S2332" s="234"/>
      <c r="T2332" s="235"/>
    </row>
    <row r="2333" spans="1:20" hidden="1" x14ac:dyDescent="0.35">
      <c r="A2333" s="3"/>
      <c r="B2333" s="165">
        <f t="shared" si="47"/>
        <v>45323</v>
      </c>
      <c r="C2333" s="57"/>
      <c r="D2333" s="3" t="s">
        <v>104</v>
      </c>
      <c r="E2333" s="18">
        <f t="shared" si="45"/>
        <v>0</v>
      </c>
      <c r="F2333" s="166">
        <f t="shared" si="45"/>
        <v>0</v>
      </c>
      <c r="G2333" s="166">
        <f t="shared" si="45"/>
        <v>0</v>
      </c>
      <c r="H2333" s="21">
        <f t="shared" si="45"/>
        <v>0</v>
      </c>
      <c r="I2333" s="21">
        <f t="shared" si="45"/>
        <v>0</v>
      </c>
      <c r="J2333" s="21">
        <f t="shared" si="44"/>
        <v>0</v>
      </c>
      <c r="K2333" s="21">
        <f t="shared" si="44"/>
        <v>0</v>
      </c>
      <c r="L2333" s="21">
        <f t="shared" si="44"/>
        <v>0</v>
      </c>
      <c r="M2333" s="21">
        <f t="shared" si="44"/>
        <v>0</v>
      </c>
      <c r="N2333" s="21">
        <f t="shared" si="44"/>
        <v>0</v>
      </c>
      <c r="O2333" s="19">
        <f t="shared" si="48"/>
        <v>0</v>
      </c>
      <c r="P2333" s="22">
        <f t="shared" si="48"/>
        <v>0</v>
      </c>
      <c r="Q2333" s="22">
        <f t="shared" si="48"/>
        <v>0</v>
      </c>
      <c r="R2333" s="236"/>
      <c r="S2333" s="234"/>
      <c r="T2333" s="235"/>
    </row>
    <row r="2334" spans="1:20" hidden="1" x14ac:dyDescent="0.35">
      <c r="A2334" s="3"/>
      <c r="B2334" s="165">
        <f t="shared" si="47"/>
        <v>45323</v>
      </c>
      <c r="C2334" s="57"/>
      <c r="D2334" s="3" t="s">
        <v>105</v>
      </c>
      <c r="E2334" s="18">
        <f t="shared" si="45"/>
        <v>0</v>
      </c>
      <c r="F2334" s="166">
        <f t="shared" si="45"/>
        <v>0</v>
      </c>
      <c r="G2334" s="166">
        <f t="shared" ref="G2334:N2378" si="49">SUMIFS(G$5:G$2214,$A$5:$A$2214,$D2334,$B$5:$B$2214,$B2334)</f>
        <v>0</v>
      </c>
      <c r="H2334" s="21">
        <f t="shared" si="49"/>
        <v>0</v>
      </c>
      <c r="I2334" s="21">
        <f t="shared" si="49"/>
        <v>0</v>
      </c>
      <c r="J2334" s="21">
        <f t="shared" si="44"/>
        <v>0</v>
      </c>
      <c r="K2334" s="21">
        <f t="shared" si="44"/>
        <v>0</v>
      </c>
      <c r="L2334" s="21">
        <f t="shared" si="44"/>
        <v>0</v>
      </c>
      <c r="M2334" s="21">
        <f t="shared" si="44"/>
        <v>0</v>
      </c>
      <c r="N2334" s="21">
        <f t="shared" si="44"/>
        <v>0</v>
      </c>
      <c r="O2334" s="19">
        <f t="shared" si="48"/>
        <v>0</v>
      </c>
      <c r="P2334" s="22">
        <f t="shared" si="48"/>
        <v>0</v>
      </c>
      <c r="Q2334" s="22">
        <f t="shared" si="48"/>
        <v>0</v>
      </c>
      <c r="R2334" s="236"/>
      <c r="S2334" s="234"/>
      <c r="T2334" s="235"/>
    </row>
    <row r="2335" spans="1:20" hidden="1" x14ac:dyDescent="0.35">
      <c r="A2335" s="3"/>
      <c r="B2335" s="165">
        <f t="shared" si="47"/>
        <v>45323</v>
      </c>
      <c r="C2335" s="57"/>
      <c r="D2335" s="3" t="s">
        <v>105</v>
      </c>
      <c r="E2335" s="18">
        <f t="shared" ref="E2335:N2390" si="50">SUMIFS(E$5:E$2214,$A$5:$A$2214,$D2335,$B$5:$B$2214,$B2335)</f>
        <v>0</v>
      </c>
      <c r="F2335" s="166">
        <f t="shared" si="50"/>
        <v>0</v>
      </c>
      <c r="G2335" s="166">
        <f t="shared" si="49"/>
        <v>0</v>
      </c>
      <c r="H2335" s="21">
        <f t="shared" si="49"/>
        <v>0</v>
      </c>
      <c r="I2335" s="21">
        <f t="shared" si="49"/>
        <v>0</v>
      </c>
      <c r="J2335" s="21">
        <f t="shared" si="44"/>
        <v>0</v>
      </c>
      <c r="K2335" s="21">
        <f t="shared" si="44"/>
        <v>0</v>
      </c>
      <c r="L2335" s="21">
        <f t="shared" si="44"/>
        <v>0</v>
      </c>
      <c r="M2335" s="21">
        <f t="shared" si="44"/>
        <v>0</v>
      </c>
      <c r="N2335" s="21">
        <f t="shared" si="44"/>
        <v>0</v>
      </c>
      <c r="O2335" s="19">
        <f t="shared" si="48"/>
        <v>0</v>
      </c>
      <c r="P2335" s="22">
        <f t="shared" si="48"/>
        <v>0</v>
      </c>
      <c r="Q2335" s="22">
        <f t="shared" si="48"/>
        <v>0</v>
      </c>
      <c r="R2335" s="236"/>
      <c r="S2335" s="234"/>
      <c r="T2335" s="235"/>
    </row>
    <row r="2336" spans="1:20" hidden="1" x14ac:dyDescent="0.35">
      <c r="A2336" s="3"/>
      <c r="B2336" s="165">
        <f t="shared" si="47"/>
        <v>45323</v>
      </c>
      <c r="C2336" s="57"/>
      <c r="D2336" s="3" t="s">
        <v>106</v>
      </c>
      <c r="E2336" s="18">
        <f t="shared" si="50"/>
        <v>188</v>
      </c>
      <c r="F2336" s="166">
        <f t="shared" si="50"/>
        <v>1129</v>
      </c>
      <c r="G2336" s="166">
        <f t="shared" si="49"/>
        <v>1221</v>
      </c>
      <c r="H2336" s="21">
        <f t="shared" si="49"/>
        <v>2593</v>
      </c>
      <c r="I2336" s="21">
        <f t="shared" si="49"/>
        <v>343</v>
      </c>
      <c r="J2336" s="21">
        <f t="shared" si="44"/>
        <v>1034</v>
      </c>
      <c r="K2336" s="21">
        <f t="shared" si="44"/>
        <v>225</v>
      </c>
      <c r="L2336" s="21">
        <f t="shared" si="44"/>
        <v>2003</v>
      </c>
      <c r="M2336" s="21">
        <f t="shared" si="44"/>
        <v>597</v>
      </c>
      <c r="N2336" s="21">
        <f t="shared" si="44"/>
        <v>1151</v>
      </c>
      <c r="O2336" s="19">
        <f t="shared" si="48"/>
        <v>2079</v>
      </c>
      <c r="P2336" s="22">
        <f t="shared" si="48"/>
        <v>240</v>
      </c>
      <c r="Q2336" s="22">
        <f t="shared" si="48"/>
        <v>161</v>
      </c>
      <c r="R2336" s="236"/>
      <c r="S2336" s="234"/>
      <c r="T2336" s="235"/>
    </row>
    <row r="2337" spans="1:20" hidden="1" x14ac:dyDescent="0.35">
      <c r="A2337" s="3"/>
      <c r="B2337" s="165">
        <f t="shared" si="47"/>
        <v>45323</v>
      </c>
      <c r="C2337" s="57"/>
      <c r="D2337" s="3" t="s">
        <v>107</v>
      </c>
      <c r="E2337" s="18">
        <f t="shared" si="50"/>
        <v>225</v>
      </c>
      <c r="F2337" s="166">
        <f t="shared" si="50"/>
        <v>938</v>
      </c>
      <c r="G2337" s="166">
        <f t="shared" si="49"/>
        <v>1085</v>
      </c>
      <c r="H2337" s="21">
        <f t="shared" si="49"/>
        <v>1480</v>
      </c>
      <c r="I2337" s="21">
        <f t="shared" si="49"/>
        <v>252</v>
      </c>
      <c r="J2337" s="21">
        <f t="shared" si="44"/>
        <v>676</v>
      </c>
      <c r="K2337" s="21">
        <f t="shared" si="44"/>
        <v>159</v>
      </c>
      <c r="L2337" s="21">
        <f t="shared" si="44"/>
        <v>1672</v>
      </c>
      <c r="M2337" s="21">
        <f t="shared" si="44"/>
        <v>643</v>
      </c>
      <c r="N2337" s="21">
        <f t="shared" si="44"/>
        <v>950</v>
      </c>
      <c r="O2337" s="19">
        <f t="shared" si="48"/>
        <v>1953</v>
      </c>
      <c r="P2337" s="22">
        <f t="shared" si="48"/>
        <v>318</v>
      </c>
      <c r="Q2337" s="22">
        <f t="shared" si="48"/>
        <v>195</v>
      </c>
      <c r="R2337" s="236"/>
      <c r="S2337" s="234"/>
      <c r="T2337" s="235"/>
    </row>
    <row r="2338" spans="1:20" hidden="1" x14ac:dyDescent="0.35">
      <c r="A2338" s="3"/>
      <c r="B2338" s="165">
        <f t="shared" si="47"/>
        <v>45323</v>
      </c>
      <c r="C2338" s="57"/>
      <c r="D2338" s="3" t="s">
        <v>108</v>
      </c>
      <c r="E2338" s="18">
        <f t="shared" si="50"/>
        <v>286</v>
      </c>
      <c r="F2338" s="166">
        <f t="shared" si="50"/>
        <v>1128</v>
      </c>
      <c r="G2338" s="166">
        <f t="shared" si="49"/>
        <v>1084</v>
      </c>
      <c r="H2338" s="21">
        <f t="shared" si="49"/>
        <v>2235</v>
      </c>
      <c r="I2338" s="21">
        <f t="shared" si="49"/>
        <v>314</v>
      </c>
      <c r="J2338" s="21">
        <f t="shared" si="44"/>
        <v>977</v>
      </c>
      <c r="K2338" s="21">
        <f t="shared" si="44"/>
        <v>187</v>
      </c>
      <c r="L2338" s="21">
        <f t="shared" si="44"/>
        <v>2332</v>
      </c>
      <c r="M2338" s="21">
        <f t="shared" si="44"/>
        <v>675</v>
      </c>
      <c r="N2338" s="21">
        <f t="shared" si="44"/>
        <v>1152</v>
      </c>
      <c r="O2338" s="19">
        <f t="shared" si="48"/>
        <v>2247</v>
      </c>
      <c r="P2338" s="22">
        <f t="shared" si="48"/>
        <v>352</v>
      </c>
      <c r="Q2338" s="22">
        <f t="shared" si="48"/>
        <v>222</v>
      </c>
      <c r="R2338" s="236"/>
      <c r="S2338" s="234"/>
      <c r="T2338" s="235"/>
    </row>
    <row r="2339" spans="1:20" hidden="1" x14ac:dyDescent="0.35">
      <c r="A2339" s="3"/>
      <c r="B2339" s="165">
        <f t="shared" si="47"/>
        <v>45323</v>
      </c>
      <c r="C2339" s="57"/>
      <c r="D2339" s="3" t="s">
        <v>109</v>
      </c>
      <c r="E2339" s="18">
        <f t="shared" si="50"/>
        <v>485</v>
      </c>
      <c r="F2339" s="166">
        <f t="shared" si="50"/>
        <v>2408</v>
      </c>
      <c r="G2339" s="166">
        <f t="shared" si="49"/>
        <v>1932</v>
      </c>
      <c r="H2339" s="21">
        <f t="shared" si="49"/>
        <v>5034</v>
      </c>
      <c r="I2339" s="21">
        <f t="shared" si="49"/>
        <v>558</v>
      </c>
      <c r="J2339" s="21">
        <f t="shared" si="44"/>
        <v>2746</v>
      </c>
      <c r="K2339" s="21">
        <f t="shared" si="44"/>
        <v>377</v>
      </c>
      <c r="L2339" s="21">
        <f t="shared" si="44"/>
        <v>4473</v>
      </c>
      <c r="M2339" s="21">
        <f t="shared" si="44"/>
        <v>1248</v>
      </c>
      <c r="N2339" s="21">
        <f t="shared" si="44"/>
        <v>2448</v>
      </c>
      <c r="O2339" s="19">
        <f t="shared" si="48"/>
        <v>3927</v>
      </c>
      <c r="P2339" s="22">
        <f t="shared" si="48"/>
        <v>215</v>
      </c>
      <c r="Q2339" s="22">
        <f t="shared" si="48"/>
        <v>150</v>
      </c>
      <c r="R2339" s="236"/>
      <c r="S2339" s="234"/>
      <c r="T2339" s="235"/>
    </row>
    <row r="2340" spans="1:20" hidden="1" x14ac:dyDescent="0.35">
      <c r="A2340" s="3"/>
      <c r="B2340" s="165">
        <f t="shared" si="47"/>
        <v>45323</v>
      </c>
      <c r="C2340" s="57"/>
      <c r="D2340" s="3" t="s">
        <v>110</v>
      </c>
      <c r="E2340" s="18">
        <f t="shared" si="50"/>
        <v>0</v>
      </c>
      <c r="F2340" s="166">
        <f t="shared" si="50"/>
        <v>0</v>
      </c>
      <c r="G2340" s="166">
        <f t="shared" si="49"/>
        <v>0</v>
      </c>
      <c r="H2340" s="21">
        <f t="shared" si="49"/>
        <v>0</v>
      </c>
      <c r="I2340" s="21">
        <f t="shared" si="49"/>
        <v>0</v>
      </c>
      <c r="J2340" s="21">
        <f t="shared" si="44"/>
        <v>0</v>
      </c>
      <c r="K2340" s="21">
        <f t="shared" si="44"/>
        <v>0</v>
      </c>
      <c r="L2340" s="21">
        <f t="shared" si="44"/>
        <v>0</v>
      </c>
      <c r="M2340" s="21">
        <f t="shared" si="44"/>
        <v>0</v>
      </c>
      <c r="N2340" s="21">
        <f t="shared" si="44"/>
        <v>0</v>
      </c>
      <c r="O2340" s="19">
        <f t="shared" si="48"/>
        <v>0</v>
      </c>
      <c r="P2340" s="22">
        <f t="shared" si="48"/>
        <v>0</v>
      </c>
      <c r="Q2340" s="22">
        <f t="shared" si="48"/>
        <v>0</v>
      </c>
      <c r="R2340" s="236"/>
      <c r="S2340" s="234"/>
      <c r="T2340" s="235"/>
    </row>
    <row r="2341" spans="1:20" hidden="1" x14ac:dyDescent="0.35">
      <c r="A2341" s="3"/>
      <c r="B2341" s="165">
        <f>DATE(YEAR(B2340+31),MONTH(B2340+31),1)</f>
        <v>45352</v>
      </c>
      <c r="C2341" s="57"/>
      <c r="D2341" s="3" t="s">
        <v>16</v>
      </c>
      <c r="E2341" s="18">
        <f t="shared" si="50"/>
        <v>414</v>
      </c>
      <c r="F2341" s="166">
        <f t="shared" si="50"/>
        <v>2108</v>
      </c>
      <c r="G2341" s="166">
        <f t="shared" si="49"/>
        <v>2249</v>
      </c>
      <c r="H2341" s="21">
        <f t="shared" si="49"/>
        <v>3968</v>
      </c>
      <c r="I2341" s="21">
        <f t="shared" si="49"/>
        <v>535</v>
      </c>
      <c r="J2341" s="21">
        <f t="shared" si="44"/>
        <v>2020</v>
      </c>
      <c r="K2341" s="21">
        <f t="shared" si="44"/>
        <v>352</v>
      </c>
      <c r="L2341" s="21">
        <f t="shared" si="44"/>
        <v>3797</v>
      </c>
      <c r="M2341" s="21">
        <f t="shared" si="44"/>
        <v>1316</v>
      </c>
      <c r="N2341" s="21">
        <f t="shared" si="44"/>
        <v>2141</v>
      </c>
      <c r="O2341" s="19">
        <f t="shared" si="48"/>
        <v>4048</v>
      </c>
      <c r="P2341" s="22">
        <f t="shared" si="48"/>
        <v>324</v>
      </c>
      <c r="Q2341" s="22">
        <f t="shared" si="48"/>
        <v>186</v>
      </c>
      <c r="R2341" s="236"/>
      <c r="S2341" s="234"/>
      <c r="T2341" s="235"/>
    </row>
    <row r="2342" spans="1:20" hidden="1" x14ac:dyDescent="0.35">
      <c r="A2342" s="3"/>
      <c r="B2342" s="165">
        <f t="shared" si="47"/>
        <v>45352</v>
      </c>
      <c r="C2342" s="57"/>
      <c r="D2342" s="3" t="s">
        <v>104</v>
      </c>
      <c r="E2342" s="18">
        <f t="shared" si="50"/>
        <v>0</v>
      </c>
      <c r="F2342" s="166">
        <f t="shared" si="50"/>
        <v>0</v>
      </c>
      <c r="G2342" s="166">
        <f t="shared" si="49"/>
        <v>0</v>
      </c>
      <c r="H2342" s="21">
        <f t="shared" si="49"/>
        <v>0</v>
      </c>
      <c r="I2342" s="21">
        <f t="shared" si="49"/>
        <v>0</v>
      </c>
      <c r="J2342" s="21">
        <f t="shared" si="44"/>
        <v>0</v>
      </c>
      <c r="K2342" s="21">
        <f t="shared" si="44"/>
        <v>0</v>
      </c>
      <c r="L2342" s="21">
        <f t="shared" si="44"/>
        <v>0</v>
      </c>
      <c r="M2342" s="21">
        <f t="shared" si="44"/>
        <v>0</v>
      </c>
      <c r="N2342" s="21">
        <f t="shared" si="44"/>
        <v>0</v>
      </c>
      <c r="O2342" s="19">
        <f t="shared" si="48"/>
        <v>0</v>
      </c>
      <c r="P2342" s="22">
        <f t="shared" si="48"/>
        <v>0</v>
      </c>
      <c r="Q2342" s="22">
        <f t="shared" si="48"/>
        <v>0</v>
      </c>
      <c r="R2342" s="236"/>
      <c r="S2342" s="234"/>
      <c r="T2342" s="235"/>
    </row>
    <row r="2343" spans="1:20" hidden="1" x14ac:dyDescent="0.35">
      <c r="A2343" s="3"/>
      <c r="B2343" s="165">
        <f t="shared" si="47"/>
        <v>45352</v>
      </c>
      <c r="C2343" s="57"/>
      <c r="D2343" s="3" t="s">
        <v>105</v>
      </c>
      <c r="E2343" s="18">
        <f t="shared" si="50"/>
        <v>0</v>
      </c>
      <c r="F2343" s="166">
        <f t="shared" si="50"/>
        <v>0</v>
      </c>
      <c r="G2343" s="166">
        <f t="shared" si="49"/>
        <v>0</v>
      </c>
      <c r="H2343" s="21">
        <f t="shared" si="49"/>
        <v>0</v>
      </c>
      <c r="I2343" s="21">
        <f t="shared" si="49"/>
        <v>0</v>
      </c>
      <c r="J2343" s="21">
        <f t="shared" si="44"/>
        <v>0</v>
      </c>
      <c r="K2343" s="21">
        <f t="shared" si="44"/>
        <v>0</v>
      </c>
      <c r="L2343" s="21">
        <f t="shared" si="44"/>
        <v>0</v>
      </c>
      <c r="M2343" s="21">
        <f t="shared" si="44"/>
        <v>0</v>
      </c>
      <c r="N2343" s="21">
        <f t="shared" si="44"/>
        <v>0</v>
      </c>
      <c r="O2343" s="19">
        <f t="shared" si="48"/>
        <v>0</v>
      </c>
      <c r="P2343" s="22">
        <f t="shared" si="48"/>
        <v>0</v>
      </c>
      <c r="Q2343" s="22">
        <f t="shared" si="48"/>
        <v>0</v>
      </c>
      <c r="R2343" s="236"/>
      <c r="S2343" s="234"/>
      <c r="T2343" s="235"/>
    </row>
    <row r="2344" spans="1:20" hidden="1" x14ac:dyDescent="0.35">
      <c r="A2344" s="3"/>
      <c r="B2344" s="165">
        <f t="shared" si="47"/>
        <v>45352</v>
      </c>
      <c r="C2344" s="57"/>
      <c r="D2344" s="3" t="s">
        <v>105</v>
      </c>
      <c r="E2344" s="18">
        <f t="shared" si="50"/>
        <v>0</v>
      </c>
      <c r="F2344" s="166">
        <f t="shared" si="50"/>
        <v>0</v>
      </c>
      <c r="G2344" s="166">
        <f t="shared" si="49"/>
        <v>0</v>
      </c>
      <c r="H2344" s="21">
        <f t="shared" si="49"/>
        <v>0</v>
      </c>
      <c r="I2344" s="21">
        <f t="shared" si="49"/>
        <v>0</v>
      </c>
      <c r="J2344" s="21">
        <f t="shared" si="44"/>
        <v>0</v>
      </c>
      <c r="K2344" s="21">
        <f t="shared" si="44"/>
        <v>0</v>
      </c>
      <c r="L2344" s="21">
        <f t="shared" si="44"/>
        <v>0</v>
      </c>
      <c r="M2344" s="21">
        <f t="shared" si="44"/>
        <v>0</v>
      </c>
      <c r="N2344" s="21">
        <f t="shared" si="44"/>
        <v>0</v>
      </c>
      <c r="O2344" s="19">
        <f t="shared" si="48"/>
        <v>0</v>
      </c>
      <c r="P2344" s="22">
        <f t="shared" si="48"/>
        <v>0</v>
      </c>
      <c r="Q2344" s="22">
        <f t="shared" si="48"/>
        <v>0</v>
      </c>
      <c r="R2344" s="236"/>
      <c r="S2344" s="234"/>
      <c r="T2344" s="235"/>
    </row>
    <row r="2345" spans="1:20" hidden="1" x14ac:dyDescent="0.35">
      <c r="A2345" s="3"/>
      <c r="B2345" s="165">
        <f t="shared" si="47"/>
        <v>45352</v>
      </c>
      <c r="C2345" s="57"/>
      <c r="D2345" s="3" t="s">
        <v>106</v>
      </c>
      <c r="E2345" s="18">
        <f t="shared" si="50"/>
        <v>254</v>
      </c>
      <c r="F2345" s="166">
        <f t="shared" si="50"/>
        <v>1350</v>
      </c>
      <c r="G2345" s="166">
        <f t="shared" si="49"/>
        <v>1220</v>
      </c>
      <c r="H2345" s="21">
        <f t="shared" si="49"/>
        <v>2883</v>
      </c>
      <c r="I2345" s="21">
        <f t="shared" si="49"/>
        <v>401</v>
      </c>
      <c r="J2345" s="21">
        <f t="shared" si="44"/>
        <v>1210</v>
      </c>
      <c r="K2345" s="21">
        <f t="shared" si="44"/>
        <v>230</v>
      </c>
      <c r="L2345" s="21">
        <f t="shared" si="44"/>
        <v>2255</v>
      </c>
      <c r="M2345" s="21">
        <f t="shared" si="44"/>
        <v>717</v>
      </c>
      <c r="N2345" s="21">
        <f t="shared" si="44"/>
        <v>1377</v>
      </c>
      <c r="O2345" s="19">
        <f t="shared" si="48"/>
        <v>2156</v>
      </c>
      <c r="P2345" s="22">
        <f t="shared" si="48"/>
        <v>306</v>
      </c>
      <c r="Q2345" s="22">
        <f t="shared" si="48"/>
        <v>194</v>
      </c>
      <c r="R2345" s="236"/>
      <c r="S2345" s="234"/>
      <c r="T2345" s="235"/>
    </row>
    <row r="2346" spans="1:20" hidden="1" x14ac:dyDescent="0.35">
      <c r="A2346" s="3"/>
      <c r="B2346" s="165">
        <f t="shared" si="47"/>
        <v>45352</v>
      </c>
      <c r="C2346" s="57"/>
      <c r="D2346" s="3" t="s">
        <v>107</v>
      </c>
      <c r="E2346" s="18">
        <f t="shared" si="50"/>
        <v>265</v>
      </c>
      <c r="F2346" s="166">
        <f t="shared" si="50"/>
        <v>1248</v>
      </c>
      <c r="G2346" s="166">
        <f t="shared" si="49"/>
        <v>1382</v>
      </c>
      <c r="H2346" s="21">
        <f t="shared" si="49"/>
        <v>1891</v>
      </c>
      <c r="I2346" s="21">
        <f t="shared" si="49"/>
        <v>326</v>
      </c>
      <c r="J2346" s="21">
        <f t="shared" si="44"/>
        <v>866</v>
      </c>
      <c r="K2346" s="21">
        <f t="shared" si="44"/>
        <v>230</v>
      </c>
      <c r="L2346" s="21">
        <f t="shared" si="44"/>
        <v>2030</v>
      </c>
      <c r="M2346" s="21">
        <f t="shared" si="44"/>
        <v>874</v>
      </c>
      <c r="N2346" s="21">
        <f t="shared" si="44"/>
        <v>1261</v>
      </c>
      <c r="O2346" s="19">
        <f t="shared" si="48"/>
        <v>1892</v>
      </c>
      <c r="P2346" s="22">
        <f t="shared" si="48"/>
        <v>389</v>
      </c>
      <c r="Q2346" s="22">
        <f t="shared" si="48"/>
        <v>226</v>
      </c>
      <c r="R2346" s="236"/>
      <c r="S2346" s="234"/>
      <c r="T2346" s="235"/>
    </row>
    <row r="2347" spans="1:20" hidden="1" x14ac:dyDescent="0.35">
      <c r="A2347" s="3"/>
      <c r="B2347" s="165">
        <f t="shared" si="47"/>
        <v>45352</v>
      </c>
      <c r="C2347" s="57"/>
      <c r="D2347" s="3" t="s">
        <v>108</v>
      </c>
      <c r="E2347" s="18">
        <f t="shared" si="50"/>
        <v>288</v>
      </c>
      <c r="F2347" s="166">
        <f t="shared" si="50"/>
        <v>1199</v>
      </c>
      <c r="G2347" s="166">
        <f t="shared" si="49"/>
        <v>1229</v>
      </c>
      <c r="H2347" s="21">
        <f t="shared" si="49"/>
        <v>2348</v>
      </c>
      <c r="I2347" s="21">
        <f t="shared" si="49"/>
        <v>321</v>
      </c>
      <c r="J2347" s="21">
        <f t="shared" si="44"/>
        <v>1051</v>
      </c>
      <c r="K2347" s="21">
        <f t="shared" si="44"/>
        <v>222</v>
      </c>
      <c r="L2347" s="21">
        <f t="shared" si="44"/>
        <v>2440</v>
      </c>
      <c r="M2347" s="21">
        <f t="shared" si="44"/>
        <v>721</v>
      </c>
      <c r="N2347" s="21">
        <f t="shared" si="44"/>
        <v>1210</v>
      </c>
      <c r="O2347" s="19">
        <f t="shared" si="48"/>
        <v>2354</v>
      </c>
      <c r="P2347" s="22">
        <f t="shared" si="48"/>
        <v>493</v>
      </c>
      <c r="Q2347" s="22">
        <f t="shared" si="48"/>
        <v>320</v>
      </c>
      <c r="R2347" s="236"/>
      <c r="S2347" s="234"/>
      <c r="T2347" s="235"/>
    </row>
    <row r="2348" spans="1:20" hidden="1" x14ac:dyDescent="0.35">
      <c r="A2348" s="3"/>
      <c r="B2348" s="165">
        <f t="shared" si="47"/>
        <v>45352</v>
      </c>
      <c r="C2348" s="57"/>
      <c r="D2348" s="3" t="s">
        <v>109</v>
      </c>
      <c r="E2348" s="18">
        <f t="shared" si="50"/>
        <v>516</v>
      </c>
      <c r="F2348" s="166">
        <f t="shared" si="50"/>
        <v>2724</v>
      </c>
      <c r="G2348" s="166">
        <f t="shared" si="49"/>
        <v>2358</v>
      </c>
      <c r="H2348" s="21">
        <f t="shared" si="49"/>
        <v>5710</v>
      </c>
      <c r="I2348" s="21">
        <f t="shared" si="49"/>
        <v>679</v>
      </c>
      <c r="J2348" s="21">
        <f t="shared" si="44"/>
        <v>2689</v>
      </c>
      <c r="K2348" s="21">
        <f t="shared" si="44"/>
        <v>386</v>
      </c>
      <c r="L2348" s="21">
        <f t="shared" si="44"/>
        <v>4563</v>
      </c>
      <c r="M2348" s="21">
        <f t="shared" si="44"/>
        <v>1327</v>
      </c>
      <c r="N2348" s="21">
        <f t="shared" si="44"/>
        <v>2765</v>
      </c>
      <c r="O2348" s="19">
        <f t="shared" si="48"/>
        <v>4026</v>
      </c>
      <c r="P2348" s="22">
        <f t="shared" si="48"/>
        <v>343</v>
      </c>
      <c r="Q2348" s="22">
        <f t="shared" si="48"/>
        <v>236</v>
      </c>
      <c r="R2348" s="236"/>
      <c r="S2348" s="234"/>
      <c r="T2348" s="235"/>
    </row>
    <row r="2349" spans="1:20" hidden="1" x14ac:dyDescent="0.35">
      <c r="A2349" s="3"/>
      <c r="B2349" s="165">
        <f t="shared" si="47"/>
        <v>45352</v>
      </c>
      <c r="C2349" s="57"/>
      <c r="D2349" s="3" t="s">
        <v>110</v>
      </c>
      <c r="E2349" s="18">
        <f t="shared" si="50"/>
        <v>0</v>
      </c>
      <c r="F2349" s="166">
        <f t="shared" si="50"/>
        <v>0</v>
      </c>
      <c r="G2349" s="166">
        <f t="shared" si="49"/>
        <v>0</v>
      </c>
      <c r="H2349" s="21">
        <f t="shared" si="49"/>
        <v>0</v>
      </c>
      <c r="I2349" s="21">
        <f t="shared" si="49"/>
        <v>0</v>
      </c>
      <c r="J2349" s="21">
        <f t="shared" si="44"/>
        <v>0</v>
      </c>
      <c r="K2349" s="21">
        <f t="shared" si="44"/>
        <v>0</v>
      </c>
      <c r="L2349" s="21">
        <f t="shared" si="44"/>
        <v>0</v>
      </c>
      <c r="M2349" s="21">
        <f t="shared" si="44"/>
        <v>0</v>
      </c>
      <c r="N2349" s="21">
        <f t="shared" si="44"/>
        <v>0</v>
      </c>
      <c r="O2349" s="19">
        <f t="shared" si="48"/>
        <v>0</v>
      </c>
      <c r="P2349" s="22">
        <f t="shared" si="48"/>
        <v>0</v>
      </c>
      <c r="Q2349" s="22">
        <f t="shared" si="48"/>
        <v>0</v>
      </c>
      <c r="R2349" s="236"/>
      <c r="S2349" s="234"/>
      <c r="T2349" s="235"/>
    </row>
    <row r="2350" spans="1:20" hidden="1" x14ac:dyDescent="0.35">
      <c r="A2350" s="3"/>
      <c r="B2350" s="165">
        <f>DATE(YEAR(B2349+31),MONTH(B2349+31),1)</f>
        <v>45383</v>
      </c>
      <c r="C2350" s="57"/>
      <c r="D2350" s="3" t="s">
        <v>16</v>
      </c>
      <c r="E2350" s="18">
        <f t="shared" si="50"/>
        <v>402</v>
      </c>
      <c r="F2350" s="166">
        <f t="shared" si="50"/>
        <v>2061</v>
      </c>
      <c r="G2350" s="166">
        <f t="shared" si="49"/>
        <v>2073</v>
      </c>
      <c r="H2350" s="21">
        <f t="shared" si="49"/>
        <v>3526</v>
      </c>
      <c r="I2350" s="21">
        <f t="shared" si="49"/>
        <v>526</v>
      </c>
      <c r="J2350" s="21">
        <f t="shared" si="44"/>
        <v>1929</v>
      </c>
      <c r="K2350" s="21">
        <f t="shared" si="44"/>
        <v>357</v>
      </c>
      <c r="L2350" s="21">
        <f t="shared" si="44"/>
        <v>3625</v>
      </c>
      <c r="M2350" s="21">
        <f t="shared" si="44"/>
        <v>1289</v>
      </c>
      <c r="N2350" s="21">
        <f t="shared" si="44"/>
        <v>2087</v>
      </c>
      <c r="O2350" s="19">
        <f t="shared" si="48"/>
        <v>4070</v>
      </c>
      <c r="P2350" s="22">
        <f t="shared" si="48"/>
        <v>318</v>
      </c>
      <c r="Q2350" s="22">
        <f t="shared" si="48"/>
        <v>176</v>
      </c>
      <c r="R2350" s="236"/>
      <c r="S2350" s="234"/>
      <c r="T2350" s="235"/>
    </row>
    <row r="2351" spans="1:20" hidden="1" x14ac:dyDescent="0.35">
      <c r="A2351" s="3"/>
      <c r="B2351" s="165">
        <f t="shared" ref="B2351:B2376" si="51">B2350</f>
        <v>45383</v>
      </c>
      <c r="C2351" s="57"/>
      <c r="D2351" s="3" t="s">
        <v>104</v>
      </c>
      <c r="E2351" s="18">
        <f t="shared" si="50"/>
        <v>0</v>
      </c>
      <c r="F2351" s="166">
        <f t="shared" si="50"/>
        <v>0</v>
      </c>
      <c r="G2351" s="166">
        <f t="shared" si="49"/>
        <v>0</v>
      </c>
      <c r="H2351" s="21">
        <f t="shared" si="49"/>
        <v>0</v>
      </c>
      <c r="I2351" s="21">
        <f t="shared" si="49"/>
        <v>0</v>
      </c>
      <c r="J2351" s="21">
        <f t="shared" si="44"/>
        <v>0</v>
      </c>
      <c r="K2351" s="21">
        <f t="shared" si="44"/>
        <v>0</v>
      </c>
      <c r="L2351" s="21">
        <f t="shared" si="44"/>
        <v>0</v>
      </c>
      <c r="M2351" s="21">
        <f t="shared" si="44"/>
        <v>0</v>
      </c>
      <c r="N2351" s="21">
        <f t="shared" si="44"/>
        <v>0</v>
      </c>
      <c r="O2351" s="19">
        <f t="shared" si="48"/>
        <v>0</v>
      </c>
      <c r="P2351" s="22">
        <f t="shared" si="48"/>
        <v>0</v>
      </c>
      <c r="Q2351" s="22">
        <f t="shared" si="48"/>
        <v>0</v>
      </c>
      <c r="R2351" s="236"/>
      <c r="S2351" s="234"/>
      <c r="T2351" s="235"/>
    </row>
    <row r="2352" spans="1:20" hidden="1" x14ac:dyDescent="0.35">
      <c r="A2352" s="3"/>
      <c r="B2352" s="165">
        <f t="shared" si="51"/>
        <v>45383</v>
      </c>
      <c r="C2352" s="57"/>
      <c r="D2352" s="3" t="s">
        <v>105</v>
      </c>
      <c r="E2352" s="18">
        <f t="shared" si="50"/>
        <v>0</v>
      </c>
      <c r="F2352" s="166">
        <f t="shared" si="50"/>
        <v>0</v>
      </c>
      <c r="G2352" s="166">
        <f t="shared" si="49"/>
        <v>0</v>
      </c>
      <c r="H2352" s="21">
        <f t="shared" si="49"/>
        <v>0</v>
      </c>
      <c r="I2352" s="21">
        <f t="shared" si="49"/>
        <v>0</v>
      </c>
      <c r="J2352" s="21">
        <f t="shared" si="44"/>
        <v>0</v>
      </c>
      <c r="K2352" s="21">
        <f t="shared" si="44"/>
        <v>0</v>
      </c>
      <c r="L2352" s="21">
        <f t="shared" si="44"/>
        <v>0</v>
      </c>
      <c r="M2352" s="21">
        <f t="shared" si="44"/>
        <v>0</v>
      </c>
      <c r="N2352" s="21">
        <f t="shared" si="44"/>
        <v>0</v>
      </c>
      <c r="O2352" s="19">
        <f t="shared" si="48"/>
        <v>0</v>
      </c>
      <c r="P2352" s="22">
        <f t="shared" si="48"/>
        <v>0</v>
      </c>
      <c r="Q2352" s="22">
        <f t="shared" si="48"/>
        <v>0</v>
      </c>
      <c r="R2352" s="236"/>
      <c r="S2352" s="234"/>
      <c r="T2352" s="235"/>
    </row>
    <row r="2353" spans="1:20" hidden="1" x14ac:dyDescent="0.35">
      <c r="A2353" s="3"/>
      <c r="B2353" s="165">
        <f t="shared" si="51"/>
        <v>45383</v>
      </c>
      <c r="C2353" s="57"/>
      <c r="D2353" s="3" t="s">
        <v>105</v>
      </c>
      <c r="E2353" s="18">
        <f t="shared" si="50"/>
        <v>0</v>
      </c>
      <c r="F2353" s="166">
        <f t="shared" si="50"/>
        <v>0</v>
      </c>
      <c r="G2353" s="166">
        <f t="shared" si="49"/>
        <v>0</v>
      </c>
      <c r="H2353" s="21">
        <f t="shared" si="49"/>
        <v>0</v>
      </c>
      <c r="I2353" s="21">
        <f t="shared" si="49"/>
        <v>0</v>
      </c>
      <c r="J2353" s="21">
        <f t="shared" si="44"/>
        <v>0</v>
      </c>
      <c r="K2353" s="21">
        <f t="shared" si="44"/>
        <v>0</v>
      </c>
      <c r="L2353" s="21">
        <f t="shared" si="44"/>
        <v>0</v>
      </c>
      <c r="M2353" s="21">
        <f t="shared" si="44"/>
        <v>0</v>
      </c>
      <c r="N2353" s="21">
        <f t="shared" si="44"/>
        <v>0</v>
      </c>
      <c r="O2353" s="19">
        <f t="shared" si="48"/>
        <v>0</v>
      </c>
      <c r="P2353" s="22">
        <f t="shared" si="48"/>
        <v>0</v>
      </c>
      <c r="Q2353" s="22">
        <f t="shared" si="48"/>
        <v>0</v>
      </c>
      <c r="R2353" s="236"/>
      <c r="S2353" s="234"/>
      <c r="T2353" s="235"/>
    </row>
    <row r="2354" spans="1:20" hidden="1" x14ac:dyDescent="0.35">
      <c r="A2354" s="3"/>
      <c r="B2354" s="165">
        <f t="shared" si="51"/>
        <v>45383</v>
      </c>
      <c r="C2354" s="57"/>
      <c r="D2354" s="3" t="s">
        <v>106</v>
      </c>
      <c r="E2354" s="18">
        <f t="shared" si="50"/>
        <v>219</v>
      </c>
      <c r="F2354" s="166">
        <f t="shared" si="50"/>
        <v>1255</v>
      </c>
      <c r="G2354" s="166">
        <f t="shared" si="49"/>
        <v>1258</v>
      </c>
      <c r="H2354" s="21">
        <f t="shared" si="49"/>
        <v>2551</v>
      </c>
      <c r="I2354" s="21">
        <f t="shared" si="49"/>
        <v>330</v>
      </c>
      <c r="J2354" s="21">
        <f t="shared" si="44"/>
        <v>957</v>
      </c>
      <c r="K2354" s="21">
        <f t="shared" si="44"/>
        <v>203</v>
      </c>
      <c r="L2354" s="21">
        <f t="shared" si="44"/>
        <v>2056</v>
      </c>
      <c r="M2354" s="21">
        <f t="shared" si="44"/>
        <v>638</v>
      </c>
      <c r="N2354" s="21">
        <f t="shared" si="44"/>
        <v>1276</v>
      </c>
      <c r="O2354" s="19">
        <f t="shared" si="48"/>
        <v>2112</v>
      </c>
      <c r="P2354" s="22">
        <f t="shared" si="48"/>
        <v>354</v>
      </c>
      <c r="Q2354" s="22">
        <f t="shared" si="48"/>
        <v>218</v>
      </c>
      <c r="R2354" s="236"/>
      <c r="S2354" s="234"/>
      <c r="T2354" s="235"/>
    </row>
    <row r="2355" spans="1:20" hidden="1" x14ac:dyDescent="0.35">
      <c r="A2355" s="3"/>
      <c r="B2355" s="165">
        <f t="shared" si="51"/>
        <v>45383</v>
      </c>
      <c r="C2355" s="57"/>
      <c r="D2355" s="3" t="s">
        <v>107</v>
      </c>
      <c r="E2355" s="18">
        <f t="shared" si="50"/>
        <v>234</v>
      </c>
      <c r="F2355" s="166">
        <f t="shared" si="50"/>
        <v>1098</v>
      </c>
      <c r="G2355" s="166">
        <f t="shared" si="49"/>
        <v>1345</v>
      </c>
      <c r="H2355" s="21">
        <f t="shared" si="49"/>
        <v>1594</v>
      </c>
      <c r="I2355" s="21">
        <f t="shared" si="49"/>
        <v>266</v>
      </c>
      <c r="J2355" s="21">
        <f t="shared" si="49"/>
        <v>787</v>
      </c>
      <c r="K2355" s="21">
        <f t="shared" si="49"/>
        <v>197</v>
      </c>
      <c r="L2355" s="21">
        <f t="shared" si="49"/>
        <v>1905</v>
      </c>
      <c r="M2355" s="21">
        <f t="shared" si="49"/>
        <v>761</v>
      </c>
      <c r="N2355" s="21">
        <f t="shared" si="49"/>
        <v>1117</v>
      </c>
      <c r="O2355" s="19">
        <f t="shared" si="48"/>
        <v>1980</v>
      </c>
      <c r="P2355" s="22">
        <f t="shared" si="48"/>
        <v>422</v>
      </c>
      <c r="Q2355" s="22">
        <f t="shared" si="48"/>
        <v>271</v>
      </c>
      <c r="R2355" s="236"/>
      <c r="S2355" s="234"/>
      <c r="T2355" s="235"/>
    </row>
    <row r="2356" spans="1:20" hidden="1" x14ac:dyDescent="0.35">
      <c r="A2356" s="3"/>
      <c r="B2356" s="165">
        <f t="shared" si="51"/>
        <v>45383</v>
      </c>
      <c r="C2356" s="57"/>
      <c r="D2356" s="3" t="s">
        <v>108</v>
      </c>
      <c r="E2356" s="18">
        <f t="shared" si="50"/>
        <v>311</v>
      </c>
      <c r="F2356" s="166">
        <f t="shared" si="50"/>
        <v>1224</v>
      </c>
      <c r="G2356" s="166">
        <f t="shared" si="49"/>
        <v>1276</v>
      </c>
      <c r="H2356" s="21">
        <f t="shared" si="49"/>
        <v>2150</v>
      </c>
      <c r="I2356" s="21">
        <f t="shared" si="49"/>
        <v>335</v>
      </c>
      <c r="J2356" s="21">
        <f t="shared" si="49"/>
        <v>1072</v>
      </c>
      <c r="K2356" s="21">
        <f t="shared" si="49"/>
        <v>217</v>
      </c>
      <c r="L2356" s="21">
        <f t="shared" si="49"/>
        <v>2534</v>
      </c>
      <c r="M2356" s="21">
        <f t="shared" si="49"/>
        <v>761</v>
      </c>
      <c r="N2356" s="21">
        <f t="shared" si="49"/>
        <v>1244</v>
      </c>
      <c r="O2356" s="19">
        <f t="shared" si="48"/>
        <v>2310</v>
      </c>
      <c r="P2356" s="22">
        <f t="shared" si="48"/>
        <v>425</v>
      </c>
      <c r="Q2356" s="22">
        <f t="shared" si="48"/>
        <v>278</v>
      </c>
      <c r="R2356" s="236"/>
      <c r="S2356" s="234"/>
      <c r="T2356" s="235"/>
    </row>
    <row r="2357" spans="1:20" hidden="1" x14ac:dyDescent="0.35">
      <c r="A2357" s="3"/>
      <c r="B2357" s="165">
        <f t="shared" si="51"/>
        <v>45383</v>
      </c>
      <c r="C2357" s="57"/>
      <c r="D2357" s="3" t="s">
        <v>109</v>
      </c>
      <c r="E2357" s="18">
        <f t="shared" si="50"/>
        <v>528</v>
      </c>
      <c r="F2357" s="166">
        <f t="shared" si="50"/>
        <v>2594</v>
      </c>
      <c r="G2357" s="166">
        <f t="shared" si="49"/>
        <v>2118</v>
      </c>
      <c r="H2357" s="21">
        <f t="shared" si="49"/>
        <v>4993</v>
      </c>
      <c r="I2357" s="21">
        <f t="shared" si="49"/>
        <v>643</v>
      </c>
      <c r="J2357" s="21">
        <f t="shared" si="49"/>
        <v>2389</v>
      </c>
      <c r="K2357" s="21">
        <f t="shared" si="49"/>
        <v>380</v>
      </c>
      <c r="L2357" s="21">
        <f t="shared" si="49"/>
        <v>4355</v>
      </c>
      <c r="M2357" s="21">
        <f t="shared" si="49"/>
        <v>1331</v>
      </c>
      <c r="N2357" s="21">
        <f t="shared" si="49"/>
        <v>2624</v>
      </c>
      <c r="O2357" s="19">
        <f t="shared" si="48"/>
        <v>4070</v>
      </c>
      <c r="P2357" s="22">
        <f t="shared" si="48"/>
        <v>258</v>
      </c>
      <c r="Q2357" s="22">
        <f t="shared" si="48"/>
        <v>167</v>
      </c>
      <c r="R2357" s="236"/>
      <c r="S2357" s="234"/>
      <c r="T2357" s="235"/>
    </row>
    <row r="2358" spans="1:20" hidden="1" x14ac:dyDescent="0.35">
      <c r="A2358" s="3"/>
      <c r="B2358" s="165">
        <f t="shared" si="51"/>
        <v>45383</v>
      </c>
      <c r="C2358" s="57"/>
      <c r="D2358" s="3" t="s">
        <v>110</v>
      </c>
      <c r="E2358" s="18">
        <f t="shared" si="50"/>
        <v>0</v>
      </c>
      <c r="F2358" s="166">
        <f t="shared" si="50"/>
        <v>0</v>
      </c>
      <c r="G2358" s="166">
        <f t="shared" si="49"/>
        <v>0</v>
      </c>
      <c r="H2358" s="21">
        <f t="shared" si="49"/>
        <v>0</v>
      </c>
      <c r="I2358" s="21">
        <f t="shared" si="49"/>
        <v>0</v>
      </c>
      <c r="J2358" s="21">
        <f t="shared" si="49"/>
        <v>0</v>
      </c>
      <c r="K2358" s="21">
        <f t="shared" si="49"/>
        <v>0</v>
      </c>
      <c r="L2358" s="21">
        <f t="shared" si="49"/>
        <v>0</v>
      </c>
      <c r="M2358" s="21">
        <f t="shared" si="49"/>
        <v>0</v>
      </c>
      <c r="N2358" s="21">
        <f t="shared" si="49"/>
        <v>0</v>
      </c>
      <c r="O2358" s="19">
        <f t="shared" si="48"/>
        <v>0</v>
      </c>
      <c r="P2358" s="22">
        <f t="shared" si="48"/>
        <v>0</v>
      </c>
      <c r="Q2358" s="22">
        <f t="shared" si="48"/>
        <v>0</v>
      </c>
      <c r="R2358" s="236"/>
      <c r="S2358" s="234"/>
      <c r="T2358" s="235"/>
    </row>
    <row r="2359" spans="1:20" hidden="1" x14ac:dyDescent="0.35">
      <c r="A2359" s="3"/>
      <c r="B2359" s="165">
        <f>DATE(YEAR(B2358+31),MONTH(B2358+31),1)</f>
        <v>45413</v>
      </c>
      <c r="C2359" s="57"/>
      <c r="D2359" s="3" t="s">
        <v>16</v>
      </c>
      <c r="E2359" s="18">
        <f t="shared" si="50"/>
        <v>431</v>
      </c>
      <c r="F2359" s="166">
        <f t="shared" si="50"/>
        <v>2251</v>
      </c>
      <c r="G2359" s="166">
        <f t="shared" si="49"/>
        <v>2046</v>
      </c>
      <c r="H2359" s="21">
        <f t="shared" si="49"/>
        <v>3487</v>
      </c>
      <c r="I2359" s="21">
        <f t="shared" si="49"/>
        <v>521</v>
      </c>
      <c r="J2359" s="21">
        <f t="shared" si="49"/>
        <v>1906</v>
      </c>
      <c r="K2359" s="21">
        <f t="shared" si="49"/>
        <v>394</v>
      </c>
      <c r="L2359" s="21">
        <f t="shared" si="49"/>
        <v>3690</v>
      </c>
      <c r="M2359" s="21">
        <f t="shared" si="49"/>
        <v>1408</v>
      </c>
      <c r="N2359" s="21">
        <f t="shared" si="49"/>
        <v>2280</v>
      </c>
      <c r="O2359" s="19">
        <f t="shared" si="48"/>
        <v>4004</v>
      </c>
      <c r="P2359" s="22">
        <f t="shared" si="48"/>
        <v>342</v>
      </c>
      <c r="Q2359" s="22">
        <f t="shared" si="48"/>
        <v>187</v>
      </c>
      <c r="R2359" s="236"/>
      <c r="S2359" s="234"/>
      <c r="T2359" s="235"/>
    </row>
    <row r="2360" spans="1:20" hidden="1" x14ac:dyDescent="0.35">
      <c r="A2360" s="3"/>
      <c r="B2360" s="165">
        <f t="shared" si="51"/>
        <v>45413</v>
      </c>
      <c r="C2360" s="57"/>
      <c r="D2360" s="3" t="s">
        <v>104</v>
      </c>
      <c r="E2360" s="18">
        <f t="shared" si="50"/>
        <v>0</v>
      </c>
      <c r="F2360" s="166">
        <f t="shared" si="50"/>
        <v>0</v>
      </c>
      <c r="G2360" s="166">
        <f t="shared" si="49"/>
        <v>0</v>
      </c>
      <c r="H2360" s="21">
        <f t="shared" si="49"/>
        <v>0</v>
      </c>
      <c r="I2360" s="21">
        <f t="shared" si="49"/>
        <v>0</v>
      </c>
      <c r="J2360" s="21">
        <f t="shared" si="49"/>
        <v>0</v>
      </c>
      <c r="K2360" s="21">
        <f t="shared" si="49"/>
        <v>0</v>
      </c>
      <c r="L2360" s="21">
        <f t="shared" si="49"/>
        <v>0</v>
      </c>
      <c r="M2360" s="21">
        <f t="shared" si="49"/>
        <v>0</v>
      </c>
      <c r="N2360" s="21">
        <f t="shared" si="49"/>
        <v>0</v>
      </c>
      <c r="O2360" s="19">
        <f t="shared" si="48"/>
        <v>0</v>
      </c>
      <c r="P2360" s="22">
        <f t="shared" si="48"/>
        <v>0</v>
      </c>
      <c r="Q2360" s="22">
        <f t="shared" si="48"/>
        <v>0</v>
      </c>
      <c r="R2360" s="236"/>
      <c r="S2360" s="234"/>
      <c r="T2360" s="235"/>
    </row>
    <row r="2361" spans="1:20" hidden="1" x14ac:dyDescent="0.35">
      <c r="A2361" s="3"/>
      <c r="B2361" s="165">
        <f t="shared" si="51"/>
        <v>45413</v>
      </c>
      <c r="C2361" s="57"/>
      <c r="D2361" s="3" t="s">
        <v>105</v>
      </c>
      <c r="E2361" s="18">
        <f t="shared" si="50"/>
        <v>0</v>
      </c>
      <c r="F2361" s="166">
        <f t="shared" si="50"/>
        <v>0</v>
      </c>
      <c r="G2361" s="166">
        <f t="shared" si="49"/>
        <v>0</v>
      </c>
      <c r="H2361" s="21">
        <f t="shared" si="49"/>
        <v>0</v>
      </c>
      <c r="I2361" s="21">
        <f t="shared" si="49"/>
        <v>0</v>
      </c>
      <c r="J2361" s="21">
        <f t="shared" si="49"/>
        <v>0</v>
      </c>
      <c r="K2361" s="21">
        <f t="shared" si="49"/>
        <v>0</v>
      </c>
      <c r="L2361" s="21">
        <f t="shared" si="49"/>
        <v>0</v>
      </c>
      <c r="M2361" s="21">
        <f t="shared" si="49"/>
        <v>0</v>
      </c>
      <c r="N2361" s="21">
        <f t="shared" si="49"/>
        <v>0</v>
      </c>
      <c r="O2361" s="19">
        <f t="shared" si="48"/>
        <v>0</v>
      </c>
      <c r="P2361" s="22">
        <f t="shared" si="48"/>
        <v>0</v>
      </c>
      <c r="Q2361" s="22">
        <f t="shared" si="48"/>
        <v>0</v>
      </c>
      <c r="R2361" s="236"/>
      <c r="S2361" s="234"/>
      <c r="T2361" s="235"/>
    </row>
    <row r="2362" spans="1:20" hidden="1" x14ac:dyDescent="0.35">
      <c r="A2362" s="3"/>
      <c r="B2362" s="165">
        <f t="shared" si="51"/>
        <v>45413</v>
      </c>
      <c r="C2362" s="57"/>
      <c r="D2362" s="3" t="s">
        <v>105</v>
      </c>
      <c r="E2362" s="18">
        <f t="shared" si="50"/>
        <v>0</v>
      </c>
      <c r="F2362" s="166">
        <f t="shared" si="50"/>
        <v>0</v>
      </c>
      <c r="G2362" s="166">
        <f t="shared" si="49"/>
        <v>0</v>
      </c>
      <c r="H2362" s="21">
        <f t="shared" si="49"/>
        <v>0</v>
      </c>
      <c r="I2362" s="21">
        <f t="shared" si="49"/>
        <v>0</v>
      </c>
      <c r="J2362" s="21">
        <f t="shared" si="49"/>
        <v>0</v>
      </c>
      <c r="K2362" s="21">
        <f t="shared" si="49"/>
        <v>0</v>
      </c>
      <c r="L2362" s="21">
        <f t="shared" si="49"/>
        <v>0</v>
      </c>
      <c r="M2362" s="21">
        <f t="shared" si="49"/>
        <v>0</v>
      </c>
      <c r="N2362" s="21">
        <f t="shared" si="49"/>
        <v>0</v>
      </c>
      <c r="O2362" s="19">
        <f t="shared" si="48"/>
        <v>0</v>
      </c>
      <c r="P2362" s="22">
        <f t="shared" si="48"/>
        <v>0</v>
      </c>
      <c r="Q2362" s="22">
        <f t="shared" si="48"/>
        <v>0</v>
      </c>
      <c r="R2362" s="236"/>
      <c r="S2362" s="234"/>
      <c r="T2362" s="235"/>
    </row>
    <row r="2363" spans="1:20" hidden="1" x14ac:dyDescent="0.35">
      <c r="A2363" s="3"/>
      <c r="B2363" s="165">
        <f t="shared" si="51"/>
        <v>45413</v>
      </c>
      <c r="C2363" s="57"/>
      <c r="D2363" s="3" t="s">
        <v>106</v>
      </c>
      <c r="E2363" s="18">
        <f t="shared" si="50"/>
        <v>231</v>
      </c>
      <c r="F2363" s="166">
        <f t="shared" si="50"/>
        <v>1309</v>
      </c>
      <c r="G2363" s="166">
        <f t="shared" si="49"/>
        <v>1302</v>
      </c>
      <c r="H2363" s="21">
        <f t="shared" si="49"/>
        <v>2749</v>
      </c>
      <c r="I2363" s="21">
        <f t="shared" si="49"/>
        <v>381</v>
      </c>
      <c r="J2363" s="21">
        <f t="shared" si="49"/>
        <v>1090</v>
      </c>
      <c r="K2363" s="21">
        <f t="shared" si="49"/>
        <v>231</v>
      </c>
      <c r="L2363" s="21">
        <f t="shared" si="49"/>
        <v>2186</v>
      </c>
      <c r="M2363" s="21">
        <f t="shared" si="49"/>
        <v>702</v>
      </c>
      <c r="N2363" s="21">
        <f t="shared" si="49"/>
        <v>1334</v>
      </c>
      <c r="O2363" s="19">
        <f t="shared" si="48"/>
        <v>2178</v>
      </c>
      <c r="P2363" s="22">
        <f t="shared" si="48"/>
        <v>304</v>
      </c>
      <c r="Q2363" s="22">
        <f t="shared" si="48"/>
        <v>208</v>
      </c>
      <c r="R2363" s="236"/>
      <c r="S2363" s="234"/>
      <c r="T2363" s="235"/>
    </row>
    <row r="2364" spans="1:20" hidden="1" x14ac:dyDescent="0.35">
      <c r="A2364" s="3"/>
      <c r="B2364" s="165">
        <f t="shared" si="51"/>
        <v>45413</v>
      </c>
      <c r="C2364" s="57"/>
      <c r="D2364" s="3" t="s">
        <v>107</v>
      </c>
      <c r="E2364" s="18">
        <f t="shared" si="50"/>
        <v>245</v>
      </c>
      <c r="F2364" s="166">
        <f t="shared" si="50"/>
        <v>1180</v>
      </c>
      <c r="G2364" s="166">
        <f t="shared" si="49"/>
        <v>1292</v>
      </c>
      <c r="H2364" s="21">
        <f t="shared" si="49"/>
        <v>1615</v>
      </c>
      <c r="I2364" s="21">
        <f t="shared" si="49"/>
        <v>283</v>
      </c>
      <c r="J2364" s="21">
        <f t="shared" si="49"/>
        <v>778</v>
      </c>
      <c r="K2364" s="21">
        <f t="shared" si="49"/>
        <v>214</v>
      </c>
      <c r="L2364" s="21">
        <f t="shared" si="49"/>
        <v>1914</v>
      </c>
      <c r="M2364" s="21">
        <f t="shared" si="49"/>
        <v>786</v>
      </c>
      <c r="N2364" s="21">
        <f t="shared" si="49"/>
        <v>1186</v>
      </c>
      <c r="O2364" s="19">
        <f t="shared" si="48"/>
        <v>1980</v>
      </c>
      <c r="P2364" s="22">
        <f t="shared" si="48"/>
        <v>449</v>
      </c>
      <c r="Q2364" s="22">
        <f t="shared" si="48"/>
        <v>269</v>
      </c>
      <c r="R2364" s="236"/>
      <c r="S2364" s="234"/>
      <c r="T2364" s="235"/>
    </row>
    <row r="2365" spans="1:20" hidden="1" x14ac:dyDescent="0.35">
      <c r="A2365" s="3"/>
      <c r="B2365" s="165">
        <f t="shared" si="51"/>
        <v>45413</v>
      </c>
      <c r="C2365" s="57"/>
      <c r="D2365" s="3" t="s">
        <v>108</v>
      </c>
      <c r="E2365" s="18">
        <f t="shared" si="50"/>
        <v>320</v>
      </c>
      <c r="F2365" s="166">
        <f t="shared" si="50"/>
        <v>1362</v>
      </c>
      <c r="G2365" s="166">
        <f t="shared" si="49"/>
        <v>1249</v>
      </c>
      <c r="H2365" s="21">
        <f t="shared" si="49"/>
        <v>2350</v>
      </c>
      <c r="I2365" s="21">
        <f t="shared" si="49"/>
        <v>363</v>
      </c>
      <c r="J2365" s="21">
        <f t="shared" si="49"/>
        <v>1154</v>
      </c>
      <c r="K2365" s="21">
        <f t="shared" si="49"/>
        <v>262</v>
      </c>
      <c r="L2365" s="21">
        <f t="shared" si="49"/>
        <v>2571</v>
      </c>
      <c r="M2365" s="21">
        <f t="shared" si="49"/>
        <v>813</v>
      </c>
      <c r="N2365" s="21">
        <f t="shared" si="49"/>
        <v>1383</v>
      </c>
      <c r="O2365" s="19">
        <f t="shared" si="48"/>
        <v>2398</v>
      </c>
      <c r="P2365" s="22">
        <f t="shared" si="48"/>
        <v>474</v>
      </c>
      <c r="Q2365" s="22">
        <f t="shared" si="48"/>
        <v>288</v>
      </c>
      <c r="R2365" s="236"/>
      <c r="S2365" s="234"/>
      <c r="T2365" s="235"/>
    </row>
    <row r="2366" spans="1:20" hidden="1" x14ac:dyDescent="0.35">
      <c r="A2366" s="3"/>
      <c r="B2366" s="165">
        <f t="shared" si="51"/>
        <v>45413</v>
      </c>
      <c r="C2366" s="57"/>
      <c r="D2366" s="3" t="s">
        <v>109</v>
      </c>
      <c r="E2366" s="18">
        <f t="shared" si="50"/>
        <v>520</v>
      </c>
      <c r="F2366" s="166">
        <f t="shared" si="50"/>
        <v>2782</v>
      </c>
      <c r="G2366" s="166">
        <f t="shared" si="49"/>
        <v>2607</v>
      </c>
      <c r="H2366" s="21">
        <f t="shared" si="49"/>
        <v>5744</v>
      </c>
      <c r="I2366" s="21">
        <f t="shared" si="49"/>
        <v>704</v>
      </c>
      <c r="J2366" s="21">
        <f t="shared" si="49"/>
        <v>2451</v>
      </c>
      <c r="K2366" s="21">
        <f t="shared" si="49"/>
        <v>427</v>
      </c>
      <c r="L2366" s="21">
        <f t="shared" si="49"/>
        <v>4808</v>
      </c>
      <c r="M2366" s="21">
        <f t="shared" si="49"/>
        <v>1324</v>
      </c>
      <c r="N2366" s="21">
        <f t="shared" si="49"/>
        <v>2817</v>
      </c>
      <c r="O2366" s="19">
        <f t="shared" si="48"/>
        <v>4070</v>
      </c>
      <c r="P2366" s="22">
        <f t="shared" si="48"/>
        <v>299</v>
      </c>
      <c r="Q2366" s="22">
        <f t="shared" si="48"/>
        <v>201</v>
      </c>
      <c r="R2366" s="236"/>
      <c r="S2366" s="234"/>
      <c r="T2366" s="235"/>
    </row>
    <row r="2367" spans="1:20" hidden="1" x14ac:dyDescent="0.35">
      <c r="A2367" s="3"/>
      <c r="B2367" s="165">
        <f t="shared" si="51"/>
        <v>45413</v>
      </c>
      <c r="C2367" s="57"/>
      <c r="D2367" s="3" t="s">
        <v>110</v>
      </c>
      <c r="E2367" s="18">
        <f t="shared" si="50"/>
        <v>0</v>
      </c>
      <c r="F2367" s="166">
        <f t="shared" si="50"/>
        <v>0</v>
      </c>
      <c r="G2367" s="166">
        <f t="shared" si="49"/>
        <v>0</v>
      </c>
      <c r="H2367" s="21">
        <f t="shared" si="49"/>
        <v>0</v>
      </c>
      <c r="I2367" s="21">
        <f t="shared" si="49"/>
        <v>0</v>
      </c>
      <c r="J2367" s="21">
        <f t="shared" si="49"/>
        <v>0</v>
      </c>
      <c r="K2367" s="21">
        <f t="shared" si="49"/>
        <v>0</v>
      </c>
      <c r="L2367" s="21">
        <f t="shared" si="49"/>
        <v>0</v>
      </c>
      <c r="M2367" s="21">
        <f t="shared" si="49"/>
        <v>0</v>
      </c>
      <c r="N2367" s="21">
        <f t="shared" si="49"/>
        <v>0</v>
      </c>
      <c r="O2367" s="19">
        <f t="shared" si="48"/>
        <v>0</v>
      </c>
      <c r="P2367" s="22">
        <f t="shared" si="48"/>
        <v>0</v>
      </c>
      <c r="Q2367" s="22">
        <f t="shared" si="48"/>
        <v>0</v>
      </c>
      <c r="R2367" s="236"/>
      <c r="S2367" s="234"/>
      <c r="T2367" s="235"/>
    </row>
    <row r="2368" spans="1:20" hidden="1" x14ac:dyDescent="0.35">
      <c r="A2368" s="3"/>
      <c r="B2368" s="165">
        <f>DATE(YEAR(B2367+31),MONTH(B2367+31),1)</f>
        <v>45444</v>
      </c>
      <c r="C2368" s="57"/>
      <c r="D2368" s="3" t="s">
        <v>16</v>
      </c>
      <c r="E2368" s="18">
        <f t="shared" si="50"/>
        <v>408</v>
      </c>
      <c r="F2368" s="166">
        <f t="shared" si="50"/>
        <v>1942</v>
      </c>
      <c r="G2368" s="166">
        <f t="shared" si="49"/>
        <v>2009</v>
      </c>
      <c r="H2368" s="21">
        <f t="shared" si="49"/>
        <v>3395</v>
      </c>
      <c r="I2368" s="21">
        <f t="shared" si="49"/>
        <v>522</v>
      </c>
      <c r="J2368" s="21">
        <f t="shared" si="49"/>
        <v>1771</v>
      </c>
      <c r="K2368" s="21">
        <f t="shared" si="49"/>
        <v>313</v>
      </c>
      <c r="L2368" s="21">
        <f t="shared" si="49"/>
        <v>3425</v>
      </c>
      <c r="M2368" s="21">
        <f t="shared" si="49"/>
        <v>1214</v>
      </c>
      <c r="N2368" s="21">
        <f t="shared" si="49"/>
        <v>1999</v>
      </c>
      <c r="O2368" s="19">
        <f t="shared" si="48"/>
        <v>4004</v>
      </c>
      <c r="P2368" s="22">
        <f t="shared" si="48"/>
        <v>287</v>
      </c>
      <c r="Q2368" s="22">
        <f t="shared" si="48"/>
        <v>161</v>
      </c>
      <c r="R2368" s="236"/>
      <c r="S2368" s="234"/>
      <c r="T2368" s="235"/>
    </row>
    <row r="2369" spans="1:20" hidden="1" x14ac:dyDescent="0.35">
      <c r="A2369" s="3"/>
      <c r="B2369" s="165">
        <f t="shared" si="51"/>
        <v>45444</v>
      </c>
      <c r="C2369" s="57"/>
      <c r="D2369" s="3" t="s">
        <v>104</v>
      </c>
      <c r="E2369" s="18">
        <f t="shared" si="50"/>
        <v>0</v>
      </c>
      <c r="F2369" s="166">
        <f t="shared" si="50"/>
        <v>0</v>
      </c>
      <c r="G2369" s="166">
        <f t="shared" si="49"/>
        <v>0</v>
      </c>
      <c r="H2369" s="21">
        <f t="shared" si="49"/>
        <v>0</v>
      </c>
      <c r="I2369" s="21">
        <f t="shared" si="49"/>
        <v>0</v>
      </c>
      <c r="J2369" s="21">
        <f t="shared" si="49"/>
        <v>0</v>
      </c>
      <c r="K2369" s="21">
        <f t="shared" si="49"/>
        <v>0</v>
      </c>
      <c r="L2369" s="21">
        <f t="shared" si="49"/>
        <v>0</v>
      </c>
      <c r="M2369" s="21">
        <f t="shared" si="49"/>
        <v>0</v>
      </c>
      <c r="N2369" s="21">
        <f t="shared" si="49"/>
        <v>0</v>
      </c>
      <c r="O2369" s="19">
        <f t="shared" si="48"/>
        <v>0</v>
      </c>
      <c r="P2369" s="22">
        <f t="shared" si="48"/>
        <v>0</v>
      </c>
      <c r="Q2369" s="22">
        <f t="shared" si="48"/>
        <v>0</v>
      </c>
      <c r="R2369" s="236"/>
      <c r="S2369" s="234"/>
      <c r="T2369" s="235"/>
    </row>
    <row r="2370" spans="1:20" hidden="1" x14ac:dyDescent="0.35">
      <c r="A2370" s="3"/>
      <c r="B2370" s="165">
        <f t="shared" si="51"/>
        <v>45444</v>
      </c>
      <c r="C2370" s="57"/>
      <c r="D2370" s="3" t="s">
        <v>105</v>
      </c>
      <c r="E2370" s="18">
        <f t="shared" si="50"/>
        <v>0</v>
      </c>
      <c r="F2370" s="166">
        <f t="shared" si="50"/>
        <v>0</v>
      </c>
      <c r="G2370" s="166">
        <f t="shared" si="49"/>
        <v>0</v>
      </c>
      <c r="H2370" s="21">
        <f t="shared" si="49"/>
        <v>0</v>
      </c>
      <c r="I2370" s="21">
        <f t="shared" si="49"/>
        <v>0</v>
      </c>
      <c r="J2370" s="21">
        <f t="shared" si="49"/>
        <v>0</v>
      </c>
      <c r="K2370" s="21">
        <f t="shared" si="49"/>
        <v>0</v>
      </c>
      <c r="L2370" s="21">
        <f t="shared" si="49"/>
        <v>0</v>
      </c>
      <c r="M2370" s="21">
        <f t="shared" si="49"/>
        <v>0</v>
      </c>
      <c r="N2370" s="21">
        <f t="shared" si="49"/>
        <v>0</v>
      </c>
      <c r="O2370" s="19">
        <f t="shared" si="48"/>
        <v>0</v>
      </c>
      <c r="P2370" s="22">
        <f t="shared" si="48"/>
        <v>0</v>
      </c>
      <c r="Q2370" s="22">
        <f t="shared" si="48"/>
        <v>0</v>
      </c>
      <c r="R2370" s="236"/>
      <c r="S2370" s="234"/>
      <c r="T2370" s="235"/>
    </row>
    <row r="2371" spans="1:20" hidden="1" x14ac:dyDescent="0.35">
      <c r="A2371" s="3"/>
      <c r="B2371" s="165">
        <f t="shared" si="51"/>
        <v>45444</v>
      </c>
      <c r="C2371" s="57"/>
      <c r="D2371" s="3" t="s">
        <v>105</v>
      </c>
      <c r="E2371" s="18">
        <f t="shared" si="50"/>
        <v>0</v>
      </c>
      <c r="F2371" s="166">
        <f t="shared" si="50"/>
        <v>0</v>
      </c>
      <c r="G2371" s="166">
        <f t="shared" si="49"/>
        <v>0</v>
      </c>
      <c r="H2371" s="21">
        <f t="shared" si="49"/>
        <v>0</v>
      </c>
      <c r="I2371" s="21">
        <f t="shared" si="49"/>
        <v>0</v>
      </c>
      <c r="J2371" s="21">
        <f t="shared" si="49"/>
        <v>0</v>
      </c>
      <c r="K2371" s="21">
        <f t="shared" si="49"/>
        <v>0</v>
      </c>
      <c r="L2371" s="21">
        <f t="shared" si="49"/>
        <v>0</v>
      </c>
      <c r="M2371" s="21">
        <f t="shared" si="49"/>
        <v>0</v>
      </c>
      <c r="N2371" s="21">
        <f t="shared" si="49"/>
        <v>0</v>
      </c>
      <c r="O2371" s="19">
        <f t="shared" si="48"/>
        <v>0</v>
      </c>
      <c r="P2371" s="22">
        <f t="shared" si="48"/>
        <v>0</v>
      </c>
      <c r="Q2371" s="22">
        <f t="shared" si="48"/>
        <v>0</v>
      </c>
      <c r="R2371" s="236"/>
      <c r="S2371" s="234"/>
      <c r="T2371" s="235"/>
    </row>
    <row r="2372" spans="1:20" hidden="1" x14ac:dyDescent="0.35">
      <c r="A2372" s="3"/>
      <c r="B2372" s="165">
        <f t="shared" si="51"/>
        <v>45444</v>
      </c>
      <c r="C2372" s="57"/>
      <c r="D2372" s="3" t="s">
        <v>106</v>
      </c>
      <c r="E2372" s="18">
        <f t="shared" si="50"/>
        <v>214</v>
      </c>
      <c r="F2372" s="166">
        <f t="shared" si="50"/>
        <v>1276</v>
      </c>
      <c r="G2372" s="166">
        <f t="shared" si="49"/>
        <v>1227</v>
      </c>
      <c r="H2372" s="21">
        <f t="shared" si="49"/>
        <v>2702</v>
      </c>
      <c r="I2372" s="21">
        <f t="shared" si="49"/>
        <v>389</v>
      </c>
      <c r="J2372" s="21">
        <f t="shared" si="49"/>
        <v>1085</v>
      </c>
      <c r="K2372" s="21">
        <f t="shared" si="49"/>
        <v>225</v>
      </c>
      <c r="L2372" s="21">
        <f t="shared" si="49"/>
        <v>2145</v>
      </c>
      <c r="M2372" s="21">
        <f t="shared" si="49"/>
        <v>658</v>
      </c>
      <c r="N2372" s="21">
        <f t="shared" si="49"/>
        <v>1306</v>
      </c>
      <c r="O2372" s="19">
        <f t="shared" si="48"/>
        <v>2134</v>
      </c>
      <c r="P2372" s="22">
        <f t="shared" si="48"/>
        <v>294</v>
      </c>
      <c r="Q2372" s="22">
        <f t="shared" si="48"/>
        <v>210</v>
      </c>
      <c r="R2372" s="236"/>
      <c r="S2372" s="234"/>
      <c r="T2372" s="235"/>
    </row>
    <row r="2373" spans="1:20" hidden="1" x14ac:dyDescent="0.35">
      <c r="A2373" s="3"/>
      <c r="B2373" s="165">
        <f t="shared" si="51"/>
        <v>45444</v>
      </c>
      <c r="C2373" s="57"/>
      <c r="D2373" s="3" t="s">
        <v>107</v>
      </c>
      <c r="E2373" s="18">
        <f t="shared" si="50"/>
        <v>217</v>
      </c>
      <c r="F2373" s="166">
        <f t="shared" si="50"/>
        <v>1055</v>
      </c>
      <c r="G2373" s="166">
        <f t="shared" si="49"/>
        <v>1170</v>
      </c>
      <c r="H2373" s="21">
        <f t="shared" si="49"/>
        <v>1524</v>
      </c>
      <c r="I2373" s="21">
        <f t="shared" si="49"/>
        <v>279</v>
      </c>
      <c r="J2373" s="21">
        <f t="shared" si="49"/>
        <v>713</v>
      </c>
      <c r="K2373" s="21">
        <f t="shared" si="49"/>
        <v>200</v>
      </c>
      <c r="L2373" s="21">
        <f t="shared" si="49"/>
        <v>1767</v>
      </c>
      <c r="M2373" s="21">
        <f t="shared" si="49"/>
        <v>768</v>
      </c>
      <c r="N2373" s="21">
        <f t="shared" si="49"/>
        <v>1097</v>
      </c>
      <c r="O2373" s="19">
        <f t="shared" si="48"/>
        <v>1980</v>
      </c>
      <c r="P2373" s="22">
        <f t="shared" si="48"/>
        <v>421</v>
      </c>
      <c r="Q2373" s="22">
        <f t="shared" si="48"/>
        <v>261</v>
      </c>
      <c r="R2373" s="236"/>
      <c r="S2373" s="234"/>
      <c r="T2373" s="235"/>
    </row>
    <row r="2374" spans="1:20" hidden="1" x14ac:dyDescent="0.35">
      <c r="A2374" s="3"/>
      <c r="B2374" s="165">
        <f t="shared" si="51"/>
        <v>45444</v>
      </c>
      <c r="C2374" s="57"/>
      <c r="D2374" s="3" t="s">
        <v>108</v>
      </c>
      <c r="E2374" s="18">
        <f t="shared" si="50"/>
        <v>299</v>
      </c>
      <c r="F2374" s="166">
        <f t="shared" si="50"/>
        <v>1302</v>
      </c>
      <c r="G2374" s="166">
        <f t="shared" si="49"/>
        <v>1235</v>
      </c>
      <c r="H2374" s="21">
        <f t="shared" si="49"/>
        <v>2294</v>
      </c>
      <c r="I2374" s="21">
        <f t="shared" si="49"/>
        <v>351</v>
      </c>
      <c r="J2374" s="21">
        <f t="shared" si="49"/>
        <v>1029</v>
      </c>
      <c r="K2374" s="21">
        <f t="shared" si="49"/>
        <v>222</v>
      </c>
      <c r="L2374" s="21">
        <f t="shared" si="49"/>
        <v>2503</v>
      </c>
      <c r="M2374" s="21">
        <f t="shared" si="49"/>
        <v>795</v>
      </c>
      <c r="N2374" s="21">
        <f t="shared" si="49"/>
        <v>1323</v>
      </c>
      <c r="O2374" s="19">
        <f t="shared" si="48"/>
        <v>2442</v>
      </c>
      <c r="P2374" s="22">
        <f t="shared" si="48"/>
        <v>401</v>
      </c>
      <c r="Q2374" s="22">
        <f t="shared" si="48"/>
        <v>255</v>
      </c>
      <c r="R2374" s="236"/>
      <c r="S2374" s="234"/>
      <c r="T2374" s="235"/>
    </row>
    <row r="2375" spans="1:20" hidden="1" x14ac:dyDescent="0.35">
      <c r="A2375" s="3"/>
      <c r="B2375" s="165">
        <f t="shared" si="51"/>
        <v>45444</v>
      </c>
      <c r="C2375" s="57"/>
      <c r="D2375" s="3" t="s">
        <v>109</v>
      </c>
      <c r="E2375" s="18">
        <f t="shared" si="50"/>
        <v>452</v>
      </c>
      <c r="F2375" s="166">
        <f t="shared" si="50"/>
        <v>2477</v>
      </c>
      <c r="G2375" s="166">
        <f t="shared" si="49"/>
        <v>2499</v>
      </c>
      <c r="H2375" s="21">
        <f t="shared" si="49"/>
        <v>4727</v>
      </c>
      <c r="I2375" s="21">
        <f t="shared" si="49"/>
        <v>649</v>
      </c>
      <c r="J2375" s="21">
        <f t="shared" si="49"/>
        <v>2333</v>
      </c>
      <c r="K2375" s="21">
        <f t="shared" si="49"/>
        <v>426</v>
      </c>
      <c r="L2375" s="21">
        <f t="shared" si="49"/>
        <v>4494</v>
      </c>
      <c r="M2375" s="21">
        <f t="shared" si="49"/>
        <v>1276</v>
      </c>
      <c r="N2375" s="21">
        <f t="shared" si="49"/>
        <v>2538</v>
      </c>
      <c r="O2375" s="19">
        <f t="shared" si="48"/>
        <v>4136</v>
      </c>
      <c r="P2375" s="22">
        <f t="shared" si="48"/>
        <v>193</v>
      </c>
      <c r="Q2375" s="22">
        <f t="shared" si="48"/>
        <v>130</v>
      </c>
      <c r="R2375" s="236"/>
      <c r="S2375" s="234"/>
      <c r="T2375" s="235"/>
    </row>
    <row r="2376" spans="1:20" hidden="1" x14ac:dyDescent="0.35">
      <c r="A2376" s="3"/>
      <c r="B2376" s="165">
        <f t="shared" si="51"/>
        <v>45444</v>
      </c>
      <c r="C2376" s="57"/>
      <c r="D2376" s="3" t="s">
        <v>110</v>
      </c>
      <c r="E2376" s="18">
        <f t="shared" si="50"/>
        <v>0</v>
      </c>
      <c r="F2376" s="166">
        <f t="shared" si="50"/>
        <v>0</v>
      </c>
      <c r="G2376" s="166">
        <f t="shared" si="49"/>
        <v>0</v>
      </c>
      <c r="H2376" s="21">
        <f t="shared" si="49"/>
        <v>0</v>
      </c>
      <c r="I2376" s="21">
        <f t="shared" si="49"/>
        <v>0</v>
      </c>
      <c r="J2376" s="21">
        <f t="shared" si="49"/>
        <v>0</v>
      </c>
      <c r="K2376" s="21">
        <f t="shared" si="49"/>
        <v>0</v>
      </c>
      <c r="L2376" s="21">
        <f t="shared" si="49"/>
        <v>0</v>
      </c>
      <c r="M2376" s="21">
        <f t="shared" si="49"/>
        <v>0</v>
      </c>
      <c r="N2376" s="21">
        <f t="shared" si="49"/>
        <v>0</v>
      </c>
      <c r="O2376" s="19">
        <f t="shared" si="48"/>
        <v>0</v>
      </c>
      <c r="P2376" s="22">
        <f t="shared" si="48"/>
        <v>0</v>
      </c>
      <c r="Q2376" s="22">
        <f t="shared" si="48"/>
        <v>0</v>
      </c>
      <c r="R2376" s="236"/>
      <c r="S2376" s="234"/>
      <c r="T2376" s="235"/>
    </row>
    <row r="2377" spans="1:20" hidden="1" x14ac:dyDescent="0.35">
      <c r="A2377" s="3"/>
      <c r="B2377" s="165">
        <f>DATE(YEAR(B2376+31),MONTH(B2376+31),1)</f>
        <v>45474</v>
      </c>
      <c r="C2377" s="57"/>
      <c r="D2377" s="3" t="s">
        <v>16</v>
      </c>
      <c r="E2377" s="18">
        <f t="shared" si="50"/>
        <v>410</v>
      </c>
      <c r="F2377" s="166">
        <f t="shared" si="50"/>
        <v>1909</v>
      </c>
      <c r="G2377" s="166">
        <f t="shared" si="49"/>
        <v>2033</v>
      </c>
      <c r="H2377" s="21">
        <f t="shared" si="49"/>
        <v>3292</v>
      </c>
      <c r="I2377" s="21">
        <f t="shared" si="49"/>
        <v>513</v>
      </c>
      <c r="J2377" s="21">
        <f t="shared" si="49"/>
        <v>1736</v>
      </c>
      <c r="K2377" s="21">
        <f t="shared" si="49"/>
        <v>321</v>
      </c>
      <c r="L2377" s="21">
        <f t="shared" si="49"/>
        <v>3450</v>
      </c>
      <c r="M2377" s="21">
        <f t="shared" si="49"/>
        <v>1239</v>
      </c>
      <c r="N2377" s="21">
        <f t="shared" si="49"/>
        <v>1934</v>
      </c>
      <c r="O2377" s="19">
        <f t="shared" si="48"/>
        <v>3938</v>
      </c>
      <c r="P2377" s="22">
        <f t="shared" si="48"/>
        <v>265</v>
      </c>
      <c r="Q2377" s="22">
        <f t="shared" si="48"/>
        <v>156</v>
      </c>
      <c r="R2377" s="236"/>
      <c r="S2377" s="234"/>
      <c r="T2377" s="235"/>
    </row>
    <row r="2378" spans="1:20" hidden="1" x14ac:dyDescent="0.35">
      <c r="A2378" s="3"/>
      <c r="B2378" s="165">
        <f t="shared" ref="B2378:B2403" si="52">B2377</f>
        <v>45474</v>
      </c>
      <c r="C2378" s="57"/>
      <c r="D2378" s="3" t="s">
        <v>104</v>
      </c>
      <c r="E2378" s="18">
        <f t="shared" si="50"/>
        <v>0</v>
      </c>
      <c r="F2378" s="166">
        <f t="shared" si="50"/>
        <v>0</v>
      </c>
      <c r="G2378" s="166">
        <f t="shared" si="49"/>
        <v>0</v>
      </c>
      <c r="H2378" s="21">
        <f t="shared" si="49"/>
        <v>0</v>
      </c>
      <c r="I2378" s="21">
        <f t="shared" si="49"/>
        <v>0</v>
      </c>
      <c r="J2378" s="21">
        <f t="shared" si="49"/>
        <v>0</v>
      </c>
      <c r="K2378" s="21">
        <f t="shared" si="49"/>
        <v>0</v>
      </c>
      <c r="L2378" s="21">
        <f t="shared" si="49"/>
        <v>0</v>
      </c>
      <c r="M2378" s="21">
        <f t="shared" si="49"/>
        <v>0</v>
      </c>
      <c r="N2378" s="21">
        <f t="shared" si="49"/>
        <v>0</v>
      </c>
      <c r="O2378" s="19">
        <f t="shared" si="48"/>
        <v>0</v>
      </c>
      <c r="P2378" s="22">
        <f t="shared" si="48"/>
        <v>0</v>
      </c>
      <c r="Q2378" s="22">
        <f t="shared" si="48"/>
        <v>0</v>
      </c>
      <c r="R2378" s="236"/>
      <c r="S2378" s="234"/>
      <c r="T2378" s="235"/>
    </row>
    <row r="2379" spans="1:20" hidden="1" x14ac:dyDescent="0.35">
      <c r="A2379" s="3"/>
      <c r="B2379" s="165">
        <f t="shared" si="52"/>
        <v>45474</v>
      </c>
      <c r="C2379" s="57"/>
      <c r="D2379" s="3" t="s">
        <v>105</v>
      </c>
      <c r="E2379" s="18">
        <f t="shared" si="50"/>
        <v>0</v>
      </c>
      <c r="F2379" s="166">
        <f t="shared" si="50"/>
        <v>0</v>
      </c>
      <c r="G2379" s="166">
        <f t="shared" si="50"/>
        <v>0</v>
      </c>
      <c r="H2379" s="21">
        <f t="shared" si="50"/>
        <v>0</v>
      </c>
      <c r="I2379" s="21">
        <f t="shared" si="50"/>
        <v>0</v>
      </c>
      <c r="J2379" s="21">
        <f t="shared" si="50"/>
        <v>0</v>
      </c>
      <c r="K2379" s="21">
        <f t="shared" si="50"/>
        <v>0</v>
      </c>
      <c r="L2379" s="21">
        <f t="shared" si="50"/>
        <v>0</v>
      </c>
      <c r="M2379" s="21">
        <f t="shared" si="50"/>
        <v>0</v>
      </c>
      <c r="N2379" s="21">
        <f t="shared" si="50"/>
        <v>0</v>
      </c>
      <c r="O2379" s="19">
        <f t="shared" si="48"/>
        <v>0</v>
      </c>
      <c r="P2379" s="22">
        <f t="shared" si="48"/>
        <v>0</v>
      </c>
      <c r="Q2379" s="22">
        <f t="shared" si="48"/>
        <v>0</v>
      </c>
      <c r="R2379" s="236"/>
      <c r="S2379" s="234"/>
      <c r="T2379" s="235"/>
    </row>
    <row r="2380" spans="1:20" hidden="1" x14ac:dyDescent="0.35">
      <c r="A2380" s="3"/>
      <c r="B2380" s="165">
        <f t="shared" si="52"/>
        <v>45474</v>
      </c>
      <c r="C2380" s="57"/>
      <c r="D2380" s="3" t="s">
        <v>105</v>
      </c>
      <c r="E2380" s="18">
        <f t="shared" si="50"/>
        <v>0</v>
      </c>
      <c r="F2380" s="166">
        <f t="shared" si="50"/>
        <v>0</v>
      </c>
      <c r="G2380" s="166">
        <f t="shared" si="50"/>
        <v>0</v>
      </c>
      <c r="H2380" s="21">
        <f t="shared" si="50"/>
        <v>0</v>
      </c>
      <c r="I2380" s="21">
        <f t="shared" si="50"/>
        <v>0</v>
      </c>
      <c r="J2380" s="21">
        <f t="shared" si="50"/>
        <v>0</v>
      </c>
      <c r="K2380" s="21">
        <f t="shared" si="50"/>
        <v>0</v>
      </c>
      <c r="L2380" s="21">
        <f t="shared" si="50"/>
        <v>0</v>
      </c>
      <c r="M2380" s="21">
        <f t="shared" si="50"/>
        <v>0</v>
      </c>
      <c r="N2380" s="21">
        <f t="shared" si="50"/>
        <v>0</v>
      </c>
      <c r="O2380" s="19">
        <f t="shared" si="48"/>
        <v>0</v>
      </c>
      <c r="P2380" s="22">
        <f t="shared" si="48"/>
        <v>0</v>
      </c>
      <c r="Q2380" s="22">
        <f t="shared" si="48"/>
        <v>0</v>
      </c>
      <c r="R2380" s="236"/>
      <c r="S2380" s="234"/>
      <c r="T2380" s="235"/>
    </row>
    <row r="2381" spans="1:20" hidden="1" x14ac:dyDescent="0.35">
      <c r="A2381" s="3"/>
      <c r="B2381" s="165">
        <f t="shared" si="52"/>
        <v>45474</v>
      </c>
      <c r="C2381" s="57"/>
      <c r="D2381" s="3" t="s">
        <v>106</v>
      </c>
      <c r="E2381" s="18">
        <f t="shared" si="50"/>
        <v>226</v>
      </c>
      <c r="F2381" s="166">
        <f t="shared" si="50"/>
        <v>1274</v>
      </c>
      <c r="G2381" s="166">
        <f t="shared" si="50"/>
        <v>1445</v>
      </c>
      <c r="H2381" s="21">
        <f t="shared" si="50"/>
        <v>2674</v>
      </c>
      <c r="I2381" s="21">
        <f t="shared" si="50"/>
        <v>343</v>
      </c>
      <c r="J2381" s="21">
        <f t="shared" si="50"/>
        <v>1161</v>
      </c>
      <c r="K2381" s="21">
        <f t="shared" si="50"/>
        <v>227</v>
      </c>
      <c r="L2381" s="21">
        <f t="shared" si="50"/>
        <v>2063</v>
      </c>
      <c r="M2381" s="21">
        <f t="shared" si="50"/>
        <v>619</v>
      </c>
      <c r="N2381" s="21">
        <f t="shared" si="50"/>
        <v>1295</v>
      </c>
      <c r="O2381" s="19">
        <f t="shared" si="48"/>
        <v>2112</v>
      </c>
      <c r="P2381" s="22">
        <f t="shared" si="48"/>
        <v>248</v>
      </c>
      <c r="Q2381" s="22">
        <f t="shared" si="48"/>
        <v>161</v>
      </c>
      <c r="R2381" s="236"/>
      <c r="S2381" s="234"/>
      <c r="T2381" s="235"/>
    </row>
    <row r="2382" spans="1:20" hidden="1" x14ac:dyDescent="0.35">
      <c r="A2382" s="3"/>
      <c r="B2382" s="165">
        <f t="shared" si="52"/>
        <v>45474</v>
      </c>
      <c r="C2382" s="57"/>
      <c r="D2382" s="3" t="s">
        <v>107</v>
      </c>
      <c r="E2382" s="18">
        <f t="shared" si="50"/>
        <v>221</v>
      </c>
      <c r="F2382" s="166">
        <f t="shared" si="50"/>
        <v>1099</v>
      </c>
      <c r="G2382" s="166">
        <f t="shared" si="50"/>
        <v>1190</v>
      </c>
      <c r="H2382" s="21">
        <f t="shared" si="50"/>
        <v>1523</v>
      </c>
      <c r="I2382" s="21">
        <f t="shared" si="50"/>
        <v>263</v>
      </c>
      <c r="J2382" s="21">
        <f t="shared" si="50"/>
        <v>798</v>
      </c>
      <c r="K2382" s="21">
        <f t="shared" si="50"/>
        <v>219</v>
      </c>
      <c r="L2382" s="21">
        <f t="shared" si="50"/>
        <v>1850</v>
      </c>
      <c r="M2382" s="21">
        <f t="shared" si="50"/>
        <v>786</v>
      </c>
      <c r="N2382" s="21">
        <f t="shared" si="50"/>
        <v>1112</v>
      </c>
      <c r="O2382" s="19">
        <f t="shared" si="48"/>
        <v>1980</v>
      </c>
      <c r="P2382" s="22">
        <f t="shared" si="48"/>
        <v>326</v>
      </c>
      <c r="Q2382" s="22">
        <f t="shared" si="48"/>
        <v>208</v>
      </c>
      <c r="R2382" s="236"/>
      <c r="S2382" s="234"/>
      <c r="T2382" s="235"/>
    </row>
    <row r="2383" spans="1:20" hidden="1" x14ac:dyDescent="0.35">
      <c r="A2383" s="3"/>
      <c r="B2383" s="165">
        <f t="shared" si="52"/>
        <v>45474</v>
      </c>
      <c r="C2383" s="57"/>
      <c r="D2383" s="3" t="s">
        <v>108</v>
      </c>
      <c r="E2383" s="18">
        <f t="shared" si="50"/>
        <v>289</v>
      </c>
      <c r="F2383" s="166">
        <f t="shared" si="50"/>
        <v>1327</v>
      </c>
      <c r="G2383" s="166">
        <f t="shared" si="50"/>
        <v>1351</v>
      </c>
      <c r="H2383" s="21">
        <f t="shared" si="50"/>
        <v>2393</v>
      </c>
      <c r="I2383" s="21">
        <f t="shared" si="50"/>
        <v>344</v>
      </c>
      <c r="J2383" s="21">
        <f t="shared" si="50"/>
        <v>1054</v>
      </c>
      <c r="K2383" s="21">
        <f t="shared" si="50"/>
        <v>228</v>
      </c>
      <c r="L2383" s="21">
        <f t="shared" si="50"/>
        <v>2639</v>
      </c>
      <c r="M2383" s="21">
        <f t="shared" si="50"/>
        <v>771</v>
      </c>
      <c r="N2383" s="21">
        <f t="shared" si="50"/>
        <v>1352</v>
      </c>
      <c r="O2383" s="19">
        <f t="shared" si="48"/>
        <v>2464</v>
      </c>
      <c r="P2383" s="22">
        <f t="shared" si="48"/>
        <v>343</v>
      </c>
      <c r="Q2383" s="22">
        <f t="shared" si="48"/>
        <v>210</v>
      </c>
      <c r="R2383" s="236"/>
      <c r="S2383" s="234"/>
      <c r="T2383" s="235"/>
    </row>
    <row r="2384" spans="1:20" hidden="1" x14ac:dyDescent="0.35">
      <c r="A2384" s="3"/>
      <c r="B2384" s="165">
        <f t="shared" si="52"/>
        <v>45474</v>
      </c>
      <c r="C2384" s="57"/>
      <c r="D2384" s="3" t="s">
        <v>109</v>
      </c>
      <c r="E2384" s="18">
        <f t="shared" si="50"/>
        <v>471</v>
      </c>
      <c r="F2384" s="166">
        <f t="shared" si="50"/>
        <v>2626</v>
      </c>
      <c r="G2384" s="166">
        <f t="shared" si="50"/>
        <v>2539</v>
      </c>
      <c r="H2384" s="21">
        <f t="shared" si="50"/>
        <v>4674</v>
      </c>
      <c r="I2384" s="21">
        <f t="shared" si="50"/>
        <v>645</v>
      </c>
      <c r="J2384" s="21">
        <f t="shared" si="50"/>
        <v>2451</v>
      </c>
      <c r="K2384" s="21">
        <f t="shared" si="50"/>
        <v>479</v>
      </c>
      <c r="L2384" s="21">
        <f t="shared" si="50"/>
        <v>4805</v>
      </c>
      <c r="M2384" s="21">
        <f t="shared" si="50"/>
        <v>1418</v>
      </c>
      <c r="N2384" s="21">
        <f t="shared" si="50"/>
        <v>2675</v>
      </c>
      <c r="O2384" s="19">
        <f t="shared" si="48"/>
        <v>4290</v>
      </c>
      <c r="P2384" s="22">
        <f t="shared" si="48"/>
        <v>224</v>
      </c>
      <c r="Q2384" s="22">
        <f t="shared" si="48"/>
        <v>156</v>
      </c>
      <c r="R2384" s="236"/>
      <c r="S2384" s="234"/>
      <c r="T2384" s="235"/>
    </row>
    <row r="2385" spans="1:20" hidden="1" x14ac:dyDescent="0.35">
      <c r="A2385" s="3"/>
      <c r="B2385" s="165">
        <f t="shared" si="52"/>
        <v>45474</v>
      </c>
      <c r="C2385" s="57"/>
      <c r="D2385" s="3" t="s">
        <v>110</v>
      </c>
      <c r="E2385" s="18">
        <f t="shared" si="50"/>
        <v>0</v>
      </c>
      <c r="F2385" s="166">
        <f t="shared" si="50"/>
        <v>0</v>
      </c>
      <c r="G2385" s="166">
        <f t="shared" si="50"/>
        <v>0</v>
      </c>
      <c r="H2385" s="21">
        <f t="shared" si="50"/>
        <v>0</v>
      </c>
      <c r="I2385" s="21">
        <f t="shared" si="50"/>
        <v>0</v>
      </c>
      <c r="J2385" s="21">
        <f t="shared" si="50"/>
        <v>0</v>
      </c>
      <c r="K2385" s="21">
        <f t="shared" si="50"/>
        <v>0</v>
      </c>
      <c r="L2385" s="21">
        <f t="shared" si="50"/>
        <v>0</v>
      </c>
      <c r="M2385" s="21">
        <f t="shared" si="50"/>
        <v>0</v>
      </c>
      <c r="N2385" s="21">
        <f t="shared" si="50"/>
        <v>0</v>
      </c>
      <c r="O2385" s="19">
        <f t="shared" si="48"/>
        <v>0</v>
      </c>
      <c r="P2385" s="22">
        <f t="shared" si="48"/>
        <v>0</v>
      </c>
      <c r="Q2385" s="22">
        <f t="shared" si="48"/>
        <v>0</v>
      </c>
      <c r="R2385" s="236"/>
      <c r="S2385" s="234"/>
      <c r="T2385" s="235"/>
    </row>
    <row r="2386" spans="1:20" hidden="1" x14ac:dyDescent="0.35">
      <c r="A2386" s="3"/>
      <c r="B2386" s="165">
        <f>DATE(YEAR(B2385+31),MONTH(B2385+31),1)</f>
        <v>45505</v>
      </c>
      <c r="C2386" s="57"/>
      <c r="D2386" s="3" t="s">
        <v>16</v>
      </c>
      <c r="E2386" s="18">
        <f t="shared" si="50"/>
        <v>390</v>
      </c>
      <c r="F2386" s="166">
        <f t="shared" si="50"/>
        <v>1983</v>
      </c>
      <c r="G2386" s="166">
        <f t="shared" si="50"/>
        <v>1999</v>
      </c>
      <c r="H2386" s="21">
        <f t="shared" si="50"/>
        <v>3586</v>
      </c>
      <c r="I2386" s="21">
        <f t="shared" si="50"/>
        <v>516</v>
      </c>
      <c r="J2386" s="21">
        <f t="shared" si="50"/>
        <v>1802</v>
      </c>
      <c r="K2386" s="21">
        <f t="shared" si="50"/>
        <v>344</v>
      </c>
      <c r="L2386" s="21">
        <f t="shared" si="50"/>
        <v>3537</v>
      </c>
      <c r="M2386" s="21">
        <f t="shared" si="50"/>
        <v>1249</v>
      </c>
      <c r="N2386" s="21">
        <f t="shared" si="50"/>
        <v>2038</v>
      </c>
      <c r="O2386" s="19">
        <f t="shared" si="48"/>
        <v>3850</v>
      </c>
      <c r="P2386" s="22">
        <f t="shared" si="48"/>
        <v>247</v>
      </c>
      <c r="Q2386" s="22">
        <f t="shared" si="48"/>
        <v>148</v>
      </c>
      <c r="R2386" s="236"/>
      <c r="S2386" s="234"/>
      <c r="T2386" s="235"/>
    </row>
    <row r="2387" spans="1:20" hidden="1" x14ac:dyDescent="0.35">
      <c r="A2387" s="3"/>
      <c r="B2387" s="165">
        <f t="shared" si="52"/>
        <v>45505</v>
      </c>
      <c r="C2387" s="57"/>
      <c r="D2387" s="3" t="s">
        <v>104</v>
      </c>
      <c r="E2387" s="18">
        <f t="shared" si="50"/>
        <v>0</v>
      </c>
      <c r="F2387" s="166">
        <f t="shared" si="50"/>
        <v>0</v>
      </c>
      <c r="G2387" s="166">
        <f t="shared" si="50"/>
        <v>0</v>
      </c>
      <c r="H2387" s="21">
        <f t="shared" si="50"/>
        <v>0</v>
      </c>
      <c r="I2387" s="21">
        <f t="shared" si="50"/>
        <v>0</v>
      </c>
      <c r="J2387" s="21">
        <f t="shared" si="50"/>
        <v>0</v>
      </c>
      <c r="K2387" s="21">
        <f t="shared" si="50"/>
        <v>0</v>
      </c>
      <c r="L2387" s="21">
        <f t="shared" si="50"/>
        <v>0</v>
      </c>
      <c r="M2387" s="21">
        <f t="shared" si="50"/>
        <v>0</v>
      </c>
      <c r="N2387" s="21">
        <f t="shared" si="50"/>
        <v>0</v>
      </c>
      <c r="O2387" s="19">
        <f t="shared" si="48"/>
        <v>0</v>
      </c>
      <c r="P2387" s="22">
        <f t="shared" si="48"/>
        <v>0</v>
      </c>
      <c r="Q2387" s="22">
        <f t="shared" si="48"/>
        <v>0</v>
      </c>
      <c r="R2387" s="236"/>
      <c r="S2387" s="234"/>
      <c r="T2387" s="235"/>
    </row>
    <row r="2388" spans="1:20" hidden="1" x14ac:dyDescent="0.35">
      <c r="A2388" s="3"/>
      <c r="B2388" s="165">
        <f t="shared" si="52"/>
        <v>45505</v>
      </c>
      <c r="C2388" s="57"/>
      <c r="D2388" s="3" t="s">
        <v>105</v>
      </c>
      <c r="E2388" s="18">
        <f t="shared" si="50"/>
        <v>0</v>
      </c>
      <c r="F2388" s="166">
        <f t="shared" si="50"/>
        <v>0</v>
      </c>
      <c r="G2388" s="166">
        <f t="shared" si="50"/>
        <v>0</v>
      </c>
      <c r="H2388" s="21">
        <f t="shared" si="50"/>
        <v>0</v>
      </c>
      <c r="I2388" s="21">
        <f t="shared" si="50"/>
        <v>0</v>
      </c>
      <c r="J2388" s="21">
        <f t="shared" si="50"/>
        <v>0</v>
      </c>
      <c r="K2388" s="21">
        <f t="shared" si="50"/>
        <v>0</v>
      </c>
      <c r="L2388" s="21">
        <f t="shared" si="50"/>
        <v>0</v>
      </c>
      <c r="M2388" s="21">
        <f t="shared" si="50"/>
        <v>0</v>
      </c>
      <c r="N2388" s="21">
        <f t="shared" si="50"/>
        <v>0</v>
      </c>
      <c r="O2388" s="19">
        <f t="shared" si="48"/>
        <v>0</v>
      </c>
      <c r="P2388" s="22">
        <f t="shared" si="48"/>
        <v>0</v>
      </c>
      <c r="Q2388" s="22">
        <f t="shared" si="48"/>
        <v>0</v>
      </c>
      <c r="R2388" s="236"/>
      <c r="S2388" s="234"/>
      <c r="T2388" s="235"/>
    </row>
    <row r="2389" spans="1:20" hidden="1" x14ac:dyDescent="0.35">
      <c r="A2389" s="3"/>
      <c r="B2389" s="165">
        <f t="shared" si="52"/>
        <v>45505</v>
      </c>
      <c r="C2389" s="57"/>
      <c r="D2389" s="3" t="s">
        <v>105</v>
      </c>
      <c r="E2389" s="18">
        <f t="shared" si="50"/>
        <v>0</v>
      </c>
      <c r="F2389" s="166">
        <f t="shared" si="50"/>
        <v>0</v>
      </c>
      <c r="G2389" s="166">
        <f t="shared" si="50"/>
        <v>0</v>
      </c>
      <c r="H2389" s="21">
        <f t="shared" si="50"/>
        <v>0</v>
      </c>
      <c r="I2389" s="21">
        <f t="shared" si="50"/>
        <v>0</v>
      </c>
      <c r="J2389" s="21">
        <f t="shared" si="50"/>
        <v>0</v>
      </c>
      <c r="K2389" s="21">
        <f t="shared" si="50"/>
        <v>0</v>
      </c>
      <c r="L2389" s="21">
        <f t="shared" si="50"/>
        <v>0</v>
      </c>
      <c r="M2389" s="21">
        <f t="shared" si="50"/>
        <v>0</v>
      </c>
      <c r="N2389" s="21">
        <f t="shared" si="50"/>
        <v>0</v>
      </c>
      <c r="O2389" s="19">
        <f t="shared" si="48"/>
        <v>0</v>
      </c>
      <c r="P2389" s="22">
        <f t="shared" si="48"/>
        <v>0</v>
      </c>
      <c r="Q2389" s="22">
        <f t="shared" si="48"/>
        <v>0</v>
      </c>
      <c r="R2389" s="236"/>
      <c r="S2389" s="234"/>
      <c r="T2389" s="235"/>
    </row>
    <row r="2390" spans="1:20" hidden="1" x14ac:dyDescent="0.35">
      <c r="A2390" s="3"/>
      <c r="B2390" s="165">
        <f t="shared" si="52"/>
        <v>45505</v>
      </c>
      <c r="C2390" s="57"/>
      <c r="D2390" s="3" t="s">
        <v>106</v>
      </c>
      <c r="E2390" s="18">
        <f t="shared" si="50"/>
        <v>220</v>
      </c>
      <c r="F2390" s="166">
        <f t="shared" ref="F2390:Q2411" si="53">SUMIFS(F$5:F$2214,$A$5:$A$2214,$D2390,$B$5:$B$2214,$B2390)</f>
        <v>1247</v>
      </c>
      <c r="G2390" s="166">
        <f t="shared" si="53"/>
        <v>1295</v>
      </c>
      <c r="H2390" s="21">
        <f t="shared" si="53"/>
        <v>2877</v>
      </c>
      <c r="I2390" s="21">
        <f t="shared" si="53"/>
        <v>380</v>
      </c>
      <c r="J2390" s="21">
        <f t="shared" si="53"/>
        <v>1233</v>
      </c>
      <c r="K2390" s="21">
        <f t="shared" si="53"/>
        <v>233</v>
      </c>
      <c r="L2390" s="21">
        <f t="shared" si="53"/>
        <v>2398</v>
      </c>
      <c r="M2390" s="21">
        <f t="shared" si="53"/>
        <v>655</v>
      </c>
      <c r="N2390" s="21">
        <f t="shared" si="53"/>
        <v>1281</v>
      </c>
      <c r="O2390" s="19">
        <f t="shared" si="48"/>
        <v>2134</v>
      </c>
      <c r="P2390" s="22">
        <f t="shared" si="48"/>
        <v>202</v>
      </c>
      <c r="Q2390" s="22">
        <f t="shared" si="48"/>
        <v>125</v>
      </c>
      <c r="R2390" s="236"/>
      <c r="S2390" s="234"/>
      <c r="T2390" s="235"/>
    </row>
    <row r="2391" spans="1:20" hidden="1" x14ac:dyDescent="0.35">
      <c r="A2391" s="3"/>
      <c r="B2391" s="165">
        <f t="shared" si="52"/>
        <v>45505</v>
      </c>
      <c r="C2391" s="57"/>
      <c r="D2391" s="3" t="s">
        <v>107</v>
      </c>
      <c r="E2391" s="18">
        <f t="shared" ref="E2391:K2422" si="54">SUMIFS(E$5:E$2214,$A$5:$A$2214,$D2391,$B$5:$B$2214,$B2391)</f>
        <v>199</v>
      </c>
      <c r="F2391" s="166">
        <f t="shared" si="53"/>
        <v>1004</v>
      </c>
      <c r="G2391" s="166">
        <f t="shared" si="53"/>
        <v>1137</v>
      </c>
      <c r="H2391" s="21">
        <f t="shared" si="53"/>
        <v>1597</v>
      </c>
      <c r="I2391" s="21">
        <f t="shared" si="53"/>
        <v>272</v>
      </c>
      <c r="J2391" s="21">
        <f t="shared" si="53"/>
        <v>788</v>
      </c>
      <c r="K2391" s="21">
        <f t="shared" si="53"/>
        <v>194</v>
      </c>
      <c r="L2391" s="21">
        <f t="shared" si="53"/>
        <v>1861</v>
      </c>
      <c r="M2391" s="21">
        <f t="shared" si="53"/>
        <v>710</v>
      </c>
      <c r="N2391" s="21">
        <f t="shared" si="53"/>
        <v>1016</v>
      </c>
      <c r="O2391" s="19">
        <f t="shared" si="53"/>
        <v>1980</v>
      </c>
      <c r="P2391" s="22">
        <f t="shared" si="53"/>
        <v>259</v>
      </c>
      <c r="Q2391" s="22">
        <f t="shared" si="53"/>
        <v>155</v>
      </c>
      <c r="R2391" s="236"/>
      <c r="S2391" s="234"/>
      <c r="T2391" s="235"/>
    </row>
    <row r="2392" spans="1:20" hidden="1" x14ac:dyDescent="0.35">
      <c r="A2392" s="3"/>
      <c r="B2392" s="165">
        <f t="shared" si="52"/>
        <v>45505</v>
      </c>
      <c r="C2392" s="57"/>
      <c r="D2392" s="3" t="s">
        <v>108</v>
      </c>
      <c r="E2392" s="18">
        <f t="shared" si="54"/>
        <v>318</v>
      </c>
      <c r="F2392" s="166">
        <f t="shared" si="53"/>
        <v>1317</v>
      </c>
      <c r="G2392" s="166">
        <f t="shared" si="53"/>
        <v>1282</v>
      </c>
      <c r="H2392" s="21">
        <f t="shared" si="53"/>
        <v>2378</v>
      </c>
      <c r="I2392" s="21">
        <f t="shared" si="53"/>
        <v>319</v>
      </c>
      <c r="J2392" s="21">
        <f t="shared" si="53"/>
        <v>1105</v>
      </c>
      <c r="K2392" s="21">
        <f t="shared" si="53"/>
        <v>211</v>
      </c>
      <c r="L2392" s="21">
        <f t="shared" si="53"/>
        <v>2628</v>
      </c>
      <c r="M2392" s="21">
        <f t="shared" si="53"/>
        <v>772</v>
      </c>
      <c r="N2392" s="21">
        <f t="shared" si="53"/>
        <v>1329</v>
      </c>
      <c r="O2392" s="19">
        <f t="shared" si="53"/>
        <v>2376</v>
      </c>
      <c r="P2392" s="22">
        <f t="shared" si="53"/>
        <v>367</v>
      </c>
      <c r="Q2392" s="22">
        <f t="shared" si="53"/>
        <v>238</v>
      </c>
      <c r="R2392" s="236"/>
      <c r="S2392" s="234"/>
      <c r="T2392" s="235"/>
    </row>
    <row r="2393" spans="1:20" hidden="1" x14ac:dyDescent="0.35">
      <c r="A2393" s="3"/>
      <c r="B2393" s="165">
        <f t="shared" si="52"/>
        <v>45505</v>
      </c>
      <c r="C2393" s="57"/>
      <c r="D2393" s="3" t="s">
        <v>109</v>
      </c>
      <c r="E2393" s="18">
        <f t="shared" si="54"/>
        <v>494</v>
      </c>
      <c r="F2393" s="166">
        <f t="shared" si="53"/>
        <v>2655</v>
      </c>
      <c r="G2393" s="166">
        <f t="shared" si="53"/>
        <v>2619</v>
      </c>
      <c r="H2393" s="21">
        <f t="shared" si="53"/>
        <v>5404</v>
      </c>
      <c r="I2393" s="21">
        <f t="shared" si="53"/>
        <v>650</v>
      </c>
      <c r="J2393" s="21">
        <f t="shared" si="53"/>
        <v>2247</v>
      </c>
      <c r="K2393" s="21">
        <f t="shared" si="53"/>
        <v>485</v>
      </c>
      <c r="L2393" s="21">
        <f t="shared" si="53"/>
        <v>5031</v>
      </c>
      <c r="M2393" s="21">
        <f t="shared" si="53"/>
        <v>1408</v>
      </c>
      <c r="N2393" s="21">
        <f t="shared" si="53"/>
        <v>2709</v>
      </c>
      <c r="O2393" s="19">
        <f t="shared" si="53"/>
        <v>4158</v>
      </c>
      <c r="P2393" s="22">
        <f t="shared" si="53"/>
        <v>214</v>
      </c>
      <c r="Q2393" s="22">
        <f t="shared" si="53"/>
        <v>156</v>
      </c>
      <c r="R2393" s="236" t="str">
        <f t="shared" si="41"/>
        <v>-</v>
      </c>
      <c r="S2393" s="234">
        <f t="shared" ref="S2393:T2412" si="55">SUMIFS(S$5:S$2214,$B$5:$B$2214,$B2393,$A$5:$A$2214,$D2393)</f>
        <v>0</v>
      </c>
      <c r="T2393" s="235">
        <f t="shared" si="55"/>
        <v>0</v>
      </c>
    </row>
    <row r="2394" spans="1:20" hidden="1" x14ac:dyDescent="0.35">
      <c r="A2394" s="3"/>
      <c r="B2394" s="165">
        <f t="shared" si="52"/>
        <v>45505</v>
      </c>
      <c r="C2394" s="57"/>
      <c r="D2394" s="3" t="s">
        <v>110</v>
      </c>
      <c r="E2394" s="18">
        <f t="shared" si="54"/>
        <v>0</v>
      </c>
      <c r="F2394" s="166">
        <f t="shared" si="53"/>
        <v>0</v>
      </c>
      <c r="G2394" s="166">
        <f t="shared" si="53"/>
        <v>0</v>
      </c>
      <c r="H2394" s="21">
        <f t="shared" si="53"/>
        <v>0</v>
      </c>
      <c r="I2394" s="21">
        <f t="shared" si="53"/>
        <v>0</v>
      </c>
      <c r="J2394" s="21">
        <f t="shared" si="53"/>
        <v>0</v>
      </c>
      <c r="K2394" s="21">
        <f t="shared" si="53"/>
        <v>0</v>
      </c>
      <c r="L2394" s="21">
        <f t="shared" si="53"/>
        <v>0</v>
      </c>
      <c r="M2394" s="21">
        <f t="shared" si="53"/>
        <v>0</v>
      </c>
      <c r="N2394" s="21">
        <f t="shared" si="53"/>
        <v>0</v>
      </c>
      <c r="O2394" s="19">
        <f t="shared" si="53"/>
        <v>0</v>
      </c>
      <c r="P2394" s="22">
        <f t="shared" si="53"/>
        <v>0</v>
      </c>
      <c r="Q2394" s="22">
        <f t="shared" si="53"/>
        <v>0</v>
      </c>
      <c r="R2394" s="236" t="str">
        <f t="shared" si="41"/>
        <v>-</v>
      </c>
      <c r="S2394" s="234">
        <f t="shared" si="55"/>
        <v>0</v>
      </c>
      <c r="T2394" s="235">
        <f t="shared" si="55"/>
        <v>0</v>
      </c>
    </row>
    <row r="2395" spans="1:20" hidden="1" x14ac:dyDescent="0.35">
      <c r="A2395" s="3"/>
      <c r="B2395" s="165">
        <f>DATE(YEAR(B2394+31),MONTH(B2394+31),1)</f>
        <v>45536</v>
      </c>
      <c r="C2395" s="57"/>
      <c r="D2395" s="3" t="s">
        <v>16</v>
      </c>
      <c r="E2395" s="18">
        <f t="shared" si="54"/>
        <v>380</v>
      </c>
      <c r="F2395" s="166">
        <f t="shared" si="53"/>
        <v>1831</v>
      </c>
      <c r="G2395" s="166">
        <f t="shared" si="53"/>
        <v>2035</v>
      </c>
      <c r="H2395" s="21">
        <f t="shared" si="53"/>
        <v>3362</v>
      </c>
      <c r="I2395" s="21">
        <f t="shared" si="53"/>
        <v>506</v>
      </c>
      <c r="J2395" s="21">
        <f t="shared" si="53"/>
        <v>1546</v>
      </c>
      <c r="K2395" s="21">
        <f t="shared" si="53"/>
        <v>297</v>
      </c>
      <c r="L2395" s="21">
        <f t="shared" si="53"/>
        <v>3286</v>
      </c>
      <c r="M2395" s="21">
        <f t="shared" si="53"/>
        <v>1211</v>
      </c>
      <c r="N2395" s="21">
        <f t="shared" si="53"/>
        <v>1878</v>
      </c>
      <c r="O2395" s="19">
        <f t="shared" si="53"/>
        <v>3839</v>
      </c>
      <c r="P2395" s="22">
        <f t="shared" si="53"/>
        <v>212</v>
      </c>
      <c r="Q2395" s="22">
        <f t="shared" si="53"/>
        <v>116</v>
      </c>
      <c r="R2395" s="236" t="str">
        <f t="shared" si="41"/>
        <v>-</v>
      </c>
      <c r="S2395" s="234">
        <f t="shared" si="55"/>
        <v>0</v>
      </c>
      <c r="T2395" s="235">
        <f t="shared" si="55"/>
        <v>0</v>
      </c>
    </row>
    <row r="2396" spans="1:20" hidden="1" x14ac:dyDescent="0.35">
      <c r="A2396" s="3"/>
      <c r="B2396" s="165">
        <f t="shared" si="52"/>
        <v>45536</v>
      </c>
      <c r="C2396" s="57"/>
      <c r="D2396" s="3" t="s">
        <v>104</v>
      </c>
      <c r="E2396" s="18">
        <f t="shared" si="54"/>
        <v>0</v>
      </c>
      <c r="F2396" s="166">
        <f t="shared" si="53"/>
        <v>0</v>
      </c>
      <c r="G2396" s="166">
        <f t="shared" si="53"/>
        <v>0</v>
      </c>
      <c r="H2396" s="21">
        <f t="shared" si="53"/>
        <v>0</v>
      </c>
      <c r="I2396" s="21">
        <f t="shared" si="53"/>
        <v>0</v>
      </c>
      <c r="J2396" s="21">
        <f t="shared" si="53"/>
        <v>0</v>
      </c>
      <c r="K2396" s="21">
        <f t="shared" si="53"/>
        <v>0</v>
      </c>
      <c r="L2396" s="21">
        <f t="shared" si="53"/>
        <v>0</v>
      </c>
      <c r="M2396" s="21">
        <f t="shared" si="53"/>
        <v>0</v>
      </c>
      <c r="N2396" s="21">
        <f t="shared" si="53"/>
        <v>0</v>
      </c>
      <c r="O2396" s="19">
        <f t="shared" si="53"/>
        <v>0</v>
      </c>
      <c r="P2396" s="22">
        <f t="shared" si="53"/>
        <v>0</v>
      </c>
      <c r="Q2396" s="22">
        <f t="shared" si="53"/>
        <v>0</v>
      </c>
      <c r="R2396" s="236" t="str">
        <f t="shared" si="41"/>
        <v>-</v>
      </c>
      <c r="S2396" s="234">
        <f t="shared" si="55"/>
        <v>0</v>
      </c>
      <c r="T2396" s="235">
        <f t="shared" si="55"/>
        <v>0</v>
      </c>
    </row>
    <row r="2397" spans="1:20" hidden="1" x14ac:dyDescent="0.35">
      <c r="A2397" s="3"/>
      <c r="B2397" s="165">
        <f t="shared" si="52"/>
        <v>45536</v>
      </c>
      <c r="C2397" s="57"/>
      <c r="D2397" s="3" t="s">
        <v>105</v>
      </c>
      <c r="E2397" s="18">
        <f t="shared" si="54"/>
        <v>0</v>
      </c>
      <c r="F2397" s="166">
        <f t="shared" si="53"/>
        <v>0</v>
      </c>
      <c r="G2397" s="166">
        <f t="shared" si="53"/>
        <v>0</v>
      </c>
      <c r="H2397" s="21">
        <f t="shared" si="53"/>
        <v>0</v>
      </c>
      <c r="I2397" s="21">
        <f t="shared" si="53"/>
        <v>0</v>
      </c>
      <c r="J2397" s="21">
        <f t="shared" si="53"/>
        <v>0</v>
      </c>
      <c r="K2397" s="21">
        <f t="shared" si="53"/>
        <v>0</v>
      </c>
      <c r="L2397" s="21">
        <f t="shared" si="53"/>
        <v>0</v>
      </c>
      <c r="M2397" s="21">
        <f t="shared" si="53"/>
        <v>0</v>
      </c>
      <c r="N2397" s="21">
        <f t="shared" si="53"/>
        <v>0</v>
      </c>
      <c r="O2397" s="19">
        <f t="shared" si="53"/>
        <v>0</v>
      </c>
      <c r="P2397" s="22">
        <f t="shared" si="53"/>
        <v>0</v>
      </c>
      <c r="Q2397" s="22">
        <f t="shared" si="53"/>
        <v>0</v>
      </c>
      <c r="R2397" s="236" t="str">
        <f t="shared" si="41"/>
        <v>-</v>
      </c>
      <c r="S2397" s="234">
        <f t="shared" si="55"/>
        <v>0</v>
      </c>
      <c r="T2397" s="235">
        <f t="shared" si="55"/>
        <v>0</v>
      </c>
    </row>
    <row r="2398" spans="1:20" hidden="1" x14ac:dyDescent="0.35">
      <c r="A2398" s="3"/>
      <c r="B2398" s="165">
        <f t="shared" si="52"/>
        <v>45536</v>
      </c>
      <c r="C2398" s="57"/>
      <c r="D2398" s="3" t="s">
        <v>105</v>
      </c>
      <c r="E2398" s="18">
        <f t="shared" si="54"/>
        <v>0</v>
      </c>
      <c r="F2398" s="166">
        <f t="shared" si="53"/>
        <v>0</v>
      </c>
      <c r="G2398" s="166">
        <f t="shared" si="53"/>
        <v>0</v>
      </c>
      <c r="H2398" s="21">
        <f t="shared" si="53"/>
        <v>0</v>
      </c>
      <c r="I2398" s="21">
        <f t="shared" si="53"/>
        <v>0</v>
      </c>
      <c r="J2398" s="21">
        <f t="shared" si="53"/>
        <v>0</v>
      </c>
      <c r="K2398" s="21">
        <f t="shared" si="53"/>
        <v>0</v>
      </c>
      <c r="L2398" s="21">
        <f t="shared" si="53"/>
        <v>0</v>
      </c>
      <c r="M2398" s="21">
        <f t="shared" si="53"/>
        <v>0</v>
      </c>
      <c r="N2398" s="21">
        <f t="shared" si="53"/>
        <v>0</v>
      </c>
      <c r="O2398" s="19">
        <f t="shared" si="53"/>
        <v>0</v>
      </c>
      <c r="P2398" s="22">
        <f t="shared" si="53"/>
        <v>0</v>
      </c>
      <c r="Q2398" s="22">
        <f t="shared" si="53"/>
        <v>0</v>
      </c>
      <c r="R2398" s="236" t="str">
        <f t="shared" si="41"/>
        <v>-</v>
      </c>
      <c r="S2398" s="234">
        <f t="shared" si="55"/>
        <v>0</v>
      </c>
      <c r="T2398" s="235">
        <f t="shared" si="55"/>
        <v>0</v>
      </c>
    </row>
    <row r="2399" spans="1:20" hidden="1" x14ac:dyDescent="0.35">
      <c r="A2399" s="3"/>
      <c r="B2399" s="165">
        <f t="shared" si="52"/>
        <v>45536</v>
      </c>
      <c r="C2399" s="57"/>
      <c r="D2399" s="3" t="s">
        <v>106</v>
      </c>
      <c r="E2399" s="18">
        <f t="shared" si="54"/>
        <v>210</v>
      </c>
      <c r="F2399" s="166">
        <f t="shared" si="53"/>
        <v>1142</v>
      </c>
      <c r="G2399" s="166">
        <f t="shared" si="53"/>
        <v>1341</v>
      </c>
      <c r="H2399" s="21">
        <f t="shared" si="53"/>
        <v>2579</v>
      </c>
      <c r="I2399" s="21">
        <f t="shared" si="53"/>
        <v>319</v>
      </c>
      <c r="J2399" s="21">
        <f t="shared" si="53"/>
        <v>1088</v>
      </c>
      <c r="K2399" s="21">
        <f t="shared" si="53"/>
        <v>211</v>
      </c>
      <c r="L2399" s="21">
        <f t="shared" si="53"/>
        <v>2142</v>
      </c>
      <c r="M2399" s="21">
        <f t="shared" si="53"/>
        <v>594</v>
      </c>
      <c r="N2399" s="21">
        <f t="shared" si="53"/>
        <v>1179</v>
      </c>
      <c r="O2399" s="19">
        <f t="shared" si="53"/>
        <v>2134</v>
      </c>
      <c r="P2399" s="22">
        <f t="shared" si="53"/>
        <v>179</v>
      </c>
      <c r="Q2399" s="22">
        <f t="shared" si="53"/>
        <v>117</v>
      </c>
      <c r="R2399" s="236" t="str">
        <f t="shared" si="41"/>
        <v>-</v>
      </c>
      <c r="S2399" s="234">
        <f t="shared" si="55"/>
        <v>0</v>
      </c>
      <c r="T2399" s="235">
        <f t="shared" si="55"/>
        <v>0</v>
      </c>
    </row>
    <row r="2400" spans="1:20" hidden="1" x14ac:dyDescent="0.35">
      <c r="A2400" s="3"/>
      <c r="B2400" s="165">
        <f t="shared" si="52"/>
        <v>45536</v>
      </c>
      <c r="C2400" s="57"/>
      <c r="D2400" s="3" t="s">
        <v>107</v>
      </c>
      <c r="E2400" s="18">
        <f t="shared" si="54"/>
        <v>189</v>
      </c>
      <c r="F2400" s="166">
        <f t="shared" si="53"/>
        <v>986</v>
      </c>
      <c r="G2400" s="166">
        <f t="shared" si="53"/>
        <v>1254</v>
      </c>
      <c r="H2400" s="21">
        <f t="shared" si="53"/>
        <v>1400</v>
      </c>
      <c r="I2400" s="21">
        <f t="shared" si="53"/>
        <v>276</v>
      </c>
      <c r="J2400" s="21">
        <f t="shared" si="53"/>
        <v>656</v>
      </c>
      <c r="K2400" s="21">
        <f t="shared" si="53"/>
        <v>175</v>
      </c>
      <c r="L2400" s="21">
        <f t="shared" si="53"/>
        <v>1753</v>
      </c>
      <c r="M2400" s="21">
        <f t="shared" si="53"/>
        <v>724</v>
      </c>
      <c r="N2400" s="21">
        <f t="shared" si="53"/>
        <v>996</v>
      </c>
      <c r="O2400" s="19">
        <f t="shared" si="53"/>
        <v>1936</v>
      </c>
      <c r="P2400" s="22">
        <f t="shared" si="53"/>
        <v>231</v>
      </c>
      <c r="Q2400" s="22">
        <f t="shared" si="53"/>
        <v>142</v>
      </c>
      <c r="R2400" s="236" t="str">
        <f t="shared" si="41"/>
        <v>-</v>
      </c>
      <c r="S2400" s="234">
        <f t="shared" si="55"/>
        <v>0</v>
      </c>
      <c r="T2400" s="235">
        <f t="shared" si="55"/>
        <v>0</v>
      </c>
    </row>
    <row r="2401" spans="1:20" hidden="1" x14ac:dyDescent="0.35">
      <c r="A2401" s="3"/>
      <c r="B2401" s="165">
        <f t="shared" si="52"/>
        <v>45536</v>
      </c>
      <c r="C2401" s="57"/>
      <c r="D2401" s="3" t="s">
        <v>108</v>
      </c>
      <c r="E2401" s="18">
        <f t="shared" si="54"/>
        <v>301</v>
      </c>
      <c r="F2401" s="166">
        <f t="shared" si="53"/>
        <v>1175</v>
      </c>
      <c r="G2401" s="166">
        <f t="shared" si="53"/>
        <v>1348</v>
      </c>
      <c r="H2401" s="21">
        <f t="shared" si="53"/>
        <v>2215</v>
      </c>
      <c r="I2401" s="21">
        <f t="shared" si="53"/>
        <v>343</v>
      </c>
      <c r="J2401" s="21">
        <f t="shared" si="53"/>
        <v>1089</v>
      </c>
      <c r="K2401" s="21">
        <f t="shared" si="53"/>
        <v>202</v>
      </c>
      <c r="L2401" s="21">
        <f t="shared" si="53"/>
        <v>2400</v>
      </c>
      <c r="M2401" s="21">
        <f t="shared" si="53"/>
        <v>704</v>
      </c>
      <c r="N2401" s="21">
        <f t="shared" si="53"/>
        <v>1201</v>
      </c>
      <c r="O2401" s="19">
        <f t="shared" si="53"/>
        <v>2332</v>
      </c>
      <c r="P2401" s="22">
        <f t="shared" si="53"/>
        <v>285</v>
      </c>
      <c r="Q2401" s="22">
        <f t="shared" si="53"/>
        <v>177</v>
      </c>
      <c r="R2401" s="236" t="str">
        <f t="shared" si="41"/>
        <v>-</v>
      </c>
      <c r="S2401" s="234">
        <f t="shared" si="55"/>
        <v>0</v>
      </c>
      <c r="T2401" s="235">
        <f t="shared" si="55"/>
        <v>0</v>
      </c>
    </row>
    <row r="2402" spans="1:20" hidden="1" x14ac:dyDescent="0.35">
      <c r="A2402" s="3"/>
      <c r="B2402" s="165">
        <f t="shared" si="52"/>
        <v>45536</v>
      </c>
      <c r="C2402" s="57"/>
      <c r="D2402" s="3" t="s">
        <v>109</v>
      </c>
      <c r="E2402" s="18">
        <f t="shared" si="54"/>
        <v>421</v>
      </c>
      <c r="F2402" s="166">
        <f t="shared" si="53"/>
        <v>2205</v>
      </c>
      <c r="G2402" s="166">
        <f t="shared" si="53"/>
        <v>2348</v>
      </c>
      <c r="H2402" s="21">
        <f t="shared" si="53"/>
        <v>4175</v>
      </c>
      <c r="I2402" s="21">
        <f t="shared" si="53"/>
        <v>560</v>
      </c>
      <c r="J2402" s="21">
        <f t="shared" si="53"/>
        <v>1824</v>
      </c>
      <c r="K2402" s="21">
        <f t="shared" si="53"/>
        <v>338</v>
      </c>
      <c r="L2402" s="21">
        <f t="shared" si="53"/>
        <v>4241</v>
      </c>
      <c r="M2402" s="21">
        <f t="shared" si="53"/>
        <v>1160</v>
      </c>
      <c r="N2402" s="21">
        <f t="shared" si="53"/>
        <v>2239</v>
      </c>
      <c r="O2402" s="19">
        <f t="shared" si="53"/>
        <v>4158</v>
      </c>
      <c r="P2402" s="22">
        <f t="shared" si="53"/>
        <v>117</v>
      </c>
      <c r="Q2402" s="22">
        <f t="shared" si="53"/>
        <v>74</v>
      </c>
      <c r="R2402" s="236" t="str">
        <f t="shared" si="41"/>
        <v>-</v>
      </c>
      <c r="S2402" s="234">
        <f t="shared" si="55"/>
        <v>0</v>
      </c>
      <c r="T2402" s="235">
        <f t="shared" si="55"/>
        <v>0</v>
      </c>
    </row>
    <row r="2403" spans="1:20" hidden="1" x14ac:dyDescent="0.35">
      <c r="A2403" s="3"/>
      <c r="B2403" s="165">
        <f t="shared" si="52"/>
        <v>45536</v>
      </c>
      <c r="C2403" s="57"/>
      <c r="D2403" s="3" t="s">
        <v>110</v>
      </c>
      <c r="E2403" s="18">
        <f t="shared" si="54"/>
        <v>0</v>
      </c>
      <c r="F2403" s="166">
        <f t="shared" si="53"/>
        <v>0</v>
      </c>
      <c r="G2403" s="166">
        <f t="shared" si="53"/>
        <v>0</v>
      </c>
      <c r="H2403" s="21">
        <f t="shared" si="53"/>
        <v>0</v>
      </c>
      <c r="I2403" s="21">
        <f t="shared" si="53"/>
        <v>0</v>
      </c>
      <c r="J2403" s="21">
        <f t="shared" si="53"/>
        <v>0</v>
      </c>
      <c r="K2403" s="21">
        <f t="shared" si="53"/>
        <v>0</v>
      </c>
      <c r="L2403" s="21">
        <f t="shared" si="53"/>
        <v>0</v>
      </c>
      <c r="M2403" s="21">
        <f t="shared" si="53"/>
        <v>0</v>
      </c>
      <c r="N2403" s="21">
        <f t="shared" si="53"/>
        <v>0</v>
      </c>
      <c r="O2403" s="19">
        <f t="shared" si="53"/>
        <v>0</v>
      </c>
      <c r="P2403" s="22">
        <f t="shared" si="53"/>
        <v>0</v>
      </c>
      <c r="Q2403" s="22">
        <f t="shared" si="53"/>
        <v>0</v>
      </c>
      <c r="R2403" s="236" t="str">
        <f t="shared" si="41"/>
        <v>-</v>
      </c>
      <c r="S2403" s="234">
        <f t="shared" si="55"/>
        <v>0</v>
      </c>
      <c r="T2403" s="235">
        <f t="shared" si="55"/>
        <v>0</v>
      </c>
    </row>
    <row r="2404" spans="1:20" hidden="1" x14ac:dyDescent="0.35">
      <c r="A2404" s="3"/>
      <c r="B2404" s="165">
        <f>DATE(YEAR(B2403+31),MONTH(B2403+31),1)</f>
        <v>45566</v>
      </c>
      <c r="C2404" s="57"/>
      <c r="D2404" s="3" t="s">
        <v>16</v>
      </c>
      <c r="E2404" s="18">
        <f t="shared" si="54"/>
        <v>440</v>
      </c>
      <c r="F2404" s="166">
        <f t="shared" si="53"/>
        <v>2032</v>
      </c>
      <c r="G2404" s="166">
        <f t="shared" si="53"/>
        <v>1940</v>
      </c>
      <c r="H2404" s="21">
        <f t="shared" si="53"/>
        <v>3439</v>
      </c>
      <c r="I2404" s="21">
        <f t="shared" si="53"/>
        <v>525</v>
      </c>
      <c r="J2404" s="21">
        <f t="shared" si="53"/>
        <v>1655</v>
      </c>
      <c r="K2404" s="21">
        <f t="shared" si="53"/>
        <v>344</v>
      </c>
      <c r="L2404" s="21">
        <f t="shared" si="53"/>
        <v>3581</v>
      </c>
      <c r="M2404" s="21">
        <f t="shared" si="53"/>
        <v>1345</v>
      </c>
      <c r="N2404" s="21">
        <f t="shared" si="53"/>
        <v>2090</v>
      </c>
      <c r="O2404" s="19">
        <f t="shared" si="53"/>
        <v>3784</v>
      </c>
      <c r="P2404" s="22">
        <f t="shared" si="53"/>
        <v>214</v>
      </c>
      <c r="Q2404" s="22">
        <f t="shared" si="53"/>
        <v>106</v>
      </c>
      <c r="R2404" s="236" t="str">
        <f t="shared" si="41"/>
        <v>-</v>
      </c>
      <c r="S2404" s="234">
        <f t="shared" si="55"/>
        <v>0</v>
      </c>
      <c r="T2404" s="235">
        <f t="shared" si="55"/>
        <v>0</v>
      </c>
    </row>
    <row r="2405" spans="1:20" hidden="1" x14ac:dyDescent="0.35">
      <c r="A2405" s="3"/>
      <c r="B2405" s="165">
        <f t="shared" ref="B2405:B2430" si="56">B2404</f>
        <v>45566</v>
      </c>
      <c r="C2405" s="57"/>
      <c r="D2405" s="3" t="s">
        <v>104</v>
      </c>
      <c r="E2405" s="18">
        <f t="shared" si="54"/>
        <v>6</v>
      </c>
      <c r="F2405" s="166">
        <f t="shared" si="53"/>
        <v>575</v>
      </c>
      <c r="G2405" s="166">
        <f t="shared" si="53"/>
        <v>626</v>
      </c>
      <c r="H2405" s="21">
        <f t="shared" si="53"/>
        <v>913</v>
      </c>
      <c r="I2405" s="21">
        <f t="shared" si="53"/>
        <v>156</v>
      </c>
      <c r="J2405" s="21">
        <f t="shared" si="53"/>
        <v>306</v>
      </c>
      <c r="K2405" s="21">
        <f t="shared" si="53"/>
        <v>62</v>
      </c>
      <c r="L2405" s="21">
        <f t="shared" si="53"/>
        <v>529</v>
      </c>
      <c r="M2405" s="21">
        <f t="shared" si="53"/>
        <v>233</v>
      </c>
      <c r="N2405" s="21">
        <f t="shared" si="53"/>
        <v>581</v>
      </c>
      <c r="O2405" s="19">
        <f t="shared" si="53"/>
        <v>748</v>
      </c>
      <c r="P2405" s="22">
        <f t="shared" si="53"/>
        <v>73</v>
      </c>
      <c r="Q2405" s="22">
        <f t="shared" si="53"/>
        <v>34</v>
      </c>
      <c r="R2405" s="236" t="str">
        <f t="shared" si="41"/>
        <v>-</v>
      </c>
      <c r="S2405" s="234">
        <f t="shared" si="55"/>
        <v>0</v>
      </c>
      <c r="T2405" s="235">
        <f t="shared" si="55"/>
        <v>0</v>
      </c>
    </row>
    <row r="2406" spans="1:20" hidden="1" x14ac:dyDescent="0.35">
      <c r="A2406" s="3"/>
      <c r="B2406" s="165">
        <f t="shared" si="56"/>
        <v>45566</v>
      </c>
      <c r="C2406" s="57"/>
      <c r="D2406" s="3" t="s">
        <v>105</v>
      </c>
      <c r="E2406" s="18">
        <f t="shared" si="54"/>
        <v>15</v>
      </c>
      <c r="F2406" s="166">
        <f t="shared" si="53"/>
        <v>462</v>
      </c>
      <c r="G2406" s="166">
        <f t="shared" si="53"/>
        <v>425</v>
      </c>
      <c r="H2406" s="21">
        <f t="shared" si="53"/>
        <v>1769</v>
      </c>
      <c r="I2406" s="21">
        <f t="shared" si="53"/>
        <v>141</v>
      </c>
      <c r="J2406" s="21">
        <f t="shared" si="53"/>
        <v>1410</v>
      </c>
      <c r="K2406" s="21">
        <f t="shared" si="53"/>
        <v>613</v>
      </c>
      <c r="L2406" s="21">
        <f t="shared" si="53"/>
        <v>818</v>
      </c>
      <c r="M2406" s="21">
        <f t="shared" si="53"/>
        <v>274</v>
      </c>
      <c r="N2406" s="21">
        <f t="shared" si="53"/>
        <v>1072</v>
      </c>
      <c r="O2406" s="19">
        <f t="shared" si="53"/>
        <v>1474</v>
      </c>
      <c r="P2406" s="22">
        <f t="shared" si="53"/>
        <v>59</v>
      </c>
      <c r="Q2406" s="22">
        <f t="shared" si="53"/>
        <v>18</v>
      </c>
      <c r="R2406" s="236" t="str">
        <f t="shared" si="41"/>
        <v>-</v>
      </c>
      <c r="S2406" s="234">
        <f t="shared" si="55"/>
        <v>0</v>
      </c>
      <c r="T2406" s="235">
        <f t="shared" si="55"/>
        <v>0</v>
      </c>
    </row>
    <row r="2407" spans="1:20" hidden="1" x14ac:dyDescent="0.35">
      <c r="A2407" s="3"/>
      <c r="B2407" s="165">
        <f t="shared" si="56"/>
        <v>45566</v>
      </c>
      <c r="C2407" s="57"/>
      <c r="D2407" s="3" t="s">
        <v>105</v>
      </c>
      <c r="E2407" s="18">
        <f t="shared" si="54"/>
        <v>15</v>
      </c>
      <c r="F2407" s="166">
        <f t="shared" si="53"/>
        <v>462</v>
      </c>
      <c r="G2407" s="166">
        <f t="shared" si="53"/>
        <v>425</v>
      </c>
      <c r="H2407" s="21">
        <f t="shared" si="53"/>
        <v>1769</v>
      </c>
      <c r="I2407" s="21">
        <f t="shared" si="53"/>
        <v>141</v>
      </c>
      <c r="J2407" s="21">
        <f t="shared" si="53"/>
        <v>1410</v>
      </c>
      <c r="K2407" s="21">
        <f t="shared" si="53"/>
        <v>613</v>
      </c>
      <c r="L2407" s="21">
        <f t="shared" si="53"/>
        <v>818</v>
      </c>
      <c r="M2407" s="21">
        <f t="shared" si="53"/>
        <v>274</v>
      </c>
      <c r="N2407" s="21">
        <f t="shared" si="53"/>
        <v>1072</v>
      </c>
      <c r="O2407" s="19">
        <f t="shared" si="53"/>
        <v>1474</v>
      </c>
      <c r="P2407" s="22">
        <f t="shared" si="53"/>
        <v>59</v>
      </c>
      <c r="Q2407" s="22">
        <f t="shared" si="53"/>
        <v>18</v>
      </c>
      <c r="R2407" s="236" t="str">
        <f t="shared" si="41"/>
        <v>-</v>
      </c>
      <c r="S2407" s="234">
        <f t="shared" si="55"/>
        <v>0</v>
      </c>
      <c r="T2407" s="235">
        <f t="shared" si="55"/>
        <v>0</v>
      </c>
    </row>
    <row r="2408" spans="1:20" hidden="1" x14ac:dyDescent="0.35">
      <c r="A2408" s="3"/>
      <c r="B2408" s="165">
        <f t="shared" si="56"/>
        <v>45566</v>
      </c>
      <c r="C2408" s="57"/>
      <c r="D2408" s="3" t="s">
        <v>106</v>
      </c>
      <c r="E2408" s="18">
        <f t="shared" si="54"/>
        <v>237</v>
      </c>
      <c r="F2408" s="166">
        <f t="shared" si="53"/>
        <v>1115</v>
      </c>
      <c r="G2408" s="166">
        <f t="shared" si="53"/>
        <v>1207</v>
      </c>
      <c r="H2408" s="21">
        <f t="shared" si="53"/>
        <v>2676</v>
      </c>
      <c r="I2408" s="21">
        <f t="shared" si="53"/>
        <v>357</v>
      </c>
      <c r="J2408" s="21">
        <f t="shared" si="53"/>
        <v>1005</v>
      </c>
      <c r="K2408" s="21">
        <f t="shared" si="53"/>
        <v>195</v>
      </c>
      <c r="L2408" s="21">
        <f t="shared" si="53"/>
        <v>2163</v>
      </c>
      <c r="M2408" s="21">
        <f t="shared" si="53"/>
        <v>615</v>
      </c>
      <c r="N2408" s="21">
        <f t="shared" si="53"/>
        <v>1151</v>
      </c>
      <c r="O2408" s="19">
        <f t="shared" si="53"/>
        <v>2134</v>
      </c>
      <c r="P2408" s="22">
        <f t="shared" si="53"/>
        <v>153</v>
      </c>
      <c r="Q2408" s="22">
        <f t="shared" si="53"/>
        <v>107</v>
      </c>
      <c r="R2408" s="236" t="str">
        <f t="shared" si="41"/>
        <v>-</v>
      </c>
      <c r="S2408" s="234">
        <f t="shared" si="55"/>
        <v>0</v>
      </c>
      <c r="T2408" s="235">
        <f t="shared" si="55"/>
        <v>0</v>
      </c>
    </row>
    <row r="2409" spans="1:20" hidden="1" x14ac:dyDescent="0.35">
      <c r="A2409" s="3"/>
      <c r="B2409" s="165">
        <f t="shared" si="56"/>
        <v>45566</v>
      </c>
      <c r="C2409" s="57"/>
      <c r="D2409" s="3" t="s">
        <v>107</v>
      </c>
      <c r="E2409" s="18">
        <f t="shared" si="54"/>
        <v>223</v>
      </c>
      <c r="F2409" s="166">
        <f t="shared" si="53"/>
        <v>1120</v>
      </c>
      <c r="G2409" s="166">
        <f t="shared" si="53"/>
        <v>1110</v>
      </c>
      <c r="H2409" s="21">
        <f t="shared" si="53"/>
        <v>1443</v>
      </c>
      <c r="I2409" s="21">
        <f t="shared" si="53"/>
        <v>264</v>
      </c>
      <c r="J2409" s="21">
        <f t="shared" si="53"/>
        <v>787</v>
      </c>
      <c r="K2409" s="21">
        <f t="shared" si="53"/>
        <v>210</v>
      </c>
      <c r="L2409" s="21">
        <f t="shared" si="53"/>
        <v>1847</v>
      </c>
      <c r="M2409" s="21">
        <f t="shared" si="53"/>
        <v>821</v>
      </c>
      <c r="N2409" s="21">
        <f t="shared" si="53"/>
        <v>1125</v>
      </c>
      <c r="O2409" s="19">
        <f t="shared" si="53"/>
        <v>1804</v>
      </c>
      <c r="P2409" s="22">
        <f t="shared" si="53"/>
        <v>266</v>
      </c>
      <c r="Q2409" s="22">
        <f t="shared" si="53"/>
        <v>155</v>
      </c>
      <c r="R2409" s="236" t="str">
        <f t="shared" si="41"/>
        <v>-</v>
      </c>
      <c r="S2409" s="234">
        <f t="shared" si="55"/>
        <v>0</v>
      </c>
      <c r="T2409" s="235">
        <f t="shared" si="55"/>
        <v>0</v>
      </c>
    </row>
    <row r="2410" spans="1:20" hidden="1" x14ac:dyDescent="0.35">
      <c r="A2410" s="3"/>
      <c r="B2410" s="165">
        <f t="shared" si="56"/>
        <v>45566</v>
      </c>
      <c r="C2410" s="57"/>
      <c r="D2410" s="3" t="s">
        <v>108</v>
      </c>
      <c r="E2410" s="18">
        <f t="shared" si="54"/>
        <v>299</v>
      </c>
      <c r="F2410" s="166">
        <f t="shared" si="53"/>
        <v>1225</v>
      </c>
      <c r="G2410" s="166">
        <f t="shared" si="53"/>
        <v>1147</v>
      </c>
      <c r="H2410" s="21">
        <f t="shared" si="53"/>
        <v>2193</v>
      </c>
      <c r="I2410" s="21">
        <f t="shared" si="53"/>
        <v>321</v>
      </c>
      <c r="J2410" s="21">
        <f t="shared" si="53"/>
        <v>1133</v>
      </c>
      <c r="K2410" s="21">
        <f t="shared" si="53"/>
        <v>196</v>
      </c>
      <c r="L2410" s="21">
        <f t="shared" si="53"/>
        <v>2437</v>
      </c>
      <c r="M2410" s="21">
        <f t="shared" si="53"/>
        <v>739</v>
      </c>
      <c r="N2410" s="21">
        <f t="shared" si="53"/>
        <v>1243</v>
      </c>
      <c r="O2410" s="19">
        <f t="shared" si="53"/>
        <v>2200</v>
      </c>
      <c r="P2410" s="22">
        <f t="shared" si="53"/>
        <v>216</v>
      </c>
      <c r="Q2410" s="22">
        <f t="shared" si="53"/>
        <v>130</v>
      </c>
      <c r="R2410" s="236" t="str">
        <f t="shared" si="41"/>
        <v>-</v>
      </c>
      <c r="S2410" s="234">
        <f t="shared" si="55"/>
        <v>0</v>
      </c>
      <c r="T2410" s="235">
        <f t="shared" si="55"/>
        <v>0</v>
      </c>
    </row>
    <row r="2411" spans="1:20" hidden="1" x14ac:dyDescent="0.35">
      <c r="A2411" s="3"/>
      <c r="B2411" s="165">
        <f t="shared" si="56"/>
        <v>45566</v>
      </c>
      <c r="C2411" s="57"/>
      <c r="D2411" s="3" t="s">
        <v>109</v>
      </c>
      <c r="E2411" s="18">
        <f t="shared" si="54"/>
        <v>303</v>
      </c>
      <c r="F2411" s="166">
        <f t="shared" si="53"/>
        <v>1838</v>
      </c>
      <c r="G2411" s="166">
        <f t="shared" si="53"/>
        <v>1755</v>
      </c>
      <c r="H2411" s="21">
        <f t="shared" si="53"/>
        <v>3703</v>
      </c>
      <c r="I2411" s="21">
        <f t="shared" si="53"/>
        <v>520</v>
      </c>
      <c r="J2411" s="21">
        <f t="shared" si="53"/>
        <v>1690</v>
      </c>
      <c r="K2411" s="21">
        <f t="shared" si="53"/>
        <v>294</v>
      </c>
      <c r="L2411" s="21">
        <f t="shared" ref="L2411:Q2442" si="57">SUMIFS(L$5:L$2214,$A$5:$A$2214,$D2411,$B$5:$B$2214,$B2411)</f>
        <v>3303</v>
      </c>
      <c r="M2411" s="21">
        <f t="shared" si="57"/>
        <v>1010</v>
      </c>
      <c r="N2411" s="21">
        <f t="shared" si="57"/>
        <v>1869</v>
      </c>
      <c r="O2411" s="19">
        <f t="shared" si="57"/>
        <v>3190</v>
      </c>
      <c r="P2411" s="22">
        <f t="shared" si="57"/>
        <v>97</v>
      </c>
      <c r="Q2411" s="22">
        <f t="shared" si="57"/>
        <v>62</v>
      </c>
      <c r="R2411" s="236" t="str">
        <f t="shared" si="41"/>
        <v>-</v>
      </c>
      <c r="S2411" s="234">
        <f t="shared" si="55"/>
        <v>0</v>
      </c>
      <c r="T2411" s="235">
        <f t="shared" si="55"/>
        <v>0</v>
      </c>
    </row>
    <row r="2412" spans="1:20" hidden="1" x14ac:dyDescent="0.35">
      <c r="A2412" s="3"/>
      <c r="B2412" s="165">
        <f t="shared" si="56"/>
        <v>45566</v>
      </c>
      <c r="C2412" s="57"/>
      <c r="D2412" s="3" t="s">
        <v>110</v>
      </c>
      <c r="E2412" s="18">
        <f t="shared" si="54"/>
        <v>19</v>
      </c>
      <c r="F2412" s="166">
        <f t="shared" si="54"/>
        <v>227</v>
      </c>
      <c r="G2412" s="166">
        <f t="shared" si="54"/>
        <v>219</v>
      </c>
      <c r="H2412" s="21">
        <f t="shared" si="54"/>
        <v>288</v>
      </c>
      <c r="I2412" s="21">
        <f t="shared" si="54"/>
        <v>45</v>
      </c>
      <c r="J2412" s="21">
        <f t="shared" si="54"/>
        <v>174</v>
      </c>
      <c r="K2412" s="21">
        <f t="shared" si="54"/>
        <v>40</v>
      </c>
      <c r="L2412" s="21">
        <f t="shared" si="57"/>
        <v>223</v>
      </c>
      <c r="M2412" s="21">
        <f t="shared" si="57"/>
        <v>89</v>
      </c>
      <c r="N2412" s="21">
        <f t="shared" si="57"/>
        <v>229</v>
      </c>
      <c r="O2412" s="19">
        <f t="shared" si="57"/>
        <v>308</v>
      </c>
      <c r="P2412" s="22">
        <f t="shared" si="57"/>
        <v>14</v>
      </c>
      <c r="Q2412" s="22">
        <f t="shared" si="57"/>
        <v>10</v>
      </c>
      <c r="R2412" s="236" t="str">
        <f t="shared" si="41"/>
        <v>-</v>
      </c>
      <c r="S2412" s="234">
        <f t="shared" si="55"/>
        <v>0</v>
      </c>
      <c r="T2412" s="235">
        <f t="shared" si="55"/>
        <v>0</v>
      </c>
    </row>
    <row r="2413" spans="1:20" hidden="1" x14ac:dyDescent="0.35">
      <c r="A2413" s="3"/>
      <c r="B2413" s="165">
        <f>DATE(YEAR(B2412+31),MONTH(B2412+31),1)</f>
        <v>45597</v>
      </c>
      <c r="C2413" s="57"/>
      <c r="D2413" s="3" t="s">
        <v>16</v>
      </c>
      <c r="E2413" s="18">
        <f t="shared" si="54"/>
        <v>442</v>
      </c>
      <c r="F2413" s="166">
        <f t="shared" si="54"/>
        <v>2190</v>
      </c>
      <c r="G2413" s="166">
        <f t="shared" si="54"/>
        <v>1942</v>
      </c>
      <c r="H2413" s="21">
        <f t="shared" si="54"/>
        <v>3401</v>
      </c>
      <c r="I2413" s="21">
        <f t="shared" si="54"/>
        <v>522</v>
      </c>
      <c r="J2413" s="21">
        <f t="shared" si="54"/>
        <v>1591</v>
      </c>
      <c r="K2413" s="21">
        <f t="shared" si="54"/>
        <v>362</v>
      </c>
      <c r="L2413" s="21">
        <f t="shared" si="57"/>
        <v>3763</v>
      </c>
      <c r="M2413" s="21">
        <f t="shared" si="57"/>
        <v>1415</v>
      </c>
      <c r="N2413" s="21">
        <f t="shared" si="57"/>
        <v>2225</v>
      </c>
      <c r="O2413" s="19">
        <f t="shared" si="57"/>
        <v>3872</v>
      </c>
      <c r="P2413" s="22">
        <f t="shared" si="57"/>
        <v>206</v>
      </c>
      <c r="Q2413" s="22">
        <f t="shared" si="57"/>
        <v>115</v>
      </c>
      <c r="R2413" s="236" t="str">
        <f t="shared" si="41"/>
        <v>-</v>
      </c>
      <c r="S2413" s="234">
        <f t="shared" ref="S2413:T2427" si="58">SUMIFS(S$5:S$2214,$B$5:$B$2214,$B2413,$A$5:$A$2214,$D2413)</f>
        <v>0</v>
      </c>
      <c r="T2413" s="235">
        <f t="shared" si="58"/>
        <v>0</v>
      </c>
    </row>
    <row r="2414" spans="1:20" hidden="1" x14ac:dyDescent="0.35">
      <c r="A2414" s="3"/>
      <c r="B2414" s="165">
        <f t="shared" si="56"/>
        <v>45597</v>
      </c>
      <c r="C2414" s="57"/>
      <c r="D2414" s="3" t="s">
        <v>104</v>
      </c>
      <c r="E2414" s="18">
        <f t="shared" si="54"/>
        <v>4</v>
      </c>
      <c r="F2414" s="166">
        <f t="shared" si="54"/>
        <v>546</v>
      </c>
      <c r="G2414" s="166">
        <f t="shared" si="54"/>
        <v>622</v>
      </c>
      <c r="H2414" s="21">
        <f t="shared" si="54"/>
        <v>933</v>
      </c>
      <c r="I2414" s="21">
        <f t="shared" si="54"/>
        <v>144</v>
      </c>
      <c r="J2414" s="21">
        <f t="shared" si="54"/>
        <v>343</v>
      </c>
      <c r="K2414" s="21">
        <f t="shared" si="54"/>
        <v>74</v>
      </c>
      <c r="L2414" s="21">
        <f t="shared" si="57"/>
        <v>536</v>
      </c>
      <c r="M2414" s="21">
        <f t="shared" si="57"/>
        <v>242</v>
      </c>
      <c r="N2414" s="21">
        <f t="shared" si="57"/>
        <v>546</v>
      </c>
      <c r="O2414" s="19">
        <f t="shared" si="57"/>
        <v>748</v>
      </c>
      <c r="P2414" s="22">
        <f t="shared" si="57"/>
        <v>61</v>
      </c>
      <c r="Q2414" s="22">
        <f t="shared" si="57"/>
        <v>28</v>
      </c>
      <c r="R2414" s="236" t="str">
        <f t="shared" si="41"/>
        <v>-</v>
      </c>
      <c r="S2414" s="234">
        <f t="shared" si="58"/>
        <v>0</v>
      </c>
      <c r="T2414" s="235">
        <f t="shared" si="58"/>
        <v>0</v>
      </c>
    </row>
    <row r="2415" spans="1:20" hidden="1" x14ac:dyDescent="0.35">
      <c r="A2415" s="3"/>
      <c r="B2415" s="165">
        <f t="shared" si="56"/>
        <v>45597</v>
      </c>
      <c r="C2415" s="57"/>
      <c r="D2415" s="3" t="s">
        <v>105</v>
      </c>
      <c r="E2415" s="18">
        <f t="shared" si="54"/>
        <v>32</v>
      </c>
      <c r="F2415" s="166">
        <f t="shared" si="54"/>
        <v>991</v>
      </c>
      <c r="G2415" s="166">
        <f t="shared" si="54"/>
        <v>435</v>
      </c>
      <c r="H2415" s="21">
        <f t="shared" si="54"/>
        <v>708</v>
      </c>
      <c r="I2415" s="21">
        <f t="shared" si="54"/>
        <v>135</v>
      </c>
      <c r="J2415" s="21">
        <f t="shared" si="54"/>
        <v>374</v>
      </c>
      <c r="K2415" s="21">
        <f t="shared" si="54"/>
        <v>75</v>
      </c>
      <c r="L2415" s="21">
        <f t="shared" si="57"/>
        <v>889</v>
      </c>
      <c r="M2415" s="21">
        <f t="shared" si="57"/>
        <v>272</v>
      </c>
      <c r="N2415" s="21">
        <f t="shared" si="57"/>
        <v>545</v>
      </c>
      <c r="O2415" s="19">
        <f t="shared" si="57"/>
        <v>1474</v>
      </c>
      <c r="P2415" s="22">
        <f t="shared" si="57"/>
        <v>66</v>
      </c>
      <c r="Q2415" s="22">
        <f t="shared" si="57"/>
        <v>4</v>
      </c>
      <c r="R2415" s="236" t="str">
        <f t="shared" si="41"/>
        <v>-</v>
      </c>
      <c r="S2415" s="234">
        <f t="shared" si="58"/>
        <v>0</v>
      </c>
      <c r="T2415" s="235">
        <f t="shared" si="58"/>
        <v>0</v>
      </c>
    </row>
    <row r="2416" spans="1:20" hidden="1" x14ac:dyDescent="0.35">
      <c r="A2416" s="3"/>
      <c r="B2416" s="165">
        <f t="shared" si="56"/>
        <v>45597</v>
      </c>
      <c r="C2416" s="57"/>
      <c r="D2416" s="3" t="s">
        <v>105</v>
      </c>
      <c r="E2416" s="18">
        <f t="shared" si="54"/>
        <v>32</v>
      </c>
      <c r="F2416" s="166">
        <f t="shared" si="54"/>
        <v>991</v>
      </c>
      <c r="G2416" s="166">
        <f t="shared" si="54"/>
        <v>435</v>
      </c>
      <c r="H2416" s="21">
        <f t="shared" si="54"/>
        <v>708</v>
      </c>
      <c r="I2416" s="21">
        <f t="shared" si="54"/>
        <v>135</v>
      </c>
      <c r="J2416" s="21">
        <f t="shared" si="54"/>
        <v>374</v>
      </c>
      <c r="K2416" s="21">
        <f t="shared" si="54"/>
        <v>75</v>
      </c>
      <c r="L2416" s="21">
        <f t="shared" si="57"/>
        <v>889</v>
      </c>
      <c r="M2416" s="21">
        <f t="shared" si="57"/>
        <v>272</v>
      </c>
      <c r="N2416" s="21">
        <f t="shared" si="57"/>
        <v>545</v>
      </c>
      <c r="O2416" s="19">
        <f t="shared" si="57"/>
        <v>1474</v>
      </c>
      <c r="P2416" s="22">
        <f t="shared" si="57"/>
        <v>66</v>
      </c>
      <c r="Q2416" s="22">
        <f t="shared" si="57"/>
        <v>4</v>
      </c>
      <c r="R2416" s="236" t="str">
        <f t="shared" si="41"/>
        <v>-</v>
      </c>
      <c r="S2416" s="234">
        <f t="shared" si="58"/>
        <v>0</v>
      </c>
      <c r="T2416" s="235">
        <f t="shared" si="58"/>
        <v>0</v>
      </c>
    </row>
    <row r="2417" spans="1:20" hidden="1" x14ac:dyDescent="0.35">
      <c r="A2417" s="3"/>
      <c r="B2417" s="165">
        <f t="shared" si="56"/>
        <v>45597</v>
      </c>
      <c r="C2417" s="57"/>
      <c r="D2417" s="3" t="s">
        <v>106</v>
      </c>
      <c r="E2417" s="18">
        <f t="shared" si="54"/>
        <v>233</v>
      </c>
      <c r="F2417" s="166">
        <f t="shared" si="54"/>
        <v>1339</v>
      </c>
      <c r="G2417" s="166">
        <f t="shared" si="54"/>
        <v>1255</v>
      </c>
      <c r="H2417" s="21">
        <f t="shared" si="54"/>
        <v>2645</v>
      </c>
      <c r="I2417" s="21">
        <f t="shared" si="54"/>
        <v>382</v>
      </c>
      <c r="J2417" s="21">
        <f t="shared" si="54"/>
        <v>1000</v>
      </c>
      <c r="K2417" s="21">
        <f t="shared" si="54"/>
        <v>220</v>
      </c>
      <c r="L2417" s="21">
        <f t="shared" si="57"/>
        <v>2397</v>
      </c>
      <c r="M2417" s="21">
        <f t="shared" si="57"/>
        <v>709</v>
      </c>
      <c r="N2417" s="21">
        <f t="shared" si="57"/>
        <v>1372</v>
      </c>
      <c r="O2417" s="19">
        <f t="shared" si="57"/>
        <v>2134</v>
      </c>
      <c r="P2417" s="22">
        <f t="shared" si="57"/>
        <v>168</v>
      </c>
      <c r="Q2417" s="22">
        <f t="shared" si="57"/>
        <v>119</v>
      </c>
      <c r="R2417" s="236" t="str">
        <f t="shared" si="41"/>
        <v>-</v>
      </c>
      <c r="S2417" s="234">
        <f t="shared" si="58"/>
        <v>0</v>
      </c>
      <c r="T2417" s="235">
        <f t="shared" si="58"/>
        <v>0</v>
      </c>
    </row>
    <row r="2418" spans="1:20" hidden="1" x14ac:dyDescent="0.35">
      <c r="A2418" s="3"/>
      <c r="B2418" s="165">
        <f t="shared" si="56"/>
        <v>45597</v>
      </c>
      <c r="C2418" s="57"/>
      <c r="D2418" s="3" t="s">
        <v>107</v>
      </c>
      <c r="E2418" s="18">
        <f t="shared" si="54"/>
        <v>233</v>
      </c>
      <c r="F2418" s="166">
        <f t="shared" si="54"/>
        <v>1252</v>
      </c>
      <c r="G2418" s="166">
        <f t="shared" si="54"/>
        <v>1218</v>
      </c>
      <c r="H2418" s="21">
        <f t="shared" si="54"/>
        <v>1654</v>
      </c>
      <c r="I2418" s="21">
        <f t="shared" si="54"/>
        <v>302</v>
      </c>
      <c r="J2418" s="21">
        <f t="shared" si="54"/>
        <v>835</v>
      </c>
      <c r="K2418" s="21">
        <f t="shared" si="54"/>
        <v>243</v>
      </c>
      <c r="L2418" s="21">
        <f t="shared" si="57"/>
        <v>1920</v>
      </c>
      <c r="M2418" s="21">
        <f t="shared" si="57"/>
        <v>851</v>
      </c>
      <c r="N2418" s="21">
        <f t="shared" si="57"/>
        <v>1271</v>
      </c>
      <c r="O2418" s="19">
        <f t="shared" si="57"/>
        <v>1870</v>
      </c>
      <c r="P2418" s="22">
        <f t="shared" si="57"/>
        <v>267</v>
      </c>
      <c r="Q2418" s="22">
        <f t="shared" si="57"/>
        <v>163</v>
      </c>
      <c r="R2418" s="236" t="str">
        <f t="shared" si="41"/>
        <v>-</v>
      </c>
      <c r="S2418" s="234">
        <f t="shared" si="58"/>
        <v>0</v>
      </c>
      <c r="T2418" s="235">
        <f t="shared" si="58"/>
        <v>0</v>
      </c>
    </row>
    <row r="2419" spans="1:20" hidden="1" x14ac:dyDescent="0.35">
      <c r="A2419" s="3"/>
      <c r="B2419" s="165">
        <f t="shared" si="56"/>
        <v>45597</v>
      </c>
      <c r="C2419" s="57"/>
      <c r="D2419" s="3" t="s">
        <v>108</v>
      </c>
      <c r="E2419" s="18">
        <f t="shared" si="54"/>
        <v>282</v>
      </c>
      <c r="F2419" s="166">
        <f t="shared" si="54"/>
        <v>1421</v>
      </c>
      <c r="G2419" s="166">
        <f t="shared" si="54"/>
        <v>1249</v>
      </c>
      <c r="H2419" s="21">
        <f t="shared" si="54"/>
        <v>2280</v>
      </c>
      <c r="I2419" s="21">
        <f t="shared" si="54"/>
        <v>347</v>
      </c>
      <c r="J2419" s="21">
        <f t="shared" si="54"/>
        <v>1071</v>
      </c>
      <c r="K2419" s="21">
        <f t="shared" si="54"/>
        <v>237</v>
      </c>
      <c r="L2419" s="21">
        <f t="shared" si="57"/>
        <v>2546</v>
      </c>
      <c r="M2419" s="21">
        <f t="shared" si="57"/>
        <v>805</v>
      </c>
      <c r="N2419" s="21">
        <f t="shared" si="57"/>
        <v>1443</v>
      </c>
      <c r="O2419" s="19">
        <f t="shared" si="57"/>
        <v>2200</v>
      </c>
      <c r="P2419" s="22">
        <f t="shared" si="57"/>
        <v>228</v>
      </c>
      <c r="Q2419" s="22">
        <f t="shared" si="57"/>
        <v>143</v>
      </c>
      <c r="R2419" s="236" t="str">
        <f t="shared" si="41"/>
        <v>-</v>
      </c>
      <c r="S2419" s="234">
        <f t="shared" si="58"/>
        <v>0</v>
      </c>
      <c r="T2419" s="235">
        <f t="shared" si="58"/>
        <v>0</v>
      </c>
    </row>
    <row r="2420" spans="1:20" hidden="1" x14ac:dyDescent="0.35">
      <c r="A2420" s="3"/>
      <c r="B2420" s="165">
        <f t="shared" si="56"/>
        <v>45597</v>
      </c>
      <c r="C2420" s="57"/>
      <c r="D2420" s="3" t="s">
        <v>109</v>
      </c>
      <c r="E2420" s="18">
        <f t="shared" si="54"/>
        <v>309</v>
      </c>
      <c r="F2420" s="166">
        <f t="shared" si="54"/>
        <v>2005</v>
      </c>
      <c r="G2420" s="166">
        <f t="shared" si="54"/>
        <v>1860</v>
      </c>
      <c r="H2420" s="21">
        <f t="shared" si="54"/>
        <v>3901</v>
      </c>
      <c r="I2420" s="21">
        <f t="shared" si="54"/>
        <v>516</v>
      </c>
      <c r="J2420" s="21">
        <f t="shared" si="54"/>
        <v>1701</v>
      </c>
      <c r="K2420" s="21">
        <f t="shared" si="54"/>
        <v>302</v>
      </c>
      <c r="L2420" s="21">
        <f t="shared" si="57"/>
        <v>3433</v>
      </c>
      <c r="M2420" s="21">
        <f t="shared" si="57"/>
        <v>1080</v>
      </c>
      <c r="N2420" s="21">
        <f t="shared" si="57"/>
        <v>2017</v>
      </c>
      <c r="O2420" s="19">
        <f t="shared" si="57"/>
        <v>3212</v>
      </c>
      <c r="P2420" s="22">
        <f t="shared" si="57"/>
        <v>102</v>
      </c>
      <c r="Q2420" s="22">
        <f t="shared" si="57"/>
        <v>69</v>
      </c>
      <c r="R2420" s="236" t="str">
        <f t="shared" si="41"/>
        <v>-</v>
      </c>
      <c r="S2420" s="234">
        <f t="shared" si="58"/>
        <v>0</v>
      </c>
      <c r="T2420" s="235">
        <f t="shared" si="58"/>
        <v>0</v>
      </c>
    </row>
    <row r="2421" spans="1:20" hidden="1" x14ac:dyDescent="0.35">
      <c r="A2421" s="3"/>
      <c r="B2421" s="165">
        <f t="shared" si="56"/>
        <v>45597</v>
      </c>
      <c r="C2421" s="57"/>
      <c r="D2421" s="3" t="s">
        <v>110</v>
      </c>
      <c r="E2421" s="18">
        <f t="shared" si="54"/>
        <v>15</v>
      </c>
      <c r="F2421" s="166">
        <f t="shared" si="54"/>
        <v>233</v>
      </c>
      <c r="G2421" s="166">
        <f t="shared" si="54"/>
        <v>199</v>
      </c>
      <c r="H2421" s="21">
        <f t="shared" si="54"/>
        <v>303</v>
      </c>
      <c r="I2421" s="21">
        <f t="shared" si="54"/>
        <v>75</v>
      </c>
      <c r="J2421" s="21">
        <f t="shared" si="54"/>
        <v>153</v>
      </c>
      <c r="K2421" s="21">
        <f t="shared" si="54"/>
        <v>28</v>
      </c>
      <c r="L2421" s="21">
        <f t="shared" si="57"/>
        <v>208</v>
      </c>
      <c r="M2421" s="21">
        <f t="shared" si="57"/>
        <v>83</v>
      </c>
      <c r="N2421" s="21">
        <f t="shared" si="57"/>
        <v>235</v>
      </c>
      <c r="O2421" s="19">
        <f t="shared" si="57"/>
        <v>308</v>
      </c>
      <c r="P2421" s="22">
        <f t="shared" si="57"/>
        <v>7</v>
      </c>
      <c r="Q2421" s="22">
        <f t="shared" si="57"/>
        <v>5</v>
      </c>
      <c r="R2421" s="236" t="str">
        <f t="shared" si="41"/>
        <v>-</v>
      </c>
      <c r="S2421" s="234">
        <f t="shared" si="58"/>
        <v>0</v>
      </c>
      <c r="T2421" s="235">
        <f t="shared" si="58"/>
        <v>0</v>
      </c>
    </row>
    <row r="2422" spans="1:20" hidden="1" x14ac:dyDescent="0.35">
      <c r="A2422" s="3"/>
      <c r="B2422" s="165">
        <f>DATE(YEAR(B2421+31),MONTH(B2421+31),1)</f>
        <v>45627</v>
      </c>
      <c r="C2422" s="57"/>
      <c r="D2422" s="3" t="s">
        <v>16</v>
      </c>
      <c r="E2422" s="18">
        <f t="shared" si="54"/>
        <v>472</v>
      </c>
      <c r="F2422" s="166">
        <f t="shared" si="54"/>
        <v>2490</v>
      </c>
      <c r="G2422" s="166">
        <f t="shared" si="54"/>
        <v>2349</v>
      </c>
      <c r="H2422" s="21">
        <f t="shared" si="54"/>
        <v>3904</v>
      </c>
      <c r="I2422" s="21">
        <f t="shared" si="54"/>
        <v>640</v>
      </c>
      <c r="J2422" s="21">
        <f t="shared" si="54"/>
        <v>1799</v>
      </c>
      <c r="K2422" s="21">
        <f t="shared" si="54"/>
        <v>394</v>
      </c>
      <c r="L2422" s="21">
        <f t="shared" si="57"/>
        <v>3987</v>
      </c>
      <c r="M2422" s="21">
        <f t="shared" si="57"/>
        <v>1499</v>
      </c>
      <c r="N2422" s="21">
        <f t="shared" si="57"/>
        <v>2551</v>
      </c>
      <c r="O2422" s="19">
        <f t="shared" si="57"/>
        <v>3938</v>
      </c>
      <c r="P2422" s="22">
        <f t="shared" si="57"/>
        <v>221</v>
      </c>
      <c r="Q2422" s="22">
        <f t="shared" si="57"/>
        <v>125</v>
      </c>
      <c r="R2422" s="236" t="str">
        <f t="shared" si="41"/>
        <v>-</v>
      </c>
      <c r="S2422" s="234">
        <f t="shared" si="58"/>
        <v>0</v>
      </c>
      <c r="T2422" s="235">
        <f t="shared" si="58"/>
        <v>0</v>
      </c>
    </row>
    <row r="2423" spans="1:20" hidden="1" x14ac:dyDescent="0.35">
      <c r="A2423" s="3"/>
      <c r="B2423" s="165">
        <f t="shared" si="56"/>
        <v>45627</v>
      </c>
      <c r="C2423" s="57"/>
      <c r="D2423" s="3" t="s">
        <v>104</v>
      </c>
      <c r="E2423" s="18">
        <f t="shared" ref="E2423:Q2449" si="59">SUMIFS(E$5:E$2214,$A$5:$A$2214,$D2423,$B$5:$B$2214,$B2423)</f>
        <v>5</v>
      </c>
      <c r="F2423" s="166">
        <f t="shared" si="59"/>
        <v>615</v>
      </c>
      <c r="G2423" s="166">
        <f t="shared" si="59"/>
        <v>585</v>
      </c>
      <c r="H2423" s="21">
        <f t="shared" si="59"/>
        <v>1050</v>
      </c>
      <c r="I2423" s="21">
        <f t="shared" si="59"/>
        <v>183</v>
      </c>
      <c r="J2423" s="21">
        <f t="shared" si="59"/>
        <v>302</v>
      </c>
      <c r="K2423" s="21">
        <f t="shared" si="59"/>
        <v>87</v>
      </c>
      <c r="L2423" s="21">
        <f t="shared" si="57"/>
        <v>535</v>
      </c>
      <c r="M2423" s="21">
        <f t="shared" si="57"/>
        <v>277</v>
      </c>
      <c r="N2423" s="21">
        <f t="shared" si="57"/>
        <v>640</v>
      </c>
      <c r="O2423" s="19">
        <f t="shared" si="57"/>
        <v>748</v>
      </c>
      <c r="P2423" s="22">
        <f t="shared" si="57"/>
        <v>58</v>
      </c>
      <c r="Q2423" s="22">
        <f t="shared" si="57"/>
        <v>28</v>
      </c>
      <c r="R2423" s="236" t="str">
        <f t="shared" si="41"/>
        <v>-</v>
      </c>
      <c r="S2423" s="234">
        <f t="shared" si="58"/>
        <v>0</v>
      </c>
      <c r="T2423" s="235">
        <f t="shared" si="58"/>
        <v>0</v>
      </c>
    </row>
    <row r="2424" spans="1:20" hidden="1" x14ac:dyDescent="0.35">
      <c r="A2424" s="3"/>
      <c r="B2424" s="165">
        <f t="shared" si="56"/>
        <v>45627</v>
      </c>
      <c r="C2424" s="57"/>
      <c r="D2424" s="3" t="s">
        <v>105</v>
      </c>
      <c r="E2424" s="18">
        <f t="shared" si="59"/>
        <v>51</v>
      </c>
      <c r="F2424" s="166">
        <f t="shared" si="59"/>
        <v>529</v>
      </c>
      <c r="G2424" s="166">
        <f t="shared" si="59"/>
        <v>553</v>
      </c>
      <c r="H2424" s="21">
        <f t="shared" si="59"/>
        <v>740</v>
      </c>
      <c r="I2424" s="21">
        <f t="shared" si="59"/>
        <v>123</v>
      </c>
      <c r="J2424" s="21">
        <f t="shared" si="59"/>
        <v>378</v>
      </c>
      <c r="K2424" s="21">
        <f t="shared" si="59"/>
        <v>80</v>
      </c>
      <c r="L2424" s="21">
        <f t="shared" si="57"/>
        <v>748</v>
      </c>
      <c r="M2424" s="21">
        <f t="shared" si="57"/>
        <v>254</v>
      </c>
      <c r="N2424" s="21">
        <f t="shared" si="57"/>
        <v>529</v>
      </c>
      <c r="O2424" s="19">
        <f t="shared" si="57"/>
        <v>792</v>
      </c>
      <c r="P2424" s="22">
        <f t="shared" si="57"/>
        <v>71</v>
      </c>
      <c r="Q2424" s="22">
        <f t="shared" si="57"/>
        <v>4</v>
      </c>
      <c r="R2424" s="236" t="str">
        <f t="shared" si="41"/>
        <v>-</v>
      </c>
      <c r="S2424" s="234">
        <f t="shared" si="58"/>
        <v>0</v>
      </c>
      <c r="T2424" s="235">
        <f t="shared" si="58"/>
        <v>0</v>
      </c>
    </row>
    <row r="2425" spans="1:20" hidden="1" x14ac:dyDescent="0.35">
      <c r="A2425" s="3"/>
      <c r="B2425" s="165">
        <f t="shared" si="56"/>
        <v>45627</v>
      </c>
      <c r="C2425" s="57"/>
      <c r="D2425" s="3" t="s">
        <v>105</v>
      </c>
      <c r="E2425" s="18">
        <f t="shared" si="59"/>
        <v>51</v>
      </c>
      <c r="F2425" s="166">
        <f t="shared" si="59"/>
        <v>529</v>
      </c>
      <c r="G2425" s="166">
        <f t="shared" si="59"/>
        <v>553</v>
      </c>
      <c r="H2425" s="21">
        <f t="shared" si="59"/>
        <v>740</v>
      </c>
      <c r="I2425" s="21">
        <f t="shared" si="59"/>
        <v>123</v>
      </c>
      <c r="J2425" s="21">
        <f t="shared" si="59"/>
        <v>378</v>
      </c>
      <c r="K2425" s="21">
        <f t="shared" si="59"/>
        <v>80</v>
      </c>
      <c r="L2425" s="21">
        <f t="shared" si="57"/>
        <v>748</v>
      </c>
      <c r="M2425" s="21">
        <f t="shared" si="57"/>
        <v>254</v>
      </c>
      <c r="N2425" s="21">
        <f t="shared" si="57"/>
        <v>529</v>
      </c>
      <c r="O2425" s="19">
        <f t="shared" si="57"/>
        <v>792</v>
      </c>
      <c r="P2425" s="22">
        <f t="shared" si="57"/>
        <v>71</v>
      </c>
      <c r="Q2425" s="22">
        <f t="shared" si="57"/>
        <v>4</v>
      </c>
      <c r="R2425" s="236" t="str">
        <f t="shared" si="41"/>
        <v>-</v>
      </c>
      <c r="S2425" s="234">
        <f t="shared" si="58"/>
        <v>0</v>
      </c>
      <c r="T2425" s="235">
        <f t="shared" si="58"/>
        <v>0</v>
      </c>
    </row>
    <row r="2426" spans="1:20" hidden="1" x14ac:dyDescent="0.35">
      <c r="A2426" s="3"/>
      <c r="B2426" s="165">
        <f t="shared" si="56"/>
        <v>45627</v>
      </c>
      <c r="C2426" s="57"/>
      <c r="D2426" s="3" t="s">
        <v>106</v>
      </c>
      <c r="E2426" s="18">
        <f t="shared" si="59"/>
        <v>246</v>
      </c>
      <c r="F2426" s="166">
        <f t="shared" si="59"/>
        <v>1448</v>
      </c>
      <c r="G2426" s="166">
        <f t="shared" si="59"/>
        <v>1413</v>
      </c>
      <c r="H2426" s="21">
        <f t="shared" si="59"/>
        <v>2974</v>
      </c>
      <c r="I2426" s="21">
        <f t="shared" si="59"/>
        <v>450</v>
      </c>
      <c r="J2426" s="21">
        <f t="shared" si="59"/>
        <v>1101</v>
      </c>
      <c r="K2426" s="21">
        <f t="shared" si="59"/>
        <v>240</v>
      </c>
      <c r="L2426" s="21">
        <f t="shared" si="57"/>
        <v>2521</v>
      </c>
      <c r="M2426" s="21">
        <f t="shared" si="57"/>
        <v>802</v>
      </c>
      <c r="N2426" s="21">
        <f t="shared" si="57"/>
        <v>1462</v>
      </c>
      <c r="O2426" s="19">
        <f t="shared" si="57"/>
        <v>2068</v>
      </c>
      <c r="P2426" s="22">
        <f t="shared" si="57"/>
        <v>179</v>
      </c>
      <c r="Q2426" s="22">
        <f t="shared" si="57"/>
        <v>115</v>
      </c>
      <c r="R2426" s="236" t="str">
        <f t="shared" si="41"/>
        <v>-</v>
      </c>
      <c r="S2426" s="234">
        <f t="shared" si="58"/>
        <v>0</v>
      </c>
      <c r="T2426" s="235">
        <f t="shared" si="58"/>
        <v>0</v>
      </c>
    </row>
    <row r="2427" spans="1:20" hidden="1" x14ac:dyDescent="0.35">
      <c r="A2427" s="3"/>
      <c r="B2427" s="165">
        <f t="shared" si="56"/>
        <v>45627</v>
      </c>
      <c r="C2427" s="57"/>
      <c r="D2427" s="3" t="s">
        <v>107</v>
      </c>
      <c r="E2427" s="18">
        <f t="shared" si="59"/>
        <v>256</v>
      </c>
      <c r="F2427" s="166">
        <f t="shared" si="59"/>
        <v>1483</v>
      </c>
      <c r="G2427" s="166">
        <f t="shared" si="59"/>
        <v>1458</v>
      </c>
      <c r="H2427" s="21">
        <f t="shared" si="59"/>
        <v>1967</v>
      </c>
      <c r="I2427" s="21">
        <f t="shared" si="59"/>
        <v>362</v>
      </c>
      <c r="J2427" s="21">
        <f t="shared" si="59"/>
        <v>1032</v>
      </c>
      <c r="K2427" s="21">
        <f t="shared" si="59"/>
        <v>312</v>
      </c>
      <c r="L2427" s="21">
        <f t="shared" si="57"/>
        <v>2163</v>
      </c>
      <c r="M2427" s="21">
        <f t="shared" si="57"/>
        <v>973</v>
      </c>
      <c r="N2427" s="21">
        <f t="shared" si="57"/>
        <v>1490</v>
      </c>
      <c r="O2427" s="19">
        <f t="shared" si="57"/>
        <v>1892</v>
      </c>
      <c r="P2427" s="22">
        <f t="shared" si="57"/>
        <v>280</v>
      </c>
      <c r="Q2427" s="22">
        <f t="shared" si="57"/>
        <v>172</v>
      </c>
      <c r="R2427" s="236" t="str">
        <f t="shared" si="41"/>
        <v>-</v>
      </c>
      <c r="S2427" s="234">
        <f t="shared" si="58"/>
        <v>0</v>
      </c>
      <c r="T2427" s="235">
        <f t="shared" si="58"/>
        <v>0</v>
      </c>
    </row>
    <row r="2428" spans="1:20" hidden="1" x14ac:dyDescent="0.35">
      <c r="A2428" s="3"/>
      <c r="B2428" s="165">
        <f t="shared" si="56"/>
        <v>45627</v>
      </c>
      <c r="C2428" s="57"/>
      <c r="D2428" s="3" t="s">
        <v>108</v>
      </c>
      <c r="E2428" s="18">
        <f t="shared" si="59"/>
        <v>309</v>
      </c>
      <c r="F2428" s="166">
        <f t="shared" si="59"/>
        <v>1539</v>
      </c>
      <c r="G2428" s="166">
        <f t="shared" si="59"/>
        <v>1524</v>
      </c>
      <c r="H2428" s="21">
        <f t="shared" si="59"/>
        <v>2514</v>
      </c>
      <c r="I2428" s="21">
        <f t="shared" si="59"/>
        <v>396</v>
      </c>
      <c r="J2428" s="21">
        <f t="shared" si="59"/>
        <v>1190</v>
      </c>
      <c r="K2428" s="21">
        <f t="shared" si="59"/>
        <v>246</v>
      </c>
      <c r="L2428" s="21">
        <f t="shared" si="57"/>
        <v>2703</v>
      </c>
      <c r="M2428" s="21">
        <f t="shared" si="57"/>
        <v>855</v>
      </c>
      <c r="N2428" s="21">
        <f t="shared" si="57"/>
        <v>1566</v>
      </c>
      <c r="O2428" s="19">
        <f t="shared" si="57"/>
        <v>2178</v>
      </c>
      <c r="P2428" s="22">
        <f t="shared" si="57"/>
        <v>231</v>
      </c>
      <c r="Q2428" s="22">
        <f t="shared" si="57"/>
        <v>143</v>
      </c>
      <c r="R2428" s="236"/>
      <c r="S2428" s="234"/>
      <c r="T2428" s="235"/>
    </row>
    <row r="2429" spans="1:20" hidden="1" x14ac:dyDescent="0.35">
      <c r="A2429" s="3"/>
      <c r="B2429" s="165">
        <f t="shared" si="56"/>
        <v>45627</v>
      </c>
      <c r="C2429" s="57"/>
      <c r="D2429" s="3" t="s">
        <v>109</v>
      </c>
      <c r="E2429" s="18">
        <f t="shared" si="59"/>
        <v>291</v>
      </c>
      <c r="F2429" s="166">
        <f t="shared" si="59"/>
        <v>2293</v>
      </c>
      <c r="G2429" s="166">
        <f t="shared" si="59"/>
        <v>2358</v>
      </c>
      <c r="H2429" s="21">
        <f t="shared" si="59"/>
        <v>4200</v>
      </c>
      <c r="I2429" s="21">
        <f t="shared" si="59"/>
        <v>618</v>
      </c>
      <c r="J2429" s="21">
        <f t="shared" si="59"/>
        <v>1918</v>
      </c>
      <c r="K2429" s="21">
        <f t="shared" si="59"/>
        <v>339</v>
      </c>
      <c r="L2429" s="21">
        <f t="shared" si="57"/>
        <v>3479</v>
      </c>
      <c r="M2429" s="21">
        <f t="shared" si="57"/>
        <v>1143</v>
      </c>
      <c r="N2429" s="21">
        <f t="shared" si="57"/>
        <v>2314</v>
      </c>
      <c r="O2429" s="19">
        <f t="shared" si="57"/>
        <v>3278</v>
      </c>
      <c r="P2429" s="22">
        <f t="shared" si="57"/>
        <v>109</v>
      </c>
      <c r="Q2429" s="22">
        <f t="shared" si="57"/>
        <v>82</v>
      </c>
      <c r="R2429" s="236"/>
      <c r="S2429" s="234"/>
      <c r="T2429" s="235"/>
    </row>
    <row r="2430" spans="1:20" hidden="1" x14ac:dyDescent="0.35">
      <c r="A2430" s="3"/>
      <c r="B2430" s="165">
        <f t="shared" si="56"/>
        <v>45627</v>
      </c>
      <c r="C2430" s="57"/>
      <c r="D2430" s="3" t="s">
        <v>110</v>
      </c>
      <c r="E2430" s="18">
        <f t="shared" si="59"/>
        <v>15</v>
      </c>
      <c r="F2430" s="166">
        <f t="shared" si="59"/>
        <v>225</v>
      </c>
      <c r="G2430" s="166">
        <f t="shared" si="59"/>
        <v>208</v>
      </c>
      <c r="H2430" s="21">
        <f t="shared" si="59"/>
        <v>341</v>
      </c>
      <c r="I2430" s="21">
        <f t="shared" si="59"/>
        <v>65</v>
      </c>
      <c r="J2430" s="21">
        <f t="shared" si="59"/>
        <v>169</v>
      </c>
      <c r="K2430" s="21">
        <f t="shared" si="59"/>
        <v>39</v>
      </c>
      <c r="L2430" s="21">
        <f t="shared" si="57"/>
        <v>199</v>
      </c>
      <c r="M2430" s="21">
        <f t="shared" si="57"/>
        <v>81</v>
      </c>
      <c r="N2430" s="21">
        <f t="shared" si="57"/>
        <v>227</v>
      </c>
      <c r="O2430" s="19">
        <f t="shared" si="57"/>
        <v>286</v>
      </c>
      <c r="P2430" s="22">
        <f t="shared" si="57"/>
        <v>9</v>
      </c>
      <c r="Q2430" s="22">
        <f t="shared" si="57"/>
        <v>3</v>
      </c>
      <c r="R2430" s="236"/>
      <c r="S2430" s="234"/>
      <c r="T2430" s="235"/>
    </row>
    <row r="2431" spans="1:20" hidden="1" x14ac:dyDescent="0.35">
      <c r="A2431" s="3"/>
      <c r="B2431" s="165">
        <f>DATE(YEAR(B2430+31),MONTH(B2430+31),1)</f>
        <v>45658</v>
      </c>
      <c r="C2431" s="57"/>
      <c r="D2431" s="3" t="s">
        <v>16</v>
      </c>
      <c r="E2431" s="18">
        <f t="shared" si="59"/>
        <v>389</v>
      </c>
      <c r="F2431" s="166">
        <f t="shared" si="59"/>
        <v>1898</v>
      </c>
      <c r="G2431" s="166">
        <f t="shared" si="59"/>
        <v>1869</v>
      </c>
      <c r="H2431" s="21">
        <f t="shared" si="59"/>
        <v>3459</v>
      </c>
      <c r="I2431" s="21">
        <f t="shared" si="59"/>
        <v>497</v>
      </c>
      <c r="J2431" s="21">
        <f t="shared" si="59"/>
        <v>1537</v>
      </c>
      <c r="K2431" s="21">
        <f t="shared" si="59"/>
        <v>285</v>
      </c>
      <c r="L2431" s="21">
        <f t="shared" si="57"/>
        <v>3542</v>
      </c>
      <c r="M2431" s="21">
        <f t="shared" si="57"/>
        <v>1241</v>
      </c>
      <c r="N2431" s="21">
        <f t="shared" si="57"/>
        <v>1921</v>
      </c>
      <c r="O2431" s="19">
        <f t="shared" si="57"/>
        <v>3938</v>
      </c>
      <c r="P2431" s="22">
        <f t="shared" si="57"/>
        <v>181</v>
      </c>
      <c r="Q2431" s="22">
        <f t="shared" si="57"/>
        <v>105</v>
      </c>
      <c r="R2431" s="236"/>
      <c r="S2431" s="234"/>
      <c r="T2431" s="235"/>
    </row>
    <row r="2432" spans="1:20" hidden="1" x14ac:dyDescent="0.35">
      <c r="A2432" s="3"/>
      <c r="B2432" s="165">
        <f t="shared" ref="B2432:B2457" si="60">B2431</f>
        <v>45658</v>
      </c>
      <c r="C2432" s="57"/>
      <c r="D2432" s="3" t="s">
        <v>104</v>
      </c>
      <c r="E2432" s="18">
        <f t="shared" si="59"/>
        <v>10</v>
      </c>
      <c r="F2432" s="166">
        <f t="shared" si="59"/>
        <v>508</v>
      </c>
      <c r="G2432" s="166">
        <f t="shared" si="59"/>
        <v>529</v>
      </c>
      <c r="H2432" s="21">
        <f t="shared" si="59"/>
        <v>855</v>
      </c>
      <c r="I2432" s="21">
        <f t="shared" si="59"/>
        <v>130</v>
      </c>
      <c r="J2432" s="21">
        <f t="shared" si="59"/>
        <v>352</v>
      </c>
      <c r="K2432" s="21">
        <f t="shared" si="59"/>
        <v>95</v>
      </c>
      <c r="L2432" s="21">
        <f t="shared" si="57"/>
        <v>538</v>
      </c>
      <c r="M2432" s="21">
        <f t="shared" si="57"/>
        <v>239</v>
      </c>
      <c r="N2432" s="21">
        <f t="shared" si="57"/>
        <v>509</v>
      </c>
      <c r="O2432" s="19">
        <f t="shared" si="57"/>
        <v>770</v>
      </c>
      <c r="P2432" s="22">
        <f t="shared" si="57"/>
        <v>64</v>
      </c>
      <c r="Q2432" s="22">
        <f t="shared" si="57"/>
        <v>36</v>
      </c>
      <c r="R2432" s="236"/>
      <c r="S2432" s="234"/>
      <c r="T2432" s="235"/>
    </row>
    <row r="2433" spans="1:20" hidden="1" x14ac:dyDescent="0.35">
      <c r="A2433" s="3"/>
      <c r="B2433" s="165">
        <f t="shared" si="60"/>
        <v>45658</v>
      </c>
      <c r="C2433" s="57"/>
      <c r="D2433" s="3" t="s">
        <v>105</v>
      </c>
      <c r="E2433" s="18">
        <f t="shared" si="59"/>
        <v>24</v>
      </c>
      <c r="F2433" s="166">
        <f t="shared" si="59"/>
        <v>358</v>
      </c>
      <c r="G2433" s="166">
        <f t="shared" si="59"/>
        <v>331</v>
      </c>
      <c r="H2433" s="21">
        <f t="shared" si="59"/>
        <v>678</v>
      </c>
      <c r="I2433" s="21">
        <f t="shared" si="59"/>
        <v>101</v>
      </c>
      <c r="J2433" s="21">
        <f t="shared" si="59"/>
        <v>335</v>
      </c>
      <c r="K2433" s="21">
        <f t="shared" si="59"/>
        <v>64</v>
      </c>
      <c r="L2433" s="21">
        <f t="shared" si="57"/>
        <v>706</v>
      </c>
      <c r="M2433" s="21">
        <f t="shared" si="57"/>
        <v>213</v>
      </c>
      <c r="N2433" s="21">
        <f t="shared" si="57"/>
        <v>361</v>
      </c>
      <c r="O2433" s="19">
        <f t="shared" si="57"/>
        <v>792</v>
      </c>
      <c r="P2433" s="22">
        <f t="shared" si="57"/>
        <v>57</v>
      </c>
      <c r="Q2433" s="22">
        <f t="shared" si="57"/>
        <v>23</v>
      </c>
      <c r="R2433" s="236"/>
      <c r="S2433" s="234"/>
      <c r="T2433" s="235"/>
    </row>
    <row r="2434" spans="1:20" hidden="1" x14ac:dyDescent="0.35">
      <c r="A2434" s="3"/>
      <c r="B2434" s="165">
        <f t="shared" si="60"/>
        <v>45658</v>
      </c>
      <c r="C2434" s="57"/>
      <c r="D2434" s="3" t="s">
        <v>105</v>
      </c>
      <c r="E2434" s="18">
        <f t="shared" si="59"/>
        <v>24</v>
      </c>
      <c r="F2434" s="166">
        <f t="shared" si="59"/>
        <v>358</v>
      </c>
      <c r="G2434" s="166">
        <f t="shared" si="59"/>
        <v>331</v>
      </c>
      <c r="H2434" s="21">
        <f t="shared" si="59"/>
        <v>678</v>
      </c>
      <c r="I2434" s="21">
        <f t="shared" si="59"/>
        <v>101</v>
      </c>
      <c r="J2434" s="21">
        <f t="shared" si="59"/>
        <v>335</v>
      </c>
      <c r="K2434" s="21">
        <f t="shared" si="59"/>
        <v>64</v>
      </c>
      <c r="L2434" s="21">
        <f t="shared" si="57"/>
        <v>706</v>
      </c>
      <c r="M2434" s="21">
        <f t="shared" si="57"/>
        <v>213</v>
      </c>
      <c r="N2434" s="21">
        <f t="shared" si="57"/>
        <v>361</v>
      </c>
      <c r="O2434" s="19">
        <f t="shared" si="57"/>
        <v>792</v>
      </c>
      <c r="P2434" s="22">
        <f t="shared" si="57"/>
        <v>57</v>
      </c>
      <c r="Q2434" s="22">
        <f t="shared" si="57"/>
        <v>23</v>
      </c>
      <c r="R2434" s="236"/>
      <c r="S2434" s="234"/>
      <c r="T2434" s="235"/>
    </row>
    <row r="2435" spans="1:20" hidden="1" x14ac:dyDescent="0.35">
      <c r="A2435" s="3"/>
      <c r="B2435" s="165">
        <f t="shared" si="60"/>
        <v>45658</v>
      </c>
      <c r="C2435" s="57"/>
      <c r="D2435" s="3" t="s">
        <v>106</v>
      </c>
      <c r="E2435" s="18">
        <f t="shared" si="59"/>
        <v>200</v>
      </c>
      <c r="F2435" s="166">
        <f t="shared" si="59"/>
        <v>1173</v>
      </c>
      <c r="G2435" s="166">
        <f t="shared" si="59"/>
        <v>1131</v>
      </c>
      <c r="H2435" s="21">
        <f t="shared" si="59"/>
        <v>2583</v>
      </c>
      <c r="I2435" s="21">
        <f t="shared" si="59"/>
        <v>351</v>
      </c>
      <c r="J2435" s="21">
        <f t="shared" si="59"/>
        <v>1054</v>
      </c>
      <c r="K2435" s="21">
        <f t="shared" si="59"/>
        <v>196</v>
      </c>
      <c r="L2435" s="21">
        <f t="shared" si="57"/>
        <v>2237</v>
      </c>
      <c r="M2435" s="21">
        <f t="shared" si="57"/>
        <v>581</v>
      </c>
      <c r="N2435" s="21">
        <f t="shared" si="57"/>
        <v>1210</v>
      </c>
      <c r="O2435" s="19">
        <f t="shared" si="57"/>
        <v>2024</v>
      </c>
      <c r="P2435" s="22">
        <f t="shared" si="57"/>
        <v>178</v>
      </c>
      <c r="Q2435" s="22">
        <f t="shared" si="57"/>
        <v>115</v>
      </c>
      <c r="R2435" s="236"/>
      <c r="S2435" s="234"/>
      <c r="T2435" s="235"/>
    </row>
    <row r="2436" spans="1:20" hidden="1" x14ac:dyDescent="0.35">
      <c r="A2436" s="3"/>
      <c r="B2436" s="165">
        <f t="shared" si="60"/>
        <v>45658</v>
      </c>
      <c r="C2436" s="57"/>
      <c r="D2436" s="3" t="s">
        <v>107</v>
      </c>
      <c r="E2436" s="18">
        <f t="shared" si="59"/>
        <v>202</v>
      </c>
      <c r="F2436" s="166">
        <f t="shared" si="59"/>
        <v>1020</v>
      </c>
      <c r="G2436" s="166">
        <f t="shared" si="59"/>
        <v>999</v>
      </c>
      <c r="H2436" s="21">
        <f t="shared" si="59"/>
        <v>1687</v>
      </c>
      <c r="I2436" s="21">
        <f t="shared" si="59"/>
        <v>236</v>
      </c>
      <c r="J2436" s="21">
        <f t="shared" si="59"/>
        <v>926</v>
      </c>
      <c r="K2436" s="21">
        <f t="shared" si="59"/>
        <v>235</v>
      </c>
      <c r="L2436" s="21">
        <f t="shared" si="57"/>
        <v>1751</v>
      </c>
      <c r="M2436" s="21">
        <f t="shared" si="57"/>
        <v>707</v>
      </c>
      <c r="N2436" s="21">
        <f t="shared" si="57"/>
        <v>1027</v>
      </c>
      <c r="O2436" s="19">
        <f t="shared" si="57"/>
        <v>1980</v>
      </c>
      <c r="P2436" s="22">
        <f t="shared" si="57"/>
        <v>252</v>
      </c>
      <c r="Q2436" s="22">
        <f t="shared" si="57"/>
        <v>167</v>
      </c>
      <c r="R2436" s="236"/>
      <c r="S2436" s="234"/>
      <c r="T2436" s="235"/>
    </row>
    <row r="2437" spans="1:20" hidden="1" x14ac:dyDescent="0.35">
      <c r="A2437" s="3"/>
      <c r="B2437" s="165">
        <f t="shared" si="60"/>
        <v>45658</v>
      </c>
      <c r="C2437" s="57"/>
      <c r="D2437" s="3" t="s">
        <v>108</v>
      </c>
      <c r="E2437" s="18">
        <f t="shared" si="59"/>
        <v>250</v>
      </c>
      <c r="F2437" s="166">
        <f t="shared" si="59"/>
        <v>1219</v>
      </c>
      <c r="G2437" s="166">
        <f t="shared" si="59"/>
        <v>1134</v>
      </c>
      <c r="H2437" s="21">
        <f t="shared" si="59"/>
        <v>2319</v>
      </c>
      <c r="I2437" s="21">
        <f t="shared" si="59"/>
        <v>332</v>
      </c>
      <c r="J2437" s="21">
        <f t="shared" si="59"/>
        <v>1111</v>
      </c>
      <c r="K2437" s="21">
        <f t="shared" si="59"/>
        <v>246</v>
      </c>
      <c r="L2437" s="21">
        <f t="shared" si="57"/>
        <v>2394</v>
      </c>
      <c r="M2437" s="21">
        <f t="shared" si="57"/>
        <v>740</v>
      </c>
      <c r="N2437" s="21">
        <f t="shared" si="57"/>
        <v>1236</v>
      </c>
      <c r="O2437" s="19">
        <f t="shared" si="57"/>
        <v>2156</v>
      </c>
      <c r="P2437" s="22">
        <f t="shared" si="57"/>
        <v>247</v>
      </c>
      <c r="Q2437" s="22">
        <f t="shared" si="57"/>
        <v>169</v>
      </c>
      <c r="R2437" s="236"/>
      <c r="S2437" s="234"/>
      <c r="T2437" s="235"/>
    </row>
    <row r="2438" spans="1:20" hidden="1" x14ac:dyDescent="0.35">
      <c r="A2438" s="3"/>
      <c r="B2438" s="165">
        <f t="shared" si="60"/>
        <v>45658</v>
      </c>
      <c r="C2438" s="57"/>
      <c r="D2438" s="3" t="s">
        <v>109</v>
      </c>
      <c r="E2438" s="18">
        <f t="shared" si="59"/>
        <v>221</v>
      </c>
      <c r="F2438" s="166">
        <f t="shared" si="59"/>
        <v>1742</v>
      </c>
      <c r="G2438" s="166">
        <f t="shared" si="59"/>
        <v>1825</v>
      </c>
      <c r="H2438" s="21">
        <f t="shared" si="59"/>
        <v>3508</v>
      </c>
      <c r="I2438" s="21">
        <f t="shared" si="59"/>
        <v>515</v>
      </c>
      <c r="J2438" s="21">
        <f t="shared" si="59"/>
        <v>1631</v>
      </c>
      <c r="K2438" s="21">
        <f t="shared" si="59"/>
        <v>260</v>
      </c>
      <c r="L2438" s="21">
        <f t="shared" si="57"/>
        <v>3057</v>
      </c>
      <c r="M2438" s="21">
        <f t="shared" si="57"/>
        <v>928</v>
      </c>
      <c r="N2438" s="21">
        <f t="shared" si="57"/>
        <v>1778</v>
      </c>
      <c r="O2438" s="19">
        <f t="shared" si="57"/>
        <v>3366</v>
      </c>
      <c r="P2438" s="22">
        <f t="shared" si="57"/>
        <v>109</v>
      </c>
      <c r="Q2438" s="22">
        <f t="shared" si="57"/>
        <v>63</v>
      </c>
      <c r="R2438" s="236"/>
      <c r="S2438" s="234"/>
      <c r="T2438" s="235"/>
    </row>
    <row r="2439" spans="1:20" hidden="1" x14ac:dyDescent="0.35">
      <c r="A2439" s="3"/>
      <c r="B2439" s="165">
        <f t="shared" si="60"/>
        <v>45658</v>
      </c>
      <c r="C2439" s="57"/>
      <c r="D2439" s="3" t="s">
        <v>110</v>
      </c>
      <c r="E2439" s="18">
        <f t="shared" si="59"/>
        <v>13</v>
      </c>
      <c r="F2439" s="166">
        <f t="shared" si="59"/>
        <v>197</v>
      </c>
      <c r="G2439" s="166">
        <f t="shared" si="59"/>
        <v>191</v>
      </c>
      <c r="H2439" s="21">
        <f t="shared" si="59"/>
        <v>296</v>
      </c>
      <c r="I2439" s="21">
        <f t="shared" si="59"/>
        <v>48</v>
      </c>
      <c r="J2439" s="21">
        <f t="shared" si="59"/>
        <v>203</v>
      </c>
      <c r="K2439" s="21">
        <f t="shared" si="59"/>
        <v>31</v>
      </c>
      <c r="L2439" s="21">
        <f t="shared" si="57"/>
        <v>239</v>
      </c>
      <c r="M2439" s="21">
        <f t="shared" si="57"/>
        <v>83</v>
      </c>
      <c r="N2439" s="21">
        <f t="shared" si="57"/>
        <v>197</v>
      </c>
      <c r="O2439" s="19">
        <f t="shared" si="57"/>
        <v>286</v>
      </c>
      <c r="P2439" s="22">
        <f t="shared" si="57"/>
        <v>18</v>
      </c>
      <c r="Q2439" s="22">
        <f t="shared" si="57"/>
        <v>12</v>
      </c>
      <c r="R2439" s="236"/>
      <c r="S2439" s="234"/>
      <c r="T2439" s="235"/>
    </row>
    <row r="2440" spans="1:20" hidden="1" x14ac:dyDescent="0.35">
      <c r="A2440" s="3"/>
      <c r="B2440" s="165">
        <f>DATE(YEAR(B2439+31),MONTH(B2439+31),1)</f>
        <v>45689</v>
      </c>
      <c r="C2440" s="57"/>
      <c r="D2440" s="3" t="s">
        <v>16</v>
      </c>
      <c r="E2440" s="18">
        <f t="shared" si="59"/>
        <v>373</v>
      </c>
      <c r="F2440" s="166">
        <f t="shared" si="59"/>
        <v>1933</v>
      </c>
      <c r="G2440" s="166">
        <f t="shared" si="59"/>
        <v>1919</v>
      </c>
      <c r="H2440" s="21">
        <f t="shared" si="59"/>
        <v>3578</v>
      </c>
      <c r="I2440" s="21">
        <f t="shared" si="59"/>
        <v>478</v>
      </c>
      <c r="J2440" s="21">
        <f t="shared" si="59"/>
        <v>1419</v>
      </c>
      <c r="K2440" s="21">
        <f t="shared" si="59"/>
        <v>300</v>
      </c>
      <c r="L2440" s="21">
        <f t="shared" si="57"/>
        <v>3486</v>
      </c>
      <c r="M2440" s="21">
        <f t="shared" si="57"/>
        <v>1253</v>
      </c>
      <c r="N2440" s="21">
        <f t="shared" si="57"/>
        <v>1972</v>
      </c>
      <c r="O2440" s="19">
        <f t="shared" si="57"/>
        <v>3660</v>
      </c>
      <c r="P2440" s="22">
        <f t="shared" si="57"/>
        <v>209</v>
      </c>
      <c r="Q2440" s="22">
        <f t="shared" si="57"/>
        <v>119</v>
      </c>
      <c r="R2440" s="236"/>
      <c r="S2440" s="234"/>
      <c r="T2440" s="235"/>
    </row>
    <row r="2441" spans="1:20" hidden="1" x14ac:dyDescent="0.35">
      <c r="A2441" s="3"/>
      <c r="B2441" s="165">
        <f t="shared" si="60"/>
        <v>45689</v>
      </c>
      <c r="C2441" s="57"/>
      <c r="D2441" s="3" t="s">
        <v>104</v>
      </c>
      <c r="E2441" s="18">
        <f t="shared" si="59"/>
        <v>27</v>
      </c>
      <c r="F2441" s="166">
        <f t="shared" si="59"/>
        <v>572</v>
      </c>
      <c r="G2441" s="166">
        <f t="shared" si="59"/>
        <v>594</v>
      </c>
      <c r="H2441" s="21">
        <f t="shared" si="59"/>
        <v>984</v>
      </c>
      <c r="I2441" s="21">
        <f t="shared" si="59"/>
        <v>157</v>
      </c>
      <c r="J2441" s="21">
        <f t="shared" si="59"/>
        <v>381</v>
      </c>
      <c r="K2441" s="21">
        <f t="shared" si="59"/>
        <v>101</v>
      </c>
      <c r="L2441" s="21">
        <f t="shared" si="57"/>
        <v>646</v>
      </c>
      <c r="M2441" s="21">
        <f t="shared" si="57"/>
        <v>277</v>
      </c>
      <c r="N2441" s="21">
        <f t="shared" si="57"/>
        <v>575</v>
      </c>
      <c r="O2441" s="19">
        <f t="shared" si="57"/>
        <v>700</v>
      </c>
      <c r="P2441" s="22">
        <f t="shared" si="57"/>
        <v>70</v>
      </c>
      <c r="Q2441" s="22">
        <f t="shared" si="57"/>
        <v>44</v>
      </c>
      <c r="R2441" s="236"/>
      <c r="S2441" s="234"/>
      <c r="T2441" s="235"/>
    </row>
    <row r="2442" spans="1:20" hidden="1" x14ac:dyDescent="0.35">
      <c r="A2442" s="3"/>
      <c r="B2442" s="165">
        <f t="shared" si="60"/>
        <v>45689</v>
      </c>
      <c r="C2442" s="57"/>
      <c r="D2442" s="3" t="s">
        <v>105</v>
      </c>
      <c r="E2442" s="18">
        <f t="shared" si="59"/>
        <v>23</v>
      </c>
      <c r="F2442" s="166">
        <f t="shared" si="59"/>
        <v>345</v>
      </c>
      <c r="G2442" s="166">
        <f t="shared" si="59"/>
        <v>380</v>
      </c>
      <c r="H2442" s="21">
        <f t="shared" si="59"/>
        <v>704</v>
      </c>
      <c r="I2442" s="21">
        <f t="shared" si="59"/>
        <v>94</v>
      </c>
      <c r="J2442" s="21">
        <f t="shared" si="59"/>
        <v>335</v>
      </c>
      <c r="K2442" s="21">
        <f t="shared" si="59"/>
        <v>56</v>
      </c>
      <c r="L2442" s="21">
        <f t="shared" si="57"/>
        <v>632</v>
      </c>
      <c r="M2442" s="21">
        <f t="shared" si="57"/>
        <v>201</v>
      </c>
      <c r="N2442" s="21">
        <f t="shared" si="57"/>
        <v>345</v>
      </c>
      <c r="O2442" s="19">
        <f t="shared" si="57"/>
        <v>700</v>
      </c>
      <c r="P2442" s="22">
        <f t="shared" si="57"/>
        <v>69</v>
      </c>
      <c r="Q2442" s="22">
        <f t="shared" si="57"/>
        <v>37</v>
      </c>
      <c r="R2442" s="236"/>
      <c r="S2442" s="234"/>
      <c r="T2442" s="235"/>
    </row>
    <row r="2443" spans="1:20" hidden="1" x14ac:dyDescent="0.35">
      <c r="A2443" s="3"/>
      <c r="B2443" s="165">
        <f t="shared" si="60"/>
        <v>45689</v>
      </c>
      <c r="C2443" s="57"/>
      <c r="D2443" s="3" t="s">
        <v>105</v>
      </c>
      <c r="E2443" s="18">
        <f t="shared" si="59"/>
        <v>23</v>
      </c>
      <c r="F2443" s="166">
        <f t="shared" si="59"/>
        <v>345</v>
      </c>
      <c r="G2443" s="166">
        <f t="shared" si="59"/>
        <v>380</v>
      </c>
      <c r="H2443" s="21">
        <f t="shared" si="59"/>
        <v>704</v>
      </c>
      <c r="I2443" s="21">
        <f t="shared" si="59"/>
        <v>94</v>
      </c>
      <c r="J2443" s="21">
        <f t="shared" si="59"/>
        <v>335</v>
      </c>
      <c r="K2443" s="21">
        <f t="shared" si="59"/>
        <v>56</v>
      </c>
      <c r="L2443" s="21">
        <f t="shared" si="59"/>
        <v>632</v>
      </c>
      <c r="M2443" s="21">
        <f t="shared" si="59"/>
        <v>201</v>
      </c>
      <c r="N2443" s="21">
        <f t="shared" si="59"/>
        <v>345</v>
      </c>
      <c r="O2443" s="19">
        <f t="shared" si="59"/>
        <v>700</v>
      </c>
      <c r="P2443" s="22">
        <f t="shared" si="59"/>
        <v>69</v>
      </c>
      <c r="Q2443" s="22">
        <f t="shared" si="59"/>
        <v>37</v>
      </c>
      <c r="R2443" s="236"/>
      <c r="S2443" s="234"/>
      <c r="T2443" s="235"/>
    </row>
    <row r="2444" spans="1:20" hidden="1" x14ac:dyDescent="0.35">
      <c r="A2444" s="3"/>
      <c r="B2444" s="165">
        <f t="shared" si="60"/>
        <v>45689</v>
      </c>
      <c r="C2444" s="57"/>
      <c r="D2444" s="3" t="s">
        <v>106</v>
      </c>
      <c r="E2444" s="18">
        <f t="shared" si="59"/>
        <v>195</v>
      </c>
      <c r="F2444" s="166">
        <f t="shared" si="59"/>
        <v>1137</v>
      </c>
      <c r="G2444" s="166">
        <f t="shared" si="59"/>
        <v>1129</v>
      </c>
      <c r="H2444" s="21">
        <f t="shared" si="59"/>
        <v>2613</v>
      </c>
      <c r="I2444" s="21">
        <f t="shared" si="59"/>
        <v>363</v>
      </c>
      <c r="J2444" s="21">
        <f t="shared" si="59"/>
        <v>853</v>
      </c>
      <c r="K2444" s="21">
        <f t="shared" si="59"/>
        <v>172</v>
      </c>
      <c r="L2444" s="21">
        <f t="shared" si="59"/>
        <v>2117</v>
      </c>
      <c r="M2444" s="21">
        <f t="shared" si="59"/>
        <v>607</v>
      </c>
      <c r="N2444" s="21">
        <f t="shared" si="59"/>
        <v>1160</v>
      </c>
      <c r="O2444" s="19">
        <f t="shared" si="59"/>
        <v>1920</v>
      </c>
      <c r="P2444" s="22">
        <f t="shared" si="59"/>
        <v>174</v>
      </c>
      <c r="Q2444" s="22">
        <f t="shared" si="59"/>
        <v>119</v>
      </c>
      <c r="R2444" s="236"/>
      <c r="S2444" s="234"/>
      <c r="T2444" s="235"/>
    </row>
    <row r="2445" spans="1:20" hidden="1" x14ac:dyDescent="0.35">
      <c r="A2445" s="3"/>
      <c r="B2445" s="165">
        <f t="shared" si="60"/>
        <v>45689</v>
      </c>
      <c r="C2445" s="57"/>
      <c r="D2445" s="3" t="s">
        <v>107</v>
      </c>
      <c r="E2445" s="18">
        <f t="shared" si="59"/>
        <v>172</v>
      </c>
      <c r="F2445" s="166">
        <f t="shared" si="59"/>
        <v>1008</v>
      </c>
      <c r="G2445" s="166">
        <f t="shared" si="59"/>
        <v>922</v>
      </c>
      <c r="H2445" s="21">
        <f t="shared" si="59"/>
        <v>1676</v>
      </c>
      <c r="I2445" s="21">
        <f t="shared" si="59"/>
        <v>265</v>
      </c>
      <c r="J2445" s="21">
        <f t="shared" si="59"/>
        <v>815</v>
      </c>
      <c r="K2445" s="21">
        <f t="shared" si="59"/>
        <v>191</v>
      </c>
      <c r="L2445" s="21">
        <f t="shared" si="59"/>
        <v>1757</v>
      </c>
      <c r="M2445" s="21">
        <f t="shared" si="59"/>
        <v>696</v>
      </c>
      <c r="N2445" s="21">
        <f t="shared" si="59"/>
        <v>1021</v>
      </c>
      <c r="O2445" s="19">
        <f t="shared" si="59"/>
        <v>1710</v>
      </c>
      <c r="P2445" s="22">
        <f t="shared" si="59"/>
        <v>251</v>
      </c>
      <c r="Q2445" s="22">
        <f t="shared" si="59"/>
        <v>150</v>
      </c>
      <c r="R2445" s="236"/>
      <c r="S2445" s="234"/>
      <c r="T2445" s="235"/>
    </row>
    <row r="2446" spans="1:20" hidden="1" x14ac:dyDescent="0.35">
      <c r="A2446" s="3"/>
      <c r="B2446" s="165">
        <f t="shared" si="60"/>
        <v>45689</v>
      </c>
      <c r="C2446" s="57"/>
      <c r="D2446" s="3" t="s">
        <v>108</v>
      </c>
      <c r="E2446" s="18">
        <f t="shared" si="59"/>
        <v>241</v>
      </c>
      <c r="F2446" s="166">
        <f t="shared" si="59"/>
        <v>1236</v>
      </c>
      <c r="G2446" s="166">
        <f t="shared" si="59"/>
        <v>1083</v>
      </c>
      <c r="H2446" s="21">
        <f t="shared" si="59"/>
        <v>2179</v>
      </c>
      <c r="I2446" s="21">
        <f t="shared" si="59"/>
        <v>334</v>
      </c>
      <c r="J2446" s="21">
        <f t="shared" si="59"/>
        <v>1086</v>
      </c>
      <c r="K2446" s="21">
        <f t="shared" si="59"/>
        <v>229</v>
      </c>
      <c r="L2446" s="21">
        <f t="shared" si="59"/>
        <v>2261</v>
      </c>
      <c r="M2446" s="21">
        <f t="shared" si="59"/>
        <v>699</v>
      </c>
      <c r="N2446" s="21">
        <f t="shared" si="59"/>
        <v>1249</v>
      </c>
      <c r="O2446" s="19">
        <f t="shared" si="59"/>
        <v>2020</v>
      </c>
      <c r="P2446" s="22">
        <f t="shared" si="59"/>
        <v>199</v>
      </c>
      <c r="Q2446" s="22">
        <f t="shared" si="59"/>
        <v>132</v>
      </c>
      <c r="R2446" s="236"/>
      <c r="S2446" s="234"/>
      <c r="T2446" s="235"/>
    </row>
    <row r="2447" spans="1:20" hidden="1" x14ac:dyDescent="0.35">
      <c r="A2447" s="3"/>
      <c r="B2447" s="165">
        <f t="shared" si="60"/>
        <v>45689</v>
      </c>
      <c r="C2447" s="57"/>
      <c r="D2447" s="3" t="s">
        <v>109</v>
      </c>
      <c r="E2447" s="18">
        <f t="shared" si="59"/>
        <v>260</v>
      </c>
      <c r="F2447" s="166">
        <f t="shared" si="59"/>
        <v>1888</v>
      </c>
      <c r="G2447" s="166">
        <f t="shared" si="59"/>
        <v>1863</v>
      </c>
      <c r="H2447" s="21">
        <f t="shared" si="59"/>
        <v>3590</v>
      </c>
      <c r="I2447" s="21">
        <f t="shared" si="59"/>
        <v>518</v>
      </c>
      <c r="J2447" s="21">
        <f t="shared" si="59"/>
        <v>1560</v>
      </c>
      <c r="K2447" s="21">
        <f t="shared" si="59"/>
        <v>312</v>
      </c>
      <c r="L2447" s="21">
        <f t="shared" si="59"/>
        <v>3214</v>
      </c>
      <c r="M2447" s="21">
        <f t="shared" si="59"/>
        <v>1072</v>
      </c>
      <c r="N2447" s="21">
        <f t="shared" si="59"/>
        <v>1900</v>
      </c>
      <c r="O2447" s="19">
        <f t="shared" si="59"/>
        <v>3080</v>
      </c>
      <c r="P2447" s="22">
        <f t="shared" si="59"/>
        <v>89</v>
      </c>
      <c r="Q2447" s="22">
        <f t="shared" si="59"/>
        <v>66</v>
      </c>
      <c r="R2447" s="236"/>
      <c r="S2447" s="234"/>
      <c r="T2447" s="235"/>
    </row>
    <row r="2448" spans="1:20" hidden="1" x14ac:dyDescent="0.35">
      <c r="A2448" s="3"/>
      <c r="B2448" s="165">
        <f t="shared" si="60"/>
        <v>45689</v>
      </c>
      <c r="C2448" s="57"/>
      <c r="D2448" s="3" t="s">
        <v>110</v>
      </c>
      <c r="E2448" s="18">
        <f t="shared" si="59"/>
        <v>13</v>
      </c>
      <c r="F2448" s="166">
        <f t="shared" si="59"/>
        <v>209</v>
      </c>
      <c r="G2448" s="166">
        <f t="shared" si="59"/>
        <v>231</v>
      </c>
      <c r="H2448" s="21">
        <f t="shared" si="59"/>
        <v>359</v>
      </c>
      <c r="I2448" s="21">
        <f t="shared" si="59"/>
        <v>57</v>
      </c>
      <c r="J2448" s="21">
        <f t="shared" si="59"/>
        <v>186</v>
      </c>
      <c r="K2448" s="21">
        <f t="shared" si="59"/>
        <v>40</v>
      </c>
      <c r="L2448" s="21">
        <f t="shared" si="59"/>
        <v>282</v>
      </c>
      <c r="M2448" s="21">
        <f t="shared" si="59"/>
        <v>124</v>
      </c>
      <c r="N2448" s="21">
        <f t="shared" si="59"/>
        <v>209</v>
      </c>
      <c r="O2448" s="19">
        <f t="shared" si="59"/>
        <v>260</v>
      </c>
      <c r="P2448" s="22">
        <f t="shared" si="59"/>
        <v>21</v>
      </c>
      <c r="Q2448" s="22">
        <f t="shared" si="59"/>
        <v>15</v>
      </c>
      <c r="R2448" s="236"/>
      <c r="S2448" s="234"/>
      <c r="T2448" s="235"/>
    </row>
    <row r="2449" spans="1:20" hidden="1" x14ac:dyDescent="0.35">
      <c r="A2449" s="3"/>
      <c r="B2449" s="165">
        <f>DATE(YEAR(B2448+31),MONTH(B2448+31),1)</f>
        <v>45717</v>
      </c>
      <c r="C2449" s="57"/>
      <c r="D2449" s="3" t="s">
        <v>16</v>
      </c>
      <c r="E2449" s="18">
        <f t="shared" si="59"/>
        <v>435</v>
      </c>
      <c r="F2449" s="166">
        <f t="shared" si="59"/>
        <v>2318</v>
      </c>
      <c r="G2449" s="166">
        <f t="shared" si="59"/>
        <v>2107</v>
      </c>
      <c r="H2449" s="21">
        <f t="shared" si="59"/>
        <v>4314</v>
      </c>
      <c r="I2449" s="21">
        <f t="shared" si="59"/>
        <v>583</v>
      </c>
      <c r="J2449" s="21">
        <f t="shared" si="59"/>
        <v>1718</v>
      </c>
      <c r="K2449" s="21">
        <f t="shared" si="59"/>
        <v>334</v>
      </c>
      <c r="L2449" s="21">
        <f t="shared" si="59"/>
        <v>4227</v>
      </c>
      <c r="M2449" s="21">
        <f t="shared" si="59"/>
        <v>1483</v>
      </c>
      <c r="N2449" s="21">
        <f t="shared" si="59"/>
        <v>2371</v>
      </c>
      <c r="O2449" s="19">
        <f t="shared" ref="O2449:Q2480" si="61">SUMIFS(O$5:O$2214,$A$5:$A$2214,$D2449,$B$5:$B$2214,$B2449)</f>
        <v>4004</v>
      </c>
      <c r="P2449" s="22">
        <f t="shared" si="61"/>
        <v>200</v>
      </c>
      <c r="Q2449" s="22">
        <f t="shared" si="61"/>
        <v>111</v>
      </c>
      <c r="R2449" s="236"/>
      <c r="S2449" s="234"/>
      <c r="T2449" s="235"/>
    </row>
    <row r="2450" spans="1:20" hidden="1" x14ac:dyDescent="0.35">
      <c r="A2450" s="3"/>
      <c r="B2450" s="165">
        <f t="shared" si="60"/>
        <v>45717</v>
      </c>
      <c r="C2450" s="57"/>
      <c r="D2450" s="3" t="s">
        <v>104</v>
      </c>
      <c r="E2450" s="18">
        <f t="shared" ref="E2450:N2473" si="62">SUMIFS(E$5:E$2214,$A$5:$A$2214,$D2450,$B$5:$B$2214,$B2450)</f>
        <v>33</v>
      </c>
      <c r="F2450" s="166">
        <f t="shared" si="62"/>
        <v>759</v>
      </c>
      <c r="G2450" s="166">
        <f t="shared" si="62"/>
        <v>691</v>
      </c>
      <c r="H2450" s="21">
        <f t="shared" si="62"/>
        <v>1209</v>
      </c>
      <c r="I2450" s="21">
        <f t="shared" si="62"/>
        <v>221</v>
      </c>
      <c r="J2450" s="21">
        <f t="shared" si="62"/>
        <v>466</v>
      </c>
      <c r="K2450" s="21">
        <f t="shared" si="62"/>
        <v>121</v>
      </c>
      <c r="L2450" s="21">
        <f t="shared" si="62"/>
        <v>826</v>
      </c>
      <c r="M2450" s="21">
        <f t="shared" si="62"/>
        <v>358</v>
      </c>
      <c r="N2450" s="21">
        <f t="shared" si="62"/>
        <v>782</v>
      </c>
      <c r="O2450" s="19">
        <f t="shared" si="61"/>
        <v>748</v>
      </c>
      <c r="P2450" s="22">
        <f t="shared" si="61"/>
        <v>79</v>
      </c>
      <c r="Q2450" s="22">
        <f t="shared" si="61"/>
        <v>55</v>
      </c>
      <c r="R2450" s="236"/>
      <c r="S2450" s="234"/>
      <c r="T2450" s="235"/>
    </row>
    <row r="2451" spans="1:20" hidden="1" x14ac:dyDescent="0.35">
      <c r="A2451" s="3"/>
      <c r="B2451" s="165">
        <f t="shared" si="60"/>
        <v>45717</v>
      </c>
      <c r="C2451" s="57"/>
      <c r="D2451" s="3" t="s">
        <v>105</v>
      </c>
      <c r="E2451" s="18">
        <f t="shared" si="62"/>
        <v>32</v>
      </c>
      <c r="F2451" s="166">
        <f t="shared" si="62"/>
        <v>516</v>
      </c>
      <c r="G2451" s="166">
        <f t="shared" si="62"/>
        <v>441</v>
      </c>
      <c r="H2451" s="21">
        <f t="shared" si="62"/>
        <v>913</v>
      </c>
      <c r="I2451" s="21">
        <f t="shared" si="62"/>
        <v>131</v>
      </c>
      <c r="J2451" s="21">
        <f t="shared" si="62"/>
        <v>430</v>
      </c>
      <c r="K2451" s="21">
        <f t="shared" si="62"/>
        <v>69</v>
      </c>
      <c r="L2451" s="21">
        <f t="shared" si="62"/>
        <v>804</v>
      </c>
      <c r="M2451" s="21">
        <f t="shared" si="62"/>
        <v>258</v>
      </c>
      <c r="N2451" s="21">
        <f t="shared" si="62"/>
        <v>516</v>
      </c>
      <c r="O2451" s="19">
        <f t="shared" si="61"/>
        <v>814</v>
      </c>
      <c r="P2451" s="22">
        <f t="shared" si="61"/>
        <v>56</v>
      </c>
      <c r="Q2451" s="22">
        <f t="shared" si="61"/>
        <v>29</v>
      </c>
      <c r="R2451" s="236"/>
      <c r="S2451" s="234"/>
      <c r="T2451" s="235"/>
    </row>
    <row r="2452" spans="1:20" hidden="1" x14ac:dyDescent="0.35">
      <c r="A2452" s="3"/>
      <c r="B2452" s="165">
        <f t="shared" si="60"/>
        <v>45717</v>
      </c>
      <c r="C2452" s="57"/>
      <c r="D2452" s="3" t="s">
        <v>105</v>
      </c>
      <c r="E2452" s="18">
        <f t="shared" si="62"/>
        <v>32</v>
      </c>
      <c r="F2452" s="166">
        <f t="shared" si="62"/>
        <v>516</v>
      </c>
      <c r="G2452" s="166">
        <f t="shared" si="62"/>
        <v>441</v>
      </c>
      <c r="H2452" s="21">
        <f t="shared" si="62"/>
        <v>913</v>
      </c>
      <c r="I2452" s="21">
        <f t="shared" si="62"/>
        <v>131</v>
      </c>
      <c r="J2452" s="21">
        <f t="shared" si="62"/>
        <v>430</v>
      </c>
      <c r="K2452" s="21">
        <f t="shared" si="62"/>
        <v>69</v>
      </c>
      <c r="L2452" s="21">
        <f t="shared" si="62"/>
        <v>804</v>
      </c>
      <c r="M2452" s="21">
        <f t="shared" si="62"/>
        <v>258</v>
      </c>
      <c r="N2452" s="21">
        <f t="shared" si="62"/>
        <v>516</v>
      </c>
      <c r="O2452" s="19">
        <f t="shared" si="61"/>
        <v>814</v>
      </c>
      <c r="P2452" s="22">
        <f t="shared" si="61"/>
        <v>56</v>
      </c>
      <c r="Q2452" s="22">
        <f t="shared" si="61"/>
        <v>29</v>
      </c>
      <c r="R2452" s="236"/>
      <c r="S2452" s="234"/>
      <c r="T2452" s="235"/>
    </row>
    <row r="2453" spans="1:20" hidden="1" x14ac:dyDescent="0.35">
      <c r="A2453" s="3"/>
      <c r="B2453" s="165">
        <f t="shared" si="60"/>
        <v>45717</v>
      </c>
      <c r="C2453" s="57"/>
      <c r="D2453" s="3" t="s">
        <v>106</v>
      </c>
      <c r="E2453" s="18">
        <f t="shared" si="62"/>
        <v>245</v>
      </c>
      <c r="F2453" s="166">
        <f t="shared" si="62"/>
        <v>1456</v>
      </c>
      <c r="G2453" s="166">
        <f t="shared" si="62"/>
        <v>1350</v>
      </c>
      <c r="H2453" s="21">
        <f t="shared" si="62"/>
        <v>3065</v>
      </c>
      <c r="I2453" s="21">
        <f t="shared" si="62"/>
        <v>405</v>
      </c>
      <c r="J2453" s="21">
        <f t="shared" si="62"/>
        <v>1144</v>
      </c>
      <c r="K2453" s="21">
        <f t="shared" si="62"/>
        <v>260</v>
      </c>
      <c r="L2453" s="21">
        <f t="shared" si="62"/>
        <v>2666</v>
      </c>
      <c r="M2453" s="21">
        <f t="shared" si="62"/>
        <v>800</v>
      </c>
      <c r="N2453" s="21">
        <f t="shared" si="62"/>
        <v>1487</v>
      </c>
      <c r="O2453" s="19">
        <f t="shared" si="61"/>
        <v>2156</v>
      </c>
      <c r="P2453" s="22">
        <f t="shared" si="61"/>
        <v>182</v>
      </c>
      <c r="Q2453" s="22">
        <f t="shared" si="61"/>
        <v>123</v>
      </c>
      <c r="R2453" s="236"/>
      <c r="S2453" s="234"/>
      <c r="T2453" s="235"/>
    </row>
    <row r="2454" spans="1:20" hidden="1" x14ac:dyDescent="0.35">
      <c r="A2454" s="3"/>
      <c r="B2454" s="165">
        <f t="shared" si="60"/>
        <v>45717</v>
      </c>
      <c r="C2454" s="57"/>
      <c r="D2454" s="3" t="s">
        <v>107</v>
      </c>
      <c r="E2454" s="18">
        <f t="shared" si="62"/>
        <v>208</v>
      </c>
      <c r="F2454" s="166">
        <f t="shared" si="62"/>
        <v>1297</v>
      </c>
      <c r="G2454" s="166">
        <f t="shared" si="62"/>
        <v>1221</v>
      </c>
      <c r="H2454" s="21">
        <f t="shared" si="62"/>
        <v>2142</v>
      </c>
      <c r="I2454" s="21">
        <f t="shared" si="62"/>
        <v>358</v>
      </c>
      <c r="J2454" s="21">
        <f t="shared" si="62"/>
        <v>1082</v>
      </c>
      <c r="K2454" s="21">
        <f t="shared" si="62"/>
        <v>290</v>
      </c>
      <c r="L2454" s="21">
        <f t="shared" si="62"/>
        <v>2161</v>
      </c>
      <c r="M2454" s="21">
        <f t="shared" si="62"/>
        <v>905</v>
      </c>
      <c r="N2454" s="21">
        <f t="shared" si="62"/>
        <v>1312</v>
      </c>
      <c r="O2454" s="19">
        <f t="shared" si="61"/>
        <v>1859</v>
      </c>
      <c r="P2454" s="22">
        <f t="shared" si="61"/>
        <v>247</v>
      </c>
      <c r="Q2454" s="22">
        <f t="shared" si="61"/>
        <v>145</v>
      </c>
      <c r="R2454" s="236"/>
      <c r="S2454" s="234"/>
      <c r="T2454" s="235"/>
    </row>
    <row r="2455" spans="1:20" hidden="1" x14ac:dyDescent="0.35">
      <c r="A2455" s="3"/>
      <c r="B2455" s="165">
        <f t="shared" si="60"/>
        <v>45717</v>
      </c>
      <c r="C2455" s="57"/>
      <c r="D2455" s="3" t="s">
        <v>108</v>
      </c>
      <c r="E2455" s="18">
        <f t="shared" si="62"/>
        <v>269</v>
      </c>
      <c r="F2455" s="166">
        <f t="shared" si="62"/>
        <v>1616</v>
      </c>
      <c r="G2455" s="166">
        <f t="shared" si="62"/>
        <v>1154</v>
      </c>
      <c r="H2455" s="21">
        <f t="shared" si="62"/>
        <v>2836</v>
      </c>
      <c r="I2455" s="21">
        <f t="shared" si="62"/>
        <v>422</v>
      </c>
      <c r="J2455" s="21">
        <f t="shared" si="62"/>
        <v>1479</v>
      </c>
      <c r="K2455" s="21">
        <f t="shared" si="62"/>
        <v>297</v>
      </c>
      <c r="L2455" s="21">
        <f t="shared" si="62"/>
        <v>2897</v>
      </c>
      <c r="M2455" s="21">
        <f t="shared" si="62"/>
        <v>910</v>
      </c>
      <c r="N2455" s="21">
        <f t="shared" si="62"/>
        <v>1631</v>
      </c>
      <c r="O2455" s="19">
        <f t="shared" si="61"/>
        <v>2288</v>
      </c>
      <c r="P2455" s="22">
        <f t="shared" si="61"/>
        <v>228</v>
      </c>
      <c r="Q2455" s="22">
        <f t="shared" si="61"/>
        <v>146</v>
      </c>
      <c r="R2455" s="236"/>
      <c r="S2455" s="234"/>
      <c r="T2455" s="235"/>
    </row>
    <row r="2456" spans="1:20" hidden="1" x14ac:dyDescent="0.35">
      <c r="A2456" s="3"/>
      <c r="B2456" s="165">
        <f t="shared" si="60"/>
        <v>45717</v>
      </c>
      <c r="C2456" s="57"/>
      <c r="D2456" s="3" t="s">
        <v>109</v>
      </c>
      <c r="E2456" s="18">
        <f t="shared" si="62"/>
        <v>349</v>
      </c>
      <c r="F2456" s="166">
        <f t="shared" si="62"/>
        <v>2399</v>
      </c>
      <c r="G2456" s="166">
        <f t="shared" si="62"/>
        <v>2150</v>
      </c>
      <c r="H2456" s="21">
        <f t="shared" si="62"/>
        <v>4592</v>
      </c>
      <c r="I2456" s="21">
        <f t="shared" si="62"/>
        <v>659</v>
      </c>
      <c r="J2456" s="21">
        <f t="shared" si="62"/>
        <v>1977</v>
      </c>
      <c r="K2456" s="21">
        <f t="shared" si="62"/>
        <v>381</v>
      </c>
      <c r="L2456" s="21">
        <f t="shared" si="62"/>
        <v>4054</v>
      </c>
      <c r="M2456" s="21">
        <f t="shared" si="62"/>
        <v>1291</v>
      </c>
      <c r="N2456" s="21">
        <f t="shared" si="62"/>
        <v>2443</v>
      </c>
      <c r="O2456" s="19">
        <f t="shared" si="61"/>
        <v>3322</v>
      </c>
      <c r="P2456" s="22">
        <f t="shared" si="61"/>
        <v>112</v>
      </c>
      <c r="Q2456" s="22">
        <f t="shared" si="61"/>
        <v>80</v>
      </c>
      <c r="R2456" s="236"/>
      <c r="S2456" s="234"/>
      <c r="T2456" s="235"/>
    </row>
    <row r="2457" spans="1:20" hidden="1" x14ac:dyDescent="0.35">
      <c r="A2457" s="3"/>
      <c r="B2457" s="165">
        <f t="shared" si="60"/>
        <v>45717</v>
      </c>
      <c r="C2457" s="57"/>
      <c r="D2457" s="3" t="s">
        <v>110</v>
      </c>
      <c r="E2457" s="18">
        <f t="shared" si="62"/>
        <v>25</v>
      </c>
      <c r="F2457" s="166">
        <f t="shared" si="62"/>
        <v>289</v>
      </c>
      <c r="G2457" s="166">
        <f t="shared" si="62"/>
        <v>243</v>
      </c>
      <c r="H2457" s="21">
        <f t="shared" si="62"/>
        <v>377</v>
      </c>
      <c r="I2457" s="21">
        <f t="shared" si="62"/>
        <v>80</v>
      </c>
      <c r="J2457" s="21">
        <f t="shared" si="62"/>
        <v>210</v>
      </c>
      <c r="K2457" s="21">
        <f t="shared" si="62"/>
        <v>43</v>
      </c>
      <c r="L2457" s="21">
        <f t="shared" si="62"/>
        <v>315</v>
      </c>
      <c r="M2457" s="21">
        <f t="shared" si="62"/>
        <v>139</v>
      </c>
      <c r="N2457" s="21">
        <f t="shared" si="62"/>
        <v>289</v>
      </c>
      <c r="O2457" s="19">
        <f t="shared" si="61"/>
        <v>308</v>
      </c>
      <c r="P2457" s="22">
        <f t="shared" si="61"/>
        <v>21</v>
      </c>
      <c r="Q2457" s="22">
        <f t="shared" si="61"/>
        <v>16</v>
      </c>
      <c r="R2457" s="236"/>
      <c r="S2457" s="234"/>
      <c r="T2457" s="235"/>
    </row>
    <row r="2458" spans="1:20" hidden="1" x14ac:dyDescent="0.35">
      <c r="A2458" s="3"/>
      <c r="B2458" s="165">
        <f>DATE(YEAR(B2457+31),MONTH(B2457+31),1)</f>
        <v>45748</v>
      </c>
      <c r="C2458" s="57"/>
      <c r="D2458" s="3" t="s">
        <v>16</v>
      </c>
      <c r="E2458" s="18">
        <f t="shared" si="62"/>
        <v>410</v>
      </c>
      <c r="F2458" s="166">
        <f t="shared" si="62"/>
        <v>2104</v>
      </c>
      <c r="G2458" s="166">
        <f t="shared" si="62"/>
        <v>2061</v>
      </c>
      <c r="H2458" s="21">
        <f t="shared" si="62"/>
        <v>3840</v>
      </c>
      <c r="I2458" s="21">
        <f t="shared" si="62"/>
        <v>577</v>
      </c>
      <c r="J2458" s="21">
        <f t="shared" si="62"/>
        <v>1876</v>
      </c>
      <c r="K2458" s="21">
        <f t="shared" si="62"/>
        <v>355</v>
      </c>
      <c r="L2458" s="21">
        <f t="shared" si="62"/>
        <v>3737</v>
      </c>
      <c r="M2458" s="21">
        <f t="shared" si="62"/>
        <v>1367</v>
      </c>
      <c r="N2458" s="21">
        <f t="shared" si="62"/>
        <v>2146</v>
      </c>
      <c r="O2458" s="19">
        <f t="shared" si="61"/>
        <v>4092</v>
      </c>
      <c r="P2458" s="22">
        <f t="shared" si="61"/>
        <v>183</v>
      </c>
      <c r="Q2458" s="22">
        <f t="shared" si="61"/>
        <v>101</v>
      </c>
      <c r="R2458" s="236"/>
      <c r="S2458" s="234"/>
      <c r="T2458" s="235"/>
    </row>
    <row r="2459" spans="1:20" hidden="1" x14ac:dyDescent="0.35">
      <c r="A2459" s="3"/>
      <c r="B2459" s="165">
        <f t="shared" ref="B2459:B2484" si="63">B2458</f>
        <v>45748</v>
      </c>
      <c r="C2459" s="57"/>
      <c r="D2459" s="3" t="s">
        <v>104</v>
      </c>
      <c r="E2459" s="18">
        <f t="shared" si="62"/>
        <v>36</v>
      </c>
      <c r="F2459" s="166">
        <f t="shared" si="62"/>
        <v>632</v>
      </c>
      <c r="G2459" s="166">
        <f t="shared" si="62"/>
        <v>598</v>
      </c>
      <c r="H2459" s="21">
        <f t="shared" si="62"/>
        <v>1038</v>
      </c>
      <c r="I2459" s="21">
        <f t="shared" si="62"/>
        <v>167</v>
      </c>
      <c r="J2459" s="21">
        <f t="shared" si="62"/>
        <v>423</v>
      </c>
      <c r="K2459" s="21">
        <f t="shared" si="62"/>
        <v>97</v>
      </c>
      <c r="L2459" s="21">
        <f t="shared" si="62"/>
        <v>701</v>
      </c>
      <c r="M2459" s="21">
        <f t="shared" si="62"/>
        <v>290</v>
      </c>
      <c r="N2459" s="21">
        <f t="shared" si="62"/>
        <v>634</v>
      </c>
      <c r="O2459" s="19">
        <f t="shared" si="61"/>
        <v>748</v>
      </c>
      <c r="P2459" s="22">
        <f t="shared" si="61"/>
        <v>70</v>
      </c>
      <c r="Q2459" s="22">
        <f t="shared" si="61"/>
        <v>47</v>
      </c>
      <c r="R2459" s="236"/>
      <c r="S2459" s="234"/>
      <c r="T2459" s="235"/>
    </row>
    <row r="2460" spans="1:20" hidden="1" x14ac:dyDescent="0.35">
      <c r="A2460" s="3"/>
      <c r="B2460" s="165">
        <f t="shared" si="63"/>
        <v>45748</v>
      </c>
      <c r="C2460" s="57"/>
      <c r="D2460" s="3" t="s">
        <v>105</v>
      </c>
      <c r="E2460" s="18">
        <f t="shared" si="62"/>
        <v>21</v>
      </c>
      <c r="F2460" s="166">
        <f t="shared" si="62"/>
        <v>514</v>
      </c>
      <c r="G2460" s="166">
        <f t="shared" si="62"/>
        <v>432</v>
      </c>
      <c r="H2460" s="21">
        <f t="shared" si="62"/>
        <v>936</v>
      </c>
      <c r="I2460" s="21">
        <f t="shared" si="62"/>
        <v>130</v>
      </c>
      <c r="J2460" s="21">
        <f t="shared" si="62"/>
        <v>418</v>
      </c>
      <c r="K2460" s="21">
        <f t="shared" si="62"/>
        <v>98</v>
      </c>
      <c r="L2460" s="21">
        <f t="shared" si="62"/>
        <v>985</v>
      </c>
      <c r="M2460" s="21">
        <f t="shared" si="62"/>
        <v>277</v>
      </c>
      <c r="N2460" s="21">
        <f t="shared" si="62"/>
        <v>517</v>
      </c>
      <c r="O2460" s="19">
        <f t="shared" si="61"/>
        <v>770</v>
      </c>
      <c r="P2460" s="22">
        <f t="shared" si="61"/>
        <v>55</v>
      </c>
      <c r="Q2460" s="22">
        <f t="shared" si="61"/>
        <v>36</v>
      </c>
      <c r="R2460" s="236"/>
      <c r="S2460" s="234"/>
      <c r="T2460" s="235"/>
    </row>
    <row r="2461" spans="1:20" hidden="1" x14ac:dyDescent="0.35">
      <c r="A2461" s="3"/>
      <c r="B2461" s="165">
        <f t="shared" si="63"/>
        <v>45748</v>
      </c>
      <c r="C2461" s="57"/>
      <c r="D2461" s="3" t="s">
        <v>105</v>
      </c>
      <c r="E2461" s="18">
        <f t="shared" si="62"/>
        <v>21</v>
      </c>
      <c r="F2461" s="166">
        <f t="shared" si="62"/>
        <v>514</v>
      </c>
      <c r="G2461" s="166">
        <f t="shared" si="62"/>
        <v>432</v>
      </c>
      <c r="H2461" s="21">
        <f t="shared" si="62"/>
        <v>936</v>
      </c>
      <c r="I2461" s="21">
        <f t="shared" si="62"/>
        <v>130</v>
      </c>
      <c r="J2461" s="21">
        <f t="shared" si="62"/>
        <v>418</v>
      </c>
      <c r="K2461" s="21">
        <f t="shared" si="62"/>
        <v>98</v>
      </c>
      <c r="L2461" s="21">
        <f t="shared" si="62"/>
        <v>985</v>
      </c>
      <c r="M2461" s="21">
        <f t="shared" si="62"/>
        <v>277</v>
      </c>
      <c r="N2461" s="21">
        <f t="shared" si="62"/>
        <v>517</v>
      </c>
      <c r="O2461" s="19">
        <f t="shared" si="61"/>
        <v>770</v>
      </c>
      <c r="P2461" s="22">
        <f t="shared" si="61"/>
        <v>55</v>
      </c>
      <c r="Q2461" s="22">
        <f t="shared" si="61"/>
        <v>36</v>
      </c>
      <c r="R2461" s="236"/>
      <c r="S2461" s="234"/>
      <c r="T2461" s="235"/>
    </row>
    <row r="2462" spans="1:20" hidden="1" x14ac:dyDescent="0.35">
      <c r="A2462" s="3"/>
      <c r="B2462" s="165">
        <f t="shared" si="63"/>
        <v>45748</v>
      </c>
      <c r="C2462" s="57"/>
      <c r="D2462" s="3" t="s">
        <v>106</v>
      </c>
      <c r="E2462" s="18">
        <f t="shared" si="62"/>
        <v>208</v>
      </c>
      <c r="F2462" s="166">
        <f t="shared" si="62"/>
        <v>1240</v>
      </c>
      <c r="G2462" s="166">
        <f t="shared" si="62"/>
        <v>1255</v>
      </c>
      <c r="H2462" s="21">
        <f t="shared" si="62"/>
        <v>2593</v>
      </c>
      <c r="I2462" s="21">
        <f t="shared" si="62"/>
        <v>384</v>
      </c>
      <c r="J2462" s="21">
        <f t="shared" si="62"/>
        <v>1180</v>
      </c>
      <c r="K2462" s="21">
        <f t="shared" si="62"/>
        <v>264</v>
      </c>
      <c r="L2462" s="21">
        <f t="shared" si="62"/>
        <v>2249</v>
      </c>
      <c r="M2462" s="21">
        <f t="shared" si="62"/>
        <v>695</v>
      </c>
      <c r="N2462" s="21">
        <f t="shared" si="62"/>
        <v>1271</v>
      </c>
      <c r="O2462" s="19">
        <f t="shared" si="61"/>
        <v>2200</v>
      </c>
      <c r="P2462" s="22">
        <f t="shared" si="61"/>
        <v>155</v>
      </c>
      <c r="Q2462" s="22">
        <f t="shared" si="61"/>
        <v>111</v>
      </c>
      <c r="R2462" s="236"/>
      <c r="S2462" s="234"/>
      <c r="T2462" s="235"/>
    </row>
    <row r="2463" spans="1:20" hidden="1" x14ac:dyDescent="0.35">
      <c r="A2463" s="3"/>
      <c r="B2463" s="165">
        <f t="shared" si="63"/>
        <v>45748</v>
      </c>
      <c r="C2463" s="57"/>
      <c r="D2463" s="3" t="s">
        <v>107</v>
      </c>
      <c r="E2463" s="18">
        <f t="shared" si="62"/>
        <v>197</v>
      </c>
      <c r="F2463" s="166">
        <f t="shared" si="62"/>
        <v>1126</v>
      </c>
      <c r="G2463" s="166">
        <f t="shared" si="62"/>
        <v>1080</v>
      </c>
      <c r="H2463" s="21">
        <f t="shared" si="62"/>
        <v>1986</v>
      </c>
      <c r="I2463" s="21">
        <f t="shared" si="62"/>
        <v>299</v>
      </c>
      <c r="J2463" s="21">
        <f t="shared" si="62"/>
        <v>979</v>
      </c>
      <c r="K2463" s="21">
        <f t="shared" si="62"/>
        <v>254</v>
      </c>
      <c r="L2463" s="21">
        <f t="shared" si="62"/>
        <v>1887</v>
      </c>
      <c r="M2463" s="21">
        <f t="shared" si="62"/>
        <v>771</v>
      </c>
      <c r="N2463" s="21">
        <f t="shared" si="62"/>
        <v>1111</v>
      </c>
      <c r="O2463" s="19">
        <f t="shared" si="61"/>
        <v>1815</v>
      </c>
      <c r="P2463" s="22">
        <f t="shared" si="61"/>
        <v>187</v>
      </c>
      <c r="Q2463" s="22">
        <f t="shared" si="61"/>
        <v>111</v>
      </c>
      <c r="R2463" s="236"/>
      <c r="S2463" s="234"/>
      <c r="T2463" s="235"/>
    </row>
    <row r="2464" spans="1:20" hidden="1" x14ac:dyDescent="0.35">
      <c r="A2464" s="3"/>
      <c r="B2464" s="165">
        <f t="shared" si="63"/>
        <v>45748</v>
      </c>
      <c r="C2464" s="57"/>
      <c r="D2464" s="3" t="s">
        <v>108</v>
      </c>
      <c r="E2464" s="18">
        <f t="shared" si="62"/>
        <v>243</v>
      </c>
      <c r="F2464" s="166">
        <f t="shared" si="62"/>
        <v>1458</v>
      </c>
      <c r="G2464" s="166">
        <f t="shared" si="62"/>
        <v>1176</v>
      </c>
      <c r="H2464" s="21">
        <f t="shared" si="62"/>
        <v>2883</v>
      </c>
      <c r="I2464" s="21">
        <f t="shared" si="62"/>
        <v>410</v>
      </c>
      <c r="J2464" s="21">
        <f t="shared" si="62"/>
        <v>1539</v>
      </c>
      <c r="K2464" s="21">
        <f t="shared" si="62"/>
        <v>330</v>
      </c>
      <c r="L2464" s="21">
        <f t="shared" si="62"/>
        <v>2700</v>
      </c>
      <c r="M2464" s="21">
        <f t="shared" si="62"/>
        <v>851</v>
      </c>
      <c r="N2464" s="21">
        <f t="shared" si="62"/>
        <v>1477</v>
      </c>
      <c r="O2464" s="19">
        <f t="shared" si="61"/>
        <v>2266</v>
      </c>
      <c r="P2464" s="22">
        <f t="shared" si="61"/>
        <v>190</v>
      </c>
      <c r="Q2464" s="22">
        <f t="shared" si="61"/>
        <v>124</v>
      </c>
      <c r="R2464" s="236"/>
      <c r="S2464" s="234"/>
      <c r="T2464" s="235"/>
    </row>
    <row r="2465" spans="1:20" hidden="1" x14ac:dyDescent="0.35">
      <c r="A2465" s="3"/>
      <c r="B2465" s="165">
        <f t="shared" si="63"/>
        <v>45748</v>
      </c>
      <c r="C2465" s="57"/>
      <c r="D2465" s="3" t="s">
        <v>109</v>
      </c>
      <c r="E2465" s="18">
        <f t="shared" si="62"/>
        <v>336</v>
      </c>
      <c r="F2465" s="166">
        <f t="shared" si="62"/>
        <v>2245</v>
      </c>
      <c r="G2465" s="166">
        <f t="shared" si="62"/>
        <v>2018</v>
      </c>
      <c r="H2465" s="21">
        <f t="shared" si="62"/>
        <v>4705</v>
      </c>
      <c r="I2465" s="21">
        <f t="shared" si="62"/>
        <v>632</v>
      </c>
      <c r="J2465" s="21">
        <f t="shared" si="62"/>
        <v>2198</v>
      </c>
      <c r="K2465" s="21">
        <f t="shared" si="62"/>
        <v>386</v>
      </c>
      <c r="L2465" s="21">
        <f t="shared" si="62"/>
        <v>4032</v>
      </c>
      <c r="M2465" s="21">
        <f t="shared" si="62"/>
        <v>1319</v>
      </c>
      <c r="N2465" s="21">
        <f t="shared" si="62"/>
        <v>2273</v>
      </c>
      <c r="O2465" s="19">
        <f t="shared" si="61"/>
        <v>3564</v>
      </c>
      <c r="P2465" s="22">
        <f t="shared" si="61"/>
        <v>83</v>
      </c>
      <c r="Q2465" s="22">
        <f t="shared" si="61"/>
        <v>59</v>
      </c>
      <c r="R2465" s="236"/>
      <c r="S2465" s="234"/>
      <c r="T2465" s="235"/>
    </row>
    <row r="2466" spans="1:20" hidden="1" x14ac:dyDescent="0.35">
      <c r="A2466" s="3"/>
      <c r="B2466" s="165">
        <f t="shared" si="63"/>
        <v>45748</v>
      </c>
      <c r="C2466" s="57"/>
      <c r="D2466" s="3" t="s">
        <v>110</v>
      </c>
      <c r="E2466" s="18">
        <f t="shared" si="62"/>
        <v>29</v>
      </c>
      <c r="F2466" s="166">
        <f t="shared" si="62"/>
        <v>231</v>
      </c>
      <c r="G2466" s="166">
        <f t="shared" si="62"/>
        <v>252</v>
      </c>
      <c r="H2466" s="21">
        <f t="shared" si="62"/>
        <v>323</v>
      </c>
      <c r="I2466" s="21">
        <f t="shared" si="62"/>
        <v>59</v>
      </c>
      <c r="J2466" s="21">
        <f t="shared" si="62"/>
        <v>233</v>
      </c>
      <c r="K2466" s="21">
        <f t="shared" si="62"/>
        <v>39</v>
      </c>
      <c r="L2466" s="21">
        <f t="shared" si="62"/>
        <v>293</v>
      </c>
      <c r="M2466" s="21">
        <f t="shared" si="62"/>
        <v>116</v>
      </c>
      <c r="N2466" s="21">
        <f t="shared" si="62"/>
        <v>232</v>
      </c>
      <c r="O2466" s="19">
        <f t="shared" si="61"/>
        <v>308</v>
      </c>
      <c r="P2466" s="22">
        <f t="shared" si="61"/>
        <v>10</v>
      </c>
      <c r="Q2466" s="22">
        <f t="shared" si="61"/>
        <v>6</v>
      </c>
      <c r="R2466" s="236"/>
      <c r="S2466" s="234"/>
      <c r="T2466" s="235"/>
    </row>
    <row r="2467" spans="1:20" hidden="1" x14ac:dyDescent="0.35">
      <c r="A2467" s="3"/>
      <c r="B2467" s="165">
        <f>DATE(YEAR(B2466+31),MONTH(B2466+31),1)</f>
        <v>45778</v>
      </c>
      <c r="C2467" s="57"/>
      <c r="D2467" s="3" t="s">
        <v>16</v>
      </c>
      <c r="E2467" s="18">
        <f t="shared" si="62"/>
        <v>359</v>
      </c>
      <c r="F2467" s="166">
        <f t="shared" si="62"/>
        <v>2055</v>
      </c>
      <c r="G2467" s="166">
        <f t="shared" si="62"/>
        <v>2251</v>
      </c>
      <c r="H2467" s="21">
        <f t="shared" si="62"/>
        <v>3454</v>
      </c>
      <c r="I2467" s="21">
        <f t="shared" si="62"/>
        <v>539</v>
      </c>
      <c r="J2467" s="21">
        <f t="shared" si="62"/>
        <v>1618</v>
      </c>
      <c r="K2467" s="21">
        <f t="shared" si="62"/>
        <v>347</v>
      </c>
      <c r="L2467" s="21">
        <f t="shared" si="62"/>
        <v>3622</v>
      </c>
      <c r="M2467" s="21">
        <f t="shared" si="62"/>
        <v>1255</v>
      </c>
      <c r="N2467" s="21">
        <f t="shared" si="62"/>
        <v>2089</v>
      </c>
      <c r="O2467" s="19">
        <f t="shared" si="61"/>
        <v>4136</v>
      </c>
      <c r="P2467" s="22">
        <f t="shared" si="61"/>
        <v>167</v>
      </c>
      <c r="Q2467" s="22">
        <f t="shared" si="61"/>
        <v>93</v>
      </c>
      <c r="R2467" s="236"/>
      <c r="S2467" s="234"/>
      <c r="T2467" s="235"/>
    </row>
    <row r="2468" spans="1:20" hidden="1" x14ac:dyDescent="0.35">
      <c r="A2468" s="3"/>
      <c r="B2468" s="165">
        <f t="shared" si="63"/>
        <v>45778</v>
      </c>
      <c r="C2468" s="57"/>
      <c r="D2468" s="3" t="s">
        <v>104</v>
      </c>
      <c r="E2468" s="18">
        <f t="shared" si="62"/>
        <v>35</v>
      </c>
      <c r="F2468" s="166">
        <f t="shared" si="62"/>
        <v>639</v>
      </c>
      <c r="G2468" s="166">
        <f t="shared" si="62"/>
        <v>647</v>
      </c>
      <c r="H2468" s="21">
        <f t="shared" si="62"/>
        <v>1027</v>
      </c>
      <c r="I2468" s="21">
        <f t="shared" si="62"/>
        <v>155</v>
      </c>
      <c r="J2468" s="21">
        <f t="shared" si="62"/>
        <v>355</v>
      </c>
      <c r="K2468" s="21">
        <f t="shared" si="62"/>
        <v>106</v>
      </c>
      <c r="L2468" s="21">
        <f t="shared" si="62"/>
        <v>661</v>
      </c>
      <c r="M2468" s="21">
        <f t="shared" si="62"/>
        <v>285</v>
      </c>
      <c r="N2468" s="21">
        <f t="shared" si="62"/>
        <v>648</v>
      </c>
      <c r="O2468" s="19">
        <f t="shared" si="61"/>
        <v>770</v>
      </c>
      <c r="P2468" s="22">
        <f t="shared" si="61"/>
        <v>71</v>
      </c>
      <c r="Q2468" s="22">
        <f t="shared" si="61"/>
        <v>44</v>
      </c>
      <c r="R2468" s="236"/>
      <c r="S2468" s="234"/>
      <c r="T2468" s="235"/>
    </row>
    <row r="2469" spans="1:20" hidden="1" x14ac:dyDescent="0.35">
      <c r="A2469" s="3"/>
      <c r="B2469" s="165">
        <f t="shared" si="63"/>
        <v>45778</v>
      </c>
      <c r="C2469" s="57"/>
      <c r="D2469" s="3" t="s">
        <v>105</v>
      </c>
      <c r="E2469" s="18">
        <f t="shared" si="62"/>
        <v>35</v>
      </c>
      <c r="F2469" s="166">
        <f t="shared" si="62"/>
        <v>479</v>
      </c>
      <c r="G2469" s="166">
        <f t="shared" si="62"/>
        <v>435</v>
      </c>
      <c r="H2469" s="21">
        <f t="shared" si="62"/>
        <v>864</v>
      </c>
      <c r="I2469" s="21">
        <f t="shared" si="62"/>
        <v>134</v>
      </c>
      <c r="J2469" s="21">
        <f t="shared" si="62"/>
        <v>398</v>
      </c>
      <c r="K2469" s="21">
        <f t="shared" si="62"/>
        <v>83</v>
      </c>
      <c r="L2469" s="21">
        <f t="shared" si="62"/>
        <v>860</v>
      </c>
      <c r="M2469" s="21">
        <f t="shared" si="62"/>
        <v>265</v>
      </c>
      <c r="N2469" s="21">
        <f t="shared" si="62"/>
        <v>479</v>
      </c>
      <c r="O2469" s="19">
        <f t="shared" si="61"/>
        <v>770</v>
      </c>
      <c r="P2469" s="22">
        <f t="shared" si="61"/>
        <v>58</v>
      </c>
      <c r="Q2469" s="22">
        <f t="shared" si="61"/>
        <v>29</v>
      </c>
      <c r="R2469" s="236"/>
      <c r="S2469" s="234"/>
      <c r="T2469" s="235"/>
    </row>
    <row r="2470" spans="1:20" hidden="1" x14ac:dyDescent="0.35">
      <c r="A2470" s="3"/>
      <c r="B2470" s="165">
        <f t="shared" si="63"/>
        <v>45778</v>
      </c>
      <c r="C2470" s="57"/>
      <c r="D2470" s="3" t="s">
        <v>105</v>
      </c>
      <c r="E2470" s="18">
        <f t="shared" si="62"/>
        <v>35</v>
      </c>
      <c r="F2470" s="166">
        <f t="shared" si="62"/>
        <v>479</v>
      </c>
      <c r="G2470" s="166">
        <f t="shared" si="62"/>
        <v>435</v>
      </c>
      <c r="H2470" s="21">
        <f t="shared" si="62"/>
        <v>864</v>
      </c>
      <c r="I2470" s="21">
        <f t="shared" si="62"/>
        <v>134</v>
      </c>
      <c r="J2470" s="21">
        <f t="shared" si="62"/>
        <v>398</v>
      </c>
      <c r="K2470" s="21">
        <f t="shared" si="62"/>
        <v>83</v>
      </c>
      <c r="L2470" s="21">
        <f t="shared" si="62"/>
        <v>860</v>
      </c>
      <c r="M2470" s="21">
        <f t="shared" si="62"/>
        <v>265</v>
      </c>
      <c r="N2470" s="21">
        <f t="shared" si="62"/>
        <v>479</v>
      </c>
      <c r="O2470" s="19">
        <f t="shared" si="61"/>
        <v>770</v>
      </c>
      <c r="P2470" s="22">
        <f t="shared" si="61"/>
        <v>58</v>
      </c>
      <c r="Q2470" s="22">
        <f t="shared" si="61"/>
        <v>29</v>
      </c>
      <c r="R2470" s="236"/>
      <c r="S2470" s="234"/>
      <c r="T2470" s="235"/>
    </row>
    <row r="2471" spans="1:20" hidden="1" x14ac:dyDescent="0.35">
      <c r="A2471" s="3"/>
      <c r="B2471" s="165">
        <f t="shared" si="63"/>
        <v>45778</v>
      </c>
      <c r="C2471" s="57"/>
      <c r="D2471" s="3" t="s">
        <v>106</v>
      </c>
      <c r="E2471" s="18">
        <f t="shared" si="62"/>
        <v>240</v>
      </c>
      <c r="F2471" s="166">
        <f t="shared" si="62"/>
        <v>1269</v>
      </c>
      <c r="G2471" s="166">
        <f t="shared" si="62"/>
        <v>1308</v>
      </c>
      <c r="H2471" s="21">
        <f t="shared" si="62"/>
        <v>2410</v>
      </c>
      <c r="I2471" s="21">
        <f t="shared" si="62"/>
        <v>338</v>
      </c>
      <c r="J2471" s="21">
        <f t="shared" si="62"/>
        <v>1081</v>
      </c>
      <c r="K2471" s="21">
        <f t="shared" si="62"/>
        <v>242</v>
      </c>
      <c r="L2471" s="21">
        <f t="shared" si="62"/>
        <v>2027</v>
      </c>
      <c r="M2471" s="21">
        <f t="shared" si="62"/>
        <v>619</v>
      </c>
      <c r="N2471" s="21">
        <f t="shared" si="62"/>
        <v>1292</v>
      </c>
      <c r="O2471" s="19">
        <f t="shared" si="61"/>
        <v>2244</v>
      </c>
      <c r="P2471" s="22">
        <f t="shared" si="61"/>
        <v>170</v>
      </c>
      <c r="Q2471" s="22">
        <f t="shared" si="61"/>
        <v>112</v>
      </c>
      <c r="R2471" s="236"/>
      <c r="S2471" s="234"/>
      <c r="T2471" s="235"/>
    </row>
    <row r="2472" spans="1:20" hidden="1" x14ac:dyDescent="0.35">
      <c r="A2472" s="3"/>
      <c r="B2472" s="165">
        <f t="shared" si="63"/>
        <v>45778</v>
      </c>
      <c r="C2472" s="57"/>
      <c r="D2472" s="3" t="s">
        <v>107</v>
      </c>
      <c r="E2472" s="18">
        <f t="shared" si="62"/>
        <v>196</v>
      </c>
      <c r="F2472" s="166">
        <f t="shared" si="62"/>
        <v>1008</v>
      </c>
      <c r="G2472" s="166">
        <f t="shared" si="62"/>
        <v>1159</v>
      </c>
      <c r="H2472" s="21">
        <f t="shared" si="62"/>
        <v>1820</v>
      </c>
      <c r="I2472" s="21">
        <f t="shared" si="62"/>
        <v>270</v>
      </c>
      <c r="J2472" s="21">
        <f t="shared" si="62"/>
        <v>981</v>
      </c>
      <c r="K2472" s="21">
        <f t="shared" si="62"/>
        <v>254</v>
      </c>
      <c r="L2472" s="21">
        <f t="shared" si="62"/>
        <v>1831</v>
      </c>
      <c r="M2472" s="21">
        <f t="shared" si="62"/>
        <v>697</v>
      </c>
      <c r="N2472" s="21">
        <f t="shared" si="62"/>
        <v>1022</v>
      </c>
      <c r="O2472" s="19">
        <f t="shared" si="61"/>
        <v>1793</v>
      </c>
      <c r="P2472" s="22">
        <f t="shared" si="61"/>
        <v>188</v>
      </c>
      <c r="Q2472" s="22">
        <f t="shared" si="61"/>
        <v>123</v>
      </c>
      <c r="R2472" s="236"/>
      <c r="S2472" s="234"/>
      <c r="T2472" s="235"/>
    </row>
    <row r="2473" spans="1:20" hidden="1" x14ac:dyDescent="0.35">
      <c r="A2473" s="3"/>
      <c r="B2473" s="165">
        <f t="shared" si="63"/>
        <v>45778</v>
      </c>
      <c r="C2473" s="57"/>
      <c r="D2473" s="3" t="s">
        <v>108</v>
      </c>
      <c r="E2473" s="18">
        <f t="shared" si="62"/>
        <v>223</v>
      </c>
      <c r="F2473" s="166">
        <f t="shared" ref="F2473:Q2496" si="64">SUMIFS(F$5:F$2214,$A$5:$A$2214,$D2473,$B$5:$B$2214,$B2473)</f>
        <v>1324</v>
      </c>
      <c r="G2473" s="166">
        <f t="shared" si="64"/>
        <v>1314</v>
      </c>
      <c r="H2473" s="21">
        <f t="shared" si="64"/>
        <v>2321</v>
      </c>
      <c r="I2473" s="21">
        <f t="shared" si="64"/>
        <v>357</v>
      </c>
      <c r="J2473" s="21">
        <f t="shared" si="64"/>
        <v>1462</v>
      </c>
      <c r="K2473" s="21">
        <f t="shared" si="64"/>
        <v>299</v>
      </c>
      <c r="L2473" s="21">
        <f t="shared" si="64"/>
        <v>2542</v>
      </c>
      <c r="M2473" s="21">
        <f t="shared" si="64"/>
        <v>772</v>
      </c>
      <c r="N2473" s="21">
        <f t="shared" si="64"/>
        <v>1350</v>
      </c>
      <c r="O2473" s="19">
        <f t="shared" si="61"/>
        <v>2222</v>
      </c>
      <c r="P2473" s="22">
        <f t="shared" si="61"/>
        <v>168</v>
      </c>
      <c r="Q2473" s="22">
        <f t="shared" si="61"/>
        <v>115</v>
      </c>
      <c r="R2473" s="236"/>
      <c r="S2473" s="234"/>
      <c r="T2473" s="235"/>
    </row>
    <row r="2474" spans="1:20" hidden="1" x14ac:dyDescent="0.35">
      <c r="A2474" s="3"/>
      <c r="B2474" s="165">
        <f t="shared" si="63"/>
        <v>45778</v>
      </c>
      <c r="C2474" s="57"/>
      <c r="D2474" s="3" t="s">
        <v>109</v>
      </c>
      <c r="E2474" s="18">
        <f t="shared" ref="E2474:H2505" si="65">SUMIFS(E$5:E$2214,$A$5:$A$2214,$D2474,$B$5:$B$2214,$B2474)</f>
        <v>271</v>
      </c>
      <c r="F2474" s="166">
        <f t="shared" si="64"/>
        <v>2178</v>
      </c>
      <c r="G2474" s="166">
        <f t="shared" si="64"/>
        <v>2192</v>
      </c>
      <c r="H2474" s="21">
        <f t="shared" si="64"/>
        <v>5045</v>
      </c>
      <c r="I2474" s="21">
        <f t="shared" si="64"/>
        <v>648</v>
      </c>
      <c r="J2474" s="21">
        <f t="shared" si="64"/>
        <v>2349</v>
      </c>
      <c r="K2474" s="21">
        <f t="shared" si="64"/>
        <v>426</v>
      </c>
      <c r="L2474" s="21">
        <f t="shared" si="64"/>
        <v>3754</v>
      </c>
      <c r="M2474" s="21">
        <f t="shared" si="64"/>
        <v>1185</v>
      </c>
      <c r="N2474" s="21">
        <f t="shared" si="64"/>
        <v>2360</v>
      </c>
      <c r="O2474" s="19">
        <f t="shared" si="61"/>
        <v>3586</v>
      </c>
      <c r="P2474" s="22">
        <f t="shared" si="61"/>
        <v>88</v>
      </c>
      <c r="Q2474" s="22">
        <f t="shared" si="61"/>
        <v>52</v>
      </c>
      <c r="R2474" s="236"/>
      <c r="S2474" s="234"/>
      <c r="T2474" s="235"/>
    </row>
    <row r="2475" spans="1:20" hidden="1" x14ac:dyDescent="0.35">
      <c r="A2475" s="3"/>
      <c r="B2475" s="165">
        <f t="shared" si="63"/>
        <v>45778</v>
      </c>
      <c r="C2475" s="57"/>
      <c r="D2475" s="3" t="s">
        <v>110</v>
      </c>
      <c r="E2475" s="18">
        <f t="shared" si="65"/>
        <v>24</v>
      </c>
      <c r="F2475" s="166">
        <f t="shared" si="64"/>
        <v>254</v>
      </c>
      <c r="G2475" s="166">
        <f t="shared" si="64"/>
        <v>231</v>
      </c>
      <c r="H2475" s="21">
        <f t="shared" si="64"/>
        <v>314</v>
      </c>
      <c r="I2475" s="21">
        <f t="shared" si="64"/>
        <v>53</v>
      </c>
      <c r="J2475" s="21">
        <f t="shared" si="64"/>
        <v>165</v>
      </c>
      <c r="K2475" s="21">
        <f t="shared" si="64"/>
        <v>43</v>
      </c>
      <c r="L2475" s="21">
        <f t="shared" si="64"/>
        <v>258</v>
      </c>
      <c r="M2475" s="21">
        <f t="shared" si="64"/>
        <v>107</v>
      </c>
      <c r="N2475" s="21">
        <f t="shared" si="64"/>
        <v>255</v>
      </c>
      <c r="O2475" s="19">
        <f t="shared" si="61"/>
        <v>308</v>
      </c>
      <c r="P2475" s="22">
        <f t="shared" si="61"/>
        <v>16</v>
      </c>
      <c r="Q2475" s="22">
        <f t="shared" si="61"/>
        <v>10</v>
      </c>
      <c r="R2475" s="236"/>
      <c r="S2475" s="234"/>
      <c r="T2475" s="235"/>
    </row>
    <row r="2476" spans="1:20" hidden="1" x14ac:dyDescent="0.35">
      <c r="A2476" s="3"/>
      <c r="B2476" s="165">
        <f>DATE(YEAR(B2475+31),MONTH(B2475+31),1)</f>
        <v>45809</v>
      </c>
      <c r="C2476" s="57"/>
      <c r="D2476" s="3" t="s">
        <v>16</v>
      </c>
      <c r="E2476" s="18">
        <f t="shared" si="65"/>
        <v>360</v>
      </c>
      <c r="F2476" s="166">
        <f t="shared" si="64"/>
        <v>1816</v>
      </c>
      <c r="G2476" s="166">
        <f t="shared" si="64"/>
        <v>1942</v>
      </c>
      <c r="H2476" s="21">
        <f t="shared" si="64"/>
        <v>3185</v>
      </c>
      <c r="I2476" s="21">
        <f t="shared" si="64"/>
        <v>480</v>
      </c>
      <c r="J2476" s="21">
        <f t="shared" si="64"/>
        <v>1405</v>
      </c>
      <c r="K2476" s="21">
        <f t="shared" si="64"/>
        <v>306</v>
      </c>
      <c r="L2476" s="21">
        <f t="shared" si="64"/>
        <v>3280</v>
      </c>
      <c r="M2476" s="21">
        <f t="shared" si="64"/>
        <v>1146</v>
      </c>
      <c r="N2476" s="21">
        <f t="shared" si="64"/>
        <v>1882</v>
      </c>
      <c r="O2476" s="19">
        <f t="shared" si="61"/>
        <v>4004</v>
      </c>
      <c r="P2476" s="22">
        <f t="shared" si="61"/>
        <v>110</v>
      </c>
      <c r="Q2476" s="22">
        <f t="shared" si="61"/>
        <v>64</v>
      </c>
      <c r="R2476" s="236"/>
      <c r="S2476" s="234"/>
      <c r="T2476" s="235"/>
    </row>
    <row r="2477" spans="1:20" hidden="1" x14ac:dyDescent="0.35">
      <c r="A2477" s="3"/>
      <c r="B2477" s="165">
        <f t="shared" si="63"/>
        <v>45809</v>
      </c>
      <c r="C2477" s="57"/>
      <c r="D2477" s="3" t="s">
        <v>104</v>
      </c>
      <c r="E2477" s="18">
        <f t="shared" si="65"/>
        <v>37</v>
      </c>
      <c r="F2477" s="166">
        <f t="shared" si="64"/>
        <v>560</v>
      </c>
      <c r="G2477" s="166">
        <f t="shared" si="64"/>
        <v>612</v>
      </c>
      <c r="H2477" s="21">
        <f t="shared" si="64"/>
        <v>854</v>
      </c>
      <c r="I2477" s="21">
        <f t="shared" si="64"/>
        <v>149</v>
      </c>
      <c r="J2477" s="21">
        <f t="shared" si="64"/>
        <v>375</v>
      </c>
      <c r="K2477" s="21">
        <f t="shared" si="64"/>
        <v>106</v>
      </c>
      <c r="L2477" s="21">
        <f t="shared" si="64"/>
        <v>559</v>
      </c>
      <c r="M2477" s="21">
        <f t="shared" si="64"/>
        <v>244</v>
      </c>
      <c r="N2477" s="21">
        <f t="shared" si="64"/>
        <v>564</v>
      </c>
      <c r="O2477" s="19">
        <f t="shared" si="61"/>
        <v>836</v>
      </c>
      <c r="P2477" s="22">
        <f t="shared" si="61"/>
        <v>70</v>
      </c>
      <c r="Q2477" s="22">
        <f t="shared" si="61"/>
        <v>43</v>
      </c>
      <c r="R2477" s="236"/>
      <c r="S2477" s="234"/>
      <c r="T2477" s="235"/>
    </row>
    <row r="2478" spans="1:20" hidden="1" x14ac:dyDescent="0.35">
      <c r="A2478" s="3"/>
      <c r="B2478" s="165">
        <f t="shared" si="63"/>
        <v>45809</v>
      </c>
      <c r="C2478" s="57"/>
      <c r="D2478" s="3" t="s">
        <v>105</v>
      </c>
      <c r="E2478" s="18">
        <f t="shared" si="65"/>
        <v>42</v>
      </c>
      <c r="F2478" s="166">
        <f t="shared" si="64"/>
        <v>432</v>
      </c>
      <c r="G2478" s="166">
        <f t="shared" si="64"/>
        <v>473</v>
      </c>
      <c r="H2478" s="21">
        <f t="shared" si="64"/>
        <v>755</v>
      </c>
      <c r="I2478" s="21">
        <f t="shared" si="64"/>
        <v>114</v>
      </c>
      <c r="J2478" s="21">
        <f t="shared" si="64"/>
        <v>428</v>
      </c>
      <c r="K2478" s="21">
        <f t="shared" si="64"/>
        <v>63</v>
      </c>
      <c r="L2478" s="21">
        <f t="shared" si="64"/>
        <v>788</v>
      </c>
      <c r="M2478" s="21">
        <f t="shared" si="64"/>
        <v>220</v>
      </c>
      <c r="N2478" s="21">
        <f t="shared" si="64"/>
        <v>433</v>
      </c>
      <c r="O2478" s="19">
        <f t="shared" si="61"/>
        <v>770</v>
      </c>
      <c r="P2478" s="22">
        <f t="shared" si="61"/>
        <v>52</v>
      </c>
      <c r="Q2478" s="22">
        <f t="shared" si="61"/>
        <v>34</v>
      </c>
      <c r="R2478" s="236"/>
      <c r="S2478" s="234"/>
      <c r="T2478" s="235"/>
    </row>
    <row r="2479" spans="1:20" hidden="1" x14ac:dyDescent="0.35">
      <c r="A2479" s="3"/>
      <c r="B2479" s="165">
        <f t="shared" si="63"/>
        <v>45809</v>
      </c>
      <c r="C2479" s="57"/>
      <c r="D2479" s="3" t="s">
        <v>105</v>
      </c>
      <c r="E2479" s="18">
        <f t="shared" si="65"/>
        <v>42</v>
      </c>
      <c r="F2479" s="166">
        <f t="shared" si="64"/>
        <v>432</v>
      </c>
      <c r="G2479" s="166">
        <f t="shared" si="64"/>
        <v>473</v>
      </c>
      <c r="H2479" s="21">
        <f t="shared" si="64"/>
        <v>755</v>
      </c>
      <c r="I2479" s="21">
        <f t="shared" si="64"/>
        <v>114</v>
      </c>
      <c r="J2479" s="21">
        <f t="shared" si="64"/>
        <v>428</v>
      </c>
      <c r="K2479" s="21">
        <f t="shared" si="64"/>
        <v>63</v>
      </c>
      <c r="L2479" s="21">
        <f t="shared" si="64"/>
        <v>788</v>
      </c>
      <c r="M2479" s="21">
        <f t="shared" si="64"/>
        <v>220</v>
      </c>
      <c r="N2479" s="21">
        <f t="shared" si="64"/>
        <v>433</v>
      </c>
      <c r="O2479" s="19">
        <f t="shared" si="61"/>
        <v>770</v>
      </c>
      <c r="P2479" s="22">
        <f t="shared" si="61"/>
        <v>52</v>
      </c>
      <c r="Q2479" s="22">
        <f t="shared" si="61"/>
        <v>34</v>
      </c>
      <c r="R2479" s="236"/>
      <c r="S2479" s="234"/>
      <c r="T2479" s="235"/>
    </row>
    <row r="2480" spans="1:20" hidden="1" x14ac:dyDescent="0.35">
      <c r="A2480" s="3"/>
      <c r="B2480" s="165">
        <f t="shared" si="63"/>
        <v>45809</v>
      </c>
      <c r="C2480" s="57"/>
      <c r="D2480" s="3" t="s">
        <v>106</v>
      </c>
      <c r="E2480" s="18">
        <f t="shared" si="65"/>
        <v>207</v>
      </c>
      <c r="F2480" s="166">
        <f t="shared" si="64"/>
        <v>1070</v>
      </c>
      <c r="G2480" s="166">
        <f t="shared" si="64"/>
        <v>1275</v>
      </c>
      <c r="H2480" s="21">
        <f t="shared" si="64"/>
        <v>2000</v>
      </c>
      <c r="I2480" s="21">
        <f t="shared" si="64"/>
        <v>306</v>
      </c>
      <c r="J2480" s="21">
        <f t="shared" si="64"/>
        <v>1014</v>
      </c>
      <c r="K2480" s="21">
        <f t="shared" si="64"/>
        <v>223</v>
      </c>
      <c r="L2480" s="21">
        <f t="shared" si="64"/>
        <v>1850</v>
      </c>
      <c r="M2480" s="21">
        <f t="shared" si="64"/>
        <v>562</v>
      </c>
      <c r="N2480" s="21">
        <f t="shared" si="64"/>
        <v>1101</v>
      </c>
      <c r="O2480" s="19">
        <f t="shared" si="61"/>
        <v>2288</v>
      </c>
      <c r="P2480" s="22">
        <f t="shared" si="61"/>
        <v>119</v>
      </c>
      <c r="Q2480" s="22">
        <f t="shared" si="61"/>
        <v>79</v>
      </c>
      <c r="R2480" s="236"/>
      <c r="S2480" s="234"/>
      <c r="T2480" s="235"/>
    </row>
    <row r="2481" spans="1:20" hidden="1" x14ac:dyDescent="0.35">
      <c r="A2481" s="3"/>
      <c r="B2481" s="165">
        <f t="shared" si="63"/>
        <v>45809</v>
      </c>
      <c r="C2481" s="57"/>
      <c r="D2481" s="3" t="s">
        <v>107</v>
      </c>
      <c r="E2481" s="18">
        <f t="shared" si="65"/>
        <v>204</v>
      </c>
      <c r="F2481" s="166">
        <f t="shared" si="64"/>
        <v>888</v>
      </c>
      <c r="G2481" s="166">
        <f t="shared" si="64"/>
        <v>1058</v>
      </c>
      <c r="H2481" s="21">
        <f t="shared" si="64"/>
        <v>1629</v>
      </c>
      <c r="I2481" s="21">
        <f t="shared" si="64"/>
        <v>210</v>
      </c>
      <c r="J2481" s="21">
        <f t="shared" si="64"/>
        <v>913</v>
      </c>
      <c r="K2481" s="21">
        <f t="shared" si="64"/>
        <v>194</v>
      </c>
      <c r="L2481" s="21">
        <f t="shared" si="64"/>
        <v>1527</v>
      </c>
      <c r="M2481" s="21">
        <f t="shared" si="64"/>
        <v>606</v>
      </c>
      <c r="N2481" s="21">
        <f t="shared" si="64"/>
        <v>890</v>
      </c>
      <c r="O2481" s="19">
        <f t="shared" si="64"/>
        <v>1705</v>
      </c>
      <c r="P2481" s="22">
        <f t="shared" si="64"/>
        <v>204</v>
      </c>
      <c r="Q2481" s="22">
        <f t="shared" si="64"/>
        <v>122</v>
      </c>
      <c r="R2481" s="236"/>
      <c r="S2481" s="234"/>
      <c r="T2481" s="235"/>
    </row>
    <row r="2482" spans="1:20" hidden="1" x14ac:dyDescent="0.35">
      <c r="A2482" s="3"/>
      <c r="B2482" s="165">
        <f t="shared" si="63"/>
        <v>45809</v>
      </c>
      <c r="C2482" s="57"/>
      <c r="D2482" s="3" t="s">
        <v>108</v>
      </c>
      <c r="E2482" s="18">
        <f t="shared" si="65"/>
        <v>226</v>
      </c>
      <c r="F2482" s="166">
        <f t="shared" si="64"/>
        <v>1294</v>
      </c>
      <c r="G2482" s="166">
        <f t="shared" si="64"/>
        <v>1247</v>
      </c>
      <c r="H2482" s="21">
        <f t="shared" si="64"/>
        <v>2197</v>
      </c>
      <c r="I2482" s="21">
        <f t="shared" si="64"/>
        <v>328</v>
      </c>
      <c r="J2482" s="21">
        <f t="shared" si="64"/>
        <v>1185</v>
      </c>
      <c r="K2482" s="21">
        <f t="shared" si="64"/>
        <v>284</v>
      </c>
      <c r="L2482" s="21">
        <f t="shared" si="64"/>
        <v>2301</v>
      </c>
      <c r="M2482" s="21">
        <f t="shared" si="64"/>
        <v>759</v>
      </c>
      <c r="N2482" s="21">
        <f t="shared" si="64"/>
        <v>1310</v>
      </c>
      <c r="O2482" s="19">
        <f t="shared" si="64"/>
        <v>2244</v>
      </c>
      <c r="P2482" s="22">
        <f t="shared" si="64"/>
        <v>153</v>
      </c>
      <c r="Q2482" s="22">
        <f t="shared" si="64"/>
        <v>111</v>
      </c>
      <c r="R2482" s="236"/>
      <c r="S2482" s="234"/>
      <c r="T2482" s="235"/>
    </row>
    <row r="2483" spans="1:20" hidden="1" x14ac:dyDescent="0.35">
      <c r="A2483" s="3"/>
      <c r="B2483" s="165">
        <f t="shared" si="63"/>
        <v>45809</v>
      </c>
      <c r="C2483" s="57"/>
      <c r="D2483" s="3" t="s">
        <v>109</v>
      </c>
      <c r="E2483" s="18">
        <f t="shared" si="65"/>
        <v>272</v>
      </c>
      <c r="F2483" s="166">
        <f t="shared" si="64"/>
        <v>1929</v>
      </c>
      <c r="G2483" s="166">
        <f t="shared" si="64"/>
        <v>1949</v>
      </c>
      <c r="H2483" s="21">
        <f t="shared" si="64"/>
        <v>4564</v>
      </c>
      <c r="I2483" s="21">
        <f t="shared" si="64"/>
        <v>550</v>
      </c>
      <c r="J2483" s="21">
        <f t="shared" si="64"/>
        <v>2027</v>
      </c>
      <c r="K2483" s="21">
        <f t="shared" si="64"/>
        <v>355</v>
      </c>
      <c r="L2483" s="21">
        <f t="shared" si="64"/>
        <v>3248</v>
      </c>
      <c r="M2483" s="21">
        <f t="shared" si="64"/>
        <v>1038</v>
      </c>
      <c r="N2483" s="21">
        <f t="shared" si="64"/>
        <v>2090</v>
      </c>
      <c r="O2483" s="19">
        <f t="shared" si="64"/>
        <v>3586</v>
      </c>
      <c r="P2483" s="22">
        <f t="shared" si="64"/>
        <v>85</v>
      </c>
      <c r="Q2483" s="22">
        <f t="shared" si="64"/>
        <v>59</v>
      </c>
      <c r="R2483" s="236"/>
      <c r="S2483" s="234"/>
      <c r="T2483" s="235"/>
    </row>
    <row r="2484" spans="1:20" hidden="1" x14ac:dyDescent="0.35">
      <c r="A2484" s="3"/>
      <c r="B2484" s="165">
        <f t="shared" si="63"/>
        <v>45809</v>
      </c>
      <c r="C2484" s="57"/>
      <c r="D2484" s="3" t="s">
        <v>110</v>
      </c>
      <c r="E2484" s="18">
        <f t="shared" si="65"/>
        <v>17</v>
      </c>
      <c r="F2484" s="166">
        <f t="shared" si="64"/>
        <v>222</v>
      </c>
      <c r="G2484" s="166">
        <f t="shared" si="64"/>
        <v>217</v>
      </c>
      <c r="H2484" s="21">
        <f t="shared" si="64"/>
        <v>303</v>
      </c>
      <c r="I2484" s="21">
        <f t="shared" si="64"/>
        <v>63</v>
      </c>
      <c r="J2484" s="21">
        <f t="shared" si="64"/>
        <v>147</v>
      </c>
      <c r="K2484" s="21">
        <f t="shared" si="64"/>
        <v>27</v>
      </c>
      <c r="L2484" s="21">
        <f t="shared" si="64"/>
        <v>239</v>
      </c>
      <c r="M2484" s="21">
        <f t="shared" si="64"/>
        <v>111</v>
      </c>
      <c r="N2484" s="21">
        <f t="shared" si="64"/>
        <v>224</v>
      </c>
      <c r="O2484" s="19">
        <f t="shared" si="64"/>
        <v>308</v>
      </c>
      <c r="P2484" s="22">
        <f t="shared" si="64"/>
        <v>9</v>
      </c>
      <c r="Q2484" s="22">
        <f t="shared" si="64"/>
        <v>6</v>
      </c>
      <c r="R2484" s="236"/>
      <c r="S2484" s="234"/>
      <c r="T2484" s="235"/>
    </row>
    <row r="2485" spans="1:20" hidden="1" x14ac:dyDescent="0.35">
      <c r="A2485" s="3"/>
      <c r="B2485" s="165">
        <f>DATE(YEAR(B2484+31),MONTH(B2484+31),1)</f>
        <v>45839</v>
      </c>
      <c r="C2485" s="57"/>
      <c r="D2485" s="3" t="s">
        <v>16</v>
      </c>
      <c r="E2485" s="18">
        <f t="shared" si="65"/>
        <v>390</v>
      </c>
      <c r="F2485" s="166">
        <f t="shared" si="64"/>
        <v>1973</v>
      </c>
      <c r="G2485" s="166">
        <f t="shared" si="64"/>
        <v>1909</v>
      </c>
      <c r="H2485" s="21">
        <f t="shared" si="64"/>
        <v>3663</v>
      </c>
      <c r="I2485" s="21">
        <f t="shared" si="64"/>
        <v>572</v>
      </c>
      <c r="J2485" s="21">
        <f t="shared" si="64"/>
        <v>1604</v>
      </c>
      <c r="K2485" s="21">
        <f t="shared" si="64"/>
        <v>318</v>
      </c>
      <c r="L2485" s="21">
        <f t="shared" si="64"/>
        <v>3549</v>
      </c>
      <c r="M2485" s="21">
        <f t="shared" si="64"/>
        <v>1297</v>
      </c>
      <c r="N2485" s="21">
        <f t="shared" si="64"/>
        <v>2021</v>
      </c>
      <c r="O2485" s="19">
        <f t="shared" si="64"/>
        <v>3850</v>
      </c>
      <c r="P2485" s="22">
        <f t="shared" si="64"/>
        <v>136</v>
      </c>
      <c r="Q2485" s="22">
        <f t="shared" si="64"/>
        <v>75</v>
      </c>
      <c r="R2485" s="236"/>
      <c r="S2485" s="234"/>
      <c r="T2485" s="235"/>
    </row>
    <row r="2486" spans="1:20" hidden="1" x14ac:dyDescent="0.35">
      <c r="A2486" s="3"/>
      <c r="B2486" s="165">
        <f t="shared" ref="B2486:B2511" si="66">B2485</f>
        <v>45839</v>
      </c>
      <c r="C2486" s="57"/>
      <c r="D2486" s="3" t="s">
        <v>104</v>
      </c>
      <c r="E2486" s="18">
        <f t="shared" si="65"/>
        <v>28</v>
      </c>
      <c r="F2486" s="166">
        <f t="shared" si="64"/>
        <v>601</v>
      </c>
      <c r="G2486" s="166">
        <f t="shared" si="64"/>
        <v>600</v>
      </c>
      <c r="H2486" s="21">
        <f t="shared" si="64"/>
        <v>1027</v>
      </c>
      <c r="I2486" s="21">
        <f t="shared" si="64"/>
        <v>182</v>
      </c>
      <c r="J2486" s="21">
        <f t="shared" si="64"/>
        <v>380</v>
      </c>
      <c r="K2486" s="21">
        <f t="shared" si="64"/>
        <v>89</v>
      </c>
      <c r="L2486" s="21">
        <f t="shared" si="64"/>
        <v>635</v>
      </c>
      <c r="M2486" s="21">
        <f t="shared" si="64"/>
        <v>262</v>
      </c>
      <c r="N2486" s="21">
        <f t="shared" si="64"/>
        <v>609</v>
      </c>
      <c r="O2486" s="19">
        <f t="shared" si="64"/>
        <v>814</v>
      </c>
      <c r="P2486" s="22">
        <f t="shared" si="64"/>
        <v>62</v>
      </c>
      <c r="Q2486" s="22">
        <f t="shared" si="64"/>
        <v>43</v>
      </c>
      <c r="R2486" s="236" t="str">
        <f t="shared" si="41"/>
        <v>-</v>
      </c>
      <c r="S2486" s="234">
        <f t="shared" ref="S2486:T2505" si="67">SUMIFS(S$5:S$2214,$B$5:$B$2214,$B2486,$A$5:$A$2214,$D2486)</f>
        <v>0</v>
      </c>
      <c r="T2486" s="235">
        <f t="shared" si="67"/>
        <v>0</v>
      </c>
    </row>
    <row r="2487" spans="1:20" hidden="1" x14ac:dyDescent="0.35">
      <c r="A2487" s="3"/>
      <c r="B2487" s="165">
        <f t="shared" si="66"/>
        <v>45839</v>
      </c>
      <c r="C2487" s="57"/>
      <c r="D2487" s="3" t="s">
        <v>105</v>
      </c>
      <c r="E2487" s="18">
        <f t="shared" si="65"/>
        <v>54</v>
      </c>
      <c r="F2487" s="166">
        <f t="shared" si="64"/>
        <v>499</v>
      </c>
      <c r="G2487" s="166">
        <f t="shared" si="64"/>
        <v>407</v>
      </c>
      <c r="H2487" s="21">
        <f t="shared" si="64"/>
        <v>838</v>
      </c>
      <c r="I2487" s="21">
        <f t="shared" si="64"/>
        <v>137</v>
      </c>
      <c r="J2487" s="21">
        <f t="shared" si="64"/>
        <v>419</v>
      </c>
      <c r="K2487" s="21">
        <f t="shared" si="64"/>
        <v>87</v>
      </c>
      <c r="L2487" s="21">
        <f t="shared" si="64"/>
        <v>805</v>
      </c>
      <c r="M2487" s="21">
        <f t="shared" si="64"/>
        <v>278</v>
      </c>
      <c r="N2487" s="21">
        <f t="shared" si="64"/>
        <v>501</v>
      </c>
      <c r="O2487" s="19">
        <f t="shared" si="64"/>
        <v>770</v>
      </c>
      <c r="P2487" s="22">
        <f t="shared" si="64"/>
        <v>42</v>
      </c>
      <c r="Q2487" s="22">
        <f t="shared" si="64"/>
        <v>29</v>
      </c>
      <c r="R2487" s="236" t="str">
        <f t="shared" si="41"/>
        <v>-</v>
      </c>
      <c r="S2487" s="234">
        <f t="shared" si="67"/>
        <v>0</v>
      </c>
      <c r="T2487" s="235">
        <f t="shared" si="67"/>
        <v>0</v>
      </c>
    </row>
    <row r="2488" spans="1:20" hidden="1" x14ac:dyDescent="0.35">
      <c r="A2488" s="3"/>
      <c r="B2488" s="165">
        <f t="shared" si="66"/>
        <v>45839</v>
      </c>
      <c r="C2488" s="57"/>
      <c r="D2488" s="3" t="s">
        <v>105</v>
      </c>
      <c r="E2488" s="18">
        <f t="shared" si="65"/>
        <v>54</v>
      </c>
      <c r="F2488" s="166">
        <f t="shared" si="64"/>
        <v>499</v>
      </c>
      <c r="G2488" s="166">
        <f t="shared" si="64"/>
        <v>407</v>
      </c>
      <c r="H2488" s="21">
        <f t="shared" si="64"/>
        <v>838</v>
      </c>
      <c r="I2488" s="21">
        <f t="shared" si="64"/>
        <v>137</v>
      </c>
      <c r="J2488" s="21">
        <f t="shared" si="64"/>
        <v>419</v>
      </c>
      <c r="K2488" s="21">
        <f t="shared" si="64"/>
        <v>87</v>
      </c>
      <c r="L2488" s="21">
        <f t="shared" si="64"/>
        <v>805</v>
      </c>
      <c r="M2488" s="21">
        <f t="shared" si="64"/>
        <v>278</v>
      </c>
      <c r="N2488" s="21">
        <f t="shared" si="64"/>
        <v>501</v>
      </c>
      <c r="O2488" s="19">
        <f t="shared" si="64"/>
        <v>770</v>
      </c>
      <c r="P2488" s="22">
        <f t="shared" si="64"/>
        <v>42</v>
      </c>
      <c r="Q2488" s="22">
        <f t="shared" si="64"/>
        <v>29</v>
      </c>
      <c r="R2488" s="236" t="str">
        <f t="shared" si="41"/>
        <v>-</v>
      </c>
      <c r="S2488" s="234">
        <f t="shared" si="67"/>
        <v>0</v>
      </c>
      <c r="T2488" s="235">
        <f t="shared" si="67"/>
        <v>0</v>
      </c>
    </row>
    <row r="2489" spans="1:20" hidden="1" x14ac:dyDescent="0.35">
      <c r="A2489" s="3"/>
      <c r="B2489" s="165">
        <f t="shared" si="66"/>
        <v>45839</v>
      </c>
      <c r="C2489" s="57"/>
      <c r="D2489" s="3" t="s">
        <v>106</v>
      </c>
      <c r="E2489" s="18">
        <f t="shared" si="65"/>
        <v>222</v>
      </c>
      <c r="F2489" s="166">
        <f t="shared" si="64"/>
        <v>1304</v>
      </c>
      <c r="G2489" s="166">
        <f t="shared" si="64"/>
        <v>1245</v>
      </c>
      <c r="H2489" s="21">
        <f t="shared" si="64"/>
        <v>2446</v>
      </c>
      <c r="I2489" s="21">
        <f t="shared" si="64"/>
        <v>366</v>
      </c>
      <c r="J2489" s="21">
        <f t="shared" si="64"/>
        <v>1173</v>
      </c>
      <c r="K2489" s="21">
        <f t="shared" si="64"/>
        <v>242</v>
      </c>
      <c r="L2489" s="21">
        <f t="shared" si="64"/>
        <v>2307</v>
      </c>
      <c r="M2489" s="21">
        <f t="shared" si="64"/>
        <v>715</v>
      </c>
      <c r="N2489" s="21">
        <f t="shared" si="64"/>
        <v>1363</v>
      </c>
      <c r="O2489" s="19">
        <f t="shared" si="64"/>
        <v>2288</v>
      </c>
      <c r="P2489" s="22">
        <f t="shared" si="64"/>
        <v>122</v>
      </c>
      <c r="Q2489" s="22">
        <f t="shared" si="64"/>
        <v>91</v>
      </c>
      <c r="R2489" s="236" t="str">
        <f t="shared" si="41"/>
        <v>-</v>
      </c>
      <c r="S2489" s="234">
        <f t="shared" si="67"/>
        <v>0</v>
      </c>
      <c r="T2489" s="235">
        <f t="shared" si="67"/>
        <v>0</v>
      </c>
    </row>
    <row r="2490" spans="1:20" hidden="1" x14ac:dyDescent="0.35">
      <c r="A2490" s="3"/>
      <c r="B2490" s="165">
        <f t="shared" si="66"/>
        <v>45839</v>
      </c>
      <c r="C2490" s="57"/>
      <c r="D2490" s="3" t="s">
        <v>107</v>
      </c>
      <c r="E2490" s="18">
        <f t="shared" si="65"/>
        <v>210</v>
      </c>
      <c r="F2490" s="166">
        <f t="shared" si="64"/>
        <v>1096</v>
      </c>
      <c r="G2490" s="166">
        <f t="shared" si="64"/>
        <v>1070</v>
      </c>
      <c r="H2490" s="21">
        <f t="shared" si="64"/>
        <v>1953</v>
      </c>
      <c r="I2490" s="21">
        <f t="shared" si="64"/>
        <v>324</v>
      </c>
      <c r="J2490" s="21">
        <f t="shared" si="64"/>
        <v>886</v>
      </c>
      <c r="K2490" s="21">
        <f t="shared" si="64"/>
        <v>239</v>
      </c>
      <c r="L2490" s="21">
        <f t="shared" si="64"/>
        <v>1774</v>
      </c>
      <c r="M2490" s="21">
        <f t="shared" si="64"/>
        <v>761</v>
      </c>
      <c r="N2490" s="21">
        <f t="shared" si="64"/>
        <v>1097</v>
      </c>
      <c r="O2490" s="19">
        <f t="shared" si="64"/>
        <v>1771</v>
      </c>
      <c r="P2490" s="22">
        <f t="shared" si="64"/>
        <v>262</v>
      </c>
      <c r="Q2490" s="22">
        <f t="shared" si="64"/>
        <v>160</v>
      </c>
      <c r="R2490" s="236" t="str">
        <f t="shared" si="41"/>
        <v>-</v>
      </c>
      <c r="S2490" s="234">
        <f t="shared" si="67"/>
        <v>0</v>
      </c>
      <c r="T2490" s="235">
        <f t="shared" si="67"/>
        <v>0</v>
      </c>
    </row>
    <row r="2491" spans="1:20" hidden="1" x14ac:dyDescent="0.35">
      <c r="A2491" s="3"/>
      <c r="B2491" s="165">
        <f t="shared" si="66"/>
        <v>45839</v>
      </c>
      <c r="C2491" s="57"/>
      <c r="D2491" s="3" t="s">
        <v>108</v>
      </c>
      <c r="E2491" s="18">
        <f t="shared" si="65"/>
        <v>228</v>
      </c>
      <c r="F2491" s="166">
        <f t="shared" si="64"/>
        <v>1354</v>
      </c>
      <c r="G2491" s="166">
        <f t="shared" si="64"/>
        <v>1282</v>
      </c>
      <c r="H2491" s="21">
        <f t="shared" si="64"/>
        <v>2472</v>
      </c>
      <c r="I2491" s="21">
        <f t="shared" si="64"/>
        <v>383</v>
      </c>
      <c r="J2491" s="21">
        <f t="shared" si="64"/>
        <v>1298</v>
      </c>
      <c r="K2491" s="21">
        <f t="shared" si="64"/>
        <v>276</v>
      </c>
      <c r="L2491" s="21">
        <f t="shared" si="64"/>
        <v>2429</v>
      </c>
      <c r="M2491" s="21">
        <f t="shared" si="64"/>
        <v>783</v>
      </c>
      <c r="N2491" s="21">
        <f t="shared" si="64"/>
        <v>1377</v>
      </c>
      <c r="O2491" s="19">
        <f t="shared" si="64"/>
        <v>2288</v>
      </c>
      <c r="P2491" s="22">
        <f t="shared" si="64"/>
        <v>115</v>
      </c>
      <c r="Q2491" s="22">
        <f t="shared" si="64"/>
        <v>79</v>
      </c>
      <c r="R2491" s="236" t="str">
        <f t="shared" si="41"/>
        <v>-</v>
      </c>
      <c r="S2491" s="234">
        <f t="shared" si="67"/>
        <v>0</v>
      </c>
      <c r="T2491" s="235">
        <f t="shared" si="67"/>
        <v>0</v>
      </c>
    </row>
    <row r="2492" spans="1:20" hidden="1" x14ac:dyDescent="0.35">
      <c r="A2492" s="3"/>
      <c r="B2492" s="165">
        <f t="shared" si="66"/>
        <v>45839</v>
      </c>
      <c r="C2492" s="57"/>
      <c r="D2492" s="3" t="s">
        <v>109</v>
      </c>
      <c r="E2492" s="18">
        <f t="shared" si="65"/>
        <v>299</v>
      </c>
      <c r="F2492" s="166">
        <f t="shared" si="64"/>
        <v>2000</v>
      </c>
      <c r="G2492" s="166">
        <f t="shared" si="64"/>
        <v>2021</v>
      </c>
      <c r="H2492" s="21">
        <f t="shared" si="64"/>
        <v>4589</v>
      </c>
      <c r="I2492" s="21">
        <f t="shared" si="64"/>
        <v>561</v>
      </c>
      <c r="J2492" s="21">
        <f t="shared" si="64"/>
        <v>2238</v>
      </c>
      <c r="K2492" s="21">
        <f t="shared" si="64"/>
        <v>402</v>
      </c>
      <c r="L2492" s="21">
        <f t="shared" si="64"/>
        <v>3435</v>
      </c>
      <c r="M2492" s="21">
        <f t="shared" si="64"/>
        <v>1111</v>
      </c>
      <c r="N2492" s="21">
        <f t="shared" si="64"/>
        <v>2185</v>
      </c>
      <c r="O2492" s="19">
        <f t="shared" si="64"/>
        <v>3542</v>
      </c>
      <c r="P2492" s="22">
        <f t="shared" si="64"/>
        <v>85</v>
      </c>
      <c r="Q2492" s="22">
        <f t="shared" si="64"/>
        <v>55</v>
      </c>
      <c r="R2492" s="236" t="str">
        <f t="shared" si="41"/>
        <v>-</v>
      </c>
      <c r="S2492" s="234">
        <f t="shared" si="67"/>
        <v>0</v>
      </c>
      <c r="T2492" s="235">
        <f t="shared" si="67"/>
        <v>0</v>
      </c>
    </row>
    <row r="2493" spans="1:20" hidden="1" x14ac:dyDescent="0.35">
      <c r="A2493" s="3"/>
      <c r="B2493" s="165">
        <f t="shared" si="66"/>
        <v>45839</v>
      </c>
      <c r="C2493" s="57"/>
      <c r="D2493" s="3" t="s">
        <v>110</v>
      </c>
      <c r="E2493" s="18">
        <f t="shared" si="65"/>
        <v>26</v>
      </c>
      <c r="F2493" s="166">
        <f t="shared" si="64"/>
        <v>217</v>
      </c>
      <c r="G2493" s="166">
        <f t="shared" si="64"/>
        <v>195</v>
      </c>
      <c r="H2493" s="21">
        <f t="shared" si="64"/>
        <v>323</v>
      </c>
      <c r="I2493" s="21">
        <f t="shared" si="64"/>
        <v>47</v>
      </c>
      <c r="J2493" s="21">
        <f t="shared" si="64"/>
        <v>167</v>
      </c>
      <c r="K2493" s="21">
        <f t="shared" si="64"/>
        <v>41</v>
      </c>
      <c r="L2493" s="21">
        <f t="shared" si="64"/>
        <v>240</v>
      </c>
      <c r="M2493" s="21">
        <f t="shared" si="64"/>
        <v>106</v>
      </c>
      <c r="N2493" s="21">
        <f t="shared" si="64"/>
        <v>218</v>
      </c>
      <c r="O2493" s="19">
        <f t="shared" si="64"/>
        <v>308</v>
      </c>
      <c r="P2493" s="22">
        <f t="shared" si="64"/>
        <v>6</v>
      </c>
      <c r="Q2493" s="22">
        <f t="shared" si="64"/>
        <v>5</v>
      </c>
      <c r="R2493" s="236" t="str">
        <f t="shared" si="41"/>
        <v>-</v>
      </c>
      <c r="S2493" s="234">
        <f t="shared" si="67"/>
        <v>0</v>
      </c>
      <c r="T2493" s="235">
        <f t="shared" si="67"/>
        <v>0</v>
      </c>
    </row>
    <row r="2494" spans="1:20" hidden="1" x14ac:dyDescent="0.35">
      <c r="A2494" s="3"/>
      <c r="B2494" s="165">
        <f>DATE(YEAR(B2493+31),MONTH(B2493+31),1)</f>
        <v>45870</v>
      </c>
      <c r="C2494" s="57"/>
      <c r="D2494" s="3" t="s">
        <v>16</v>
      </c>
      <c r="E2494" s="18">
        <f t="shared" si="65"/>
        <v>319</v>
      </c>
      <c r="F2494" s="166">
        <f t="shared" si="64"/>
        <v>2131</v>
      </c>
      <c r="G2494" s="166">
        <f t="shared" si="64"/>
        <v>1987</v>
      </c>
      <c r="H2494" s="21">
        <f t="shared" si="64"/>
        <v>4289</v>
      </c>
      <c r="I2494" s="21">
        <f t="shared" si="64"/>
        <v>583</v>
      </c>
      <c r="J2494" s="21">
        <f t="shared" si="64"/>
        <v>1896</v>
      </c>
      <c r="K2494" s="21">
        <f t="shared" si="64"/>
        <v>333</v>
      </c>
      <c r="L2494" s="21">
        <f t="shared" si="64"/>
        <v>3814</v>
      </c>
      <c r="M2494" s="21">
        <f t="shared" si="64"/>
        <v>1349</v>
      </c>
      <c r="N2494" s="21">
        <f t="shared" si="64"/>
        <v>2156</v>
      </c>
      <c r="O2494" s="19">
        <f t="shared" si="64"/>
        <v>3916</v>
      </c>
      <c r="P2494" s="22">
        <f t="shared" si="64"/>
        <v>111</v>
      </c>
      <c r="Q2494" s="22">
        <f t="shared" si="64"/>
        <v>62</v>
      </c>
      <c r="R2494" s="236" t="str">
        <f t="shared" si="41"/>
        <v>-</v>
      </c>
      <c r="S2494" s="234">
        <f t="shared" si="67"/>
        <v>0</v>
      </c>
      <c r="T2494" s="235">
        <f t="shared" si="67"/>
        <v>0</v>
      </c>
    </row>
    <row r="2495" spans="1:20" hidden="1" x14ac:dyDescent="0.35">
      <c r="A2495" s="3"/>
      <c r="B2495" s="165">
        <f t="shared" si="66"/>
        <v>45870</v>
      </c>
      <c r="C2495" s="57"/>
      <c r="D2495" s="3" t="s">
        <v>104</v>
      </c>
      <c r="E2495" s="18">
        <f t="shared" si="65"/>
        <v>22</v>
      </c>
      <c r="F2495" s="166">
        <f t="shared" si="64"/>
        <v>656</v>
      </c>
      <c r="G2495" s="166">
        <f t="shared" si="64"/>
        <v>614</v>
      </c>
      <c r="H2495" s="21">
        <f t="shared" si="64"/>
        <v>1069</v>
      </c>
      <c r="I2495" s="21">
        <f t="shared" si="64"/>
        <v>204</v>
      </c>
      <c r="J2495" s="21">
        <f t="shared" si="64"/>
        <v>400</v>
      </c>
      <c r="K2495" s="21">
        <f t="shared" si="64"/>
        <v>101</v>
      </c>
      <c r="L2495" s="21">
        <f t="shared" si="64"/>
        <v>629</v>
      </c>
      <c r="M2495" s="21">
        <f t="shared" si="64"/>
        <v>285</v>
      </c>
      <c r="N2495" s="21">
        <f t="shared" si="64"/>
        <v>659</v>
      </c>
      <c r="O2495" s="19">
        <f t="shared" si="64"/>
        <v>814</v>
      </c>
      <c r="P2495" s="22">
        <f t="shared" si="64"/>
        <v>89</v>
      </c>
      <c r="Q2495" s="22">
        <f t="shared" si="64"/>
        <v>58</v>
      </c>
      <c r="R2495" s="236" t="str">
        <f t="shared" si="41"/>
        <v>-</v>
      </c>
      <c r="S2495" s="234">
        <f t="shared" si="67"/>
        <v>0</v>
      </c>
      <c r="T2495" s="235">
        <f t="shared" si="67"/>
        <v>0</v>
      </c>
    </row>
    <row r="2496" spans="1:20" hidden="1" x14ac:dyDescent="0.35">
      <c r="A2496" s="3"/>
      <c r="B2496" s="165">
        <f t="shared" si="66"/>
        <v>45870</v>
      </c>
      <c r="C2496" s="57"/>
      <c r="D2496" s="3" t="s">
        <v>105</v>
      </c>
      <c r="E2496" s="18">
        <f t="shared" si="65"/>
        <v>66</v>
      </c>
      <c r="F2496" s="166">
        <f t="shared" si="64"/>
        <v>497</v>
      </c>
      <c r="G2496" s="166">
        <f t="shared" si="64"/>
        <v>373</v>
      </c>
      <c r="H2496" s="21">
        <f t="shared" si="64"/>
        <v>862</v>
      </c>
      <c r="I2496" s="21">
        <f t="shared" ref="I2496:Q2524" si="68">SUMIFS(I$5:I$2214,$A$5:$A$2214,$D2496,$B$5:$B$2214,$B2496)</f>
        <v>113</v>
      </c>
      <c r="J2496" s="21">
        <f t="shared" si="68"/>
        <v>369</v>
      </c>
      <c r="K2496" s="21">
        <f t="shared" si="68"/>
        <v>70</v>
      </c>
      <c r="L2496" s="21">
        <f t="shared" si="68"/>
        <v>833</v>
      </c>
      <c r="M2496" s="21">
        <f t="shared" si="68"/>
        <v>266</v>
      </c>
      <c r="N2496" s="21">
        <f t="shared" si="68"/>
        <v>499</v>
      </c>
      <c r="O2496" s="19">
        <f t="shared" si="68"/>
        <v>792</v>
      </c>
      <c r="P2496" s="22">
        <f t="shared" si="68"/>
        <v>40</v>
      </c>
      <c r="Q2496" s="22">
        <f t="shared" si="68"/>
        <v>15</v>
      </c>
      <c r="R2496" s="236" t="str">
        <f t="shared" ref="R2496:R2546" si="69">IFERROR(S2496/(S2496+T2496),"-")</f>
        <v>-</v>
      </c>
      <c r="S2496" s="234">
        <f t="shared" si="67"/>
        <v>0</v>
      </c>
      <c r="T2496" s="235">
        <f t="shared" si="67"/>
        <v>0</v>
      </c>
    </row>
    <row r="2497" spans="1:20" hidden="1" x14ac:dyDescent="0.35">
      <c r="A2497" s="3"/>
      <c r="B2497" s="165">
        <f t="shared" si="66"/>
        <v>45870</v>
      </c>
      <c r="C2497" s="57"/>
      <c r="D2497" s="3" t="s">
        <v>105</v>
      </c>
      <c r="E2497" s="18">
        <f t="shared" si="65"/>
        <v>66</v>
      </c>
      <c r="F2497" s="166">
        <f t="shared" si="65"/>
        <v>497</v>
      </c>
      <c r="G2497" s="166">
        <f t="shared" si="65"/>
        <v>373</v>
      </c>
      <c r="H2497" s="21">
        <f t="shared" si="65"/>
        <v>862</v>
      </c>
      <c r="I2497" s="21">
        <f t="shared" si="68"/>
        <v>113</v>
      </c>
      <c r="J2497" s="21">
        <f t="shared" si="68"/>
        <v>369</v>
      </c>
      <c r="K2497" s="21">
        <f t="shared" si="68"/>
        <v>70</v>
      </c>
      <c r="L2497" s="21">
        <f t="shared" si="68"/>
        <v>833</v>
      </c>
      <c r="M2497" s="21">
        <f t="shared" si="68"/>
        <v>266</v>
      </c>
      <c r="N2497" s="21">
        <f t="shared" si="68"/>
        <v>499</v>
      </c>
      <c r="O2497" s="19">
        <f t="shared" si="68"/>
        <v>792</v>
      </c>
      <c r="P2497" s="22">
        <f t="shared" si="68"/>
        <v>40</v>
      </c>
      <c r="Q2497" s="22">
        <f t="shared" si="68"/>
        <v>15</v>
      </c>
      <c r="R2497" s="236" t="str">
        <f t="shared" si="69"/>
        <v>-</v>
      </c>
      <c r="S2497" s="234">
        <f t="shared" si="67"/>
        <v>0</v>
      </c>
      <c r="T2497" s="235">
        <f t="shared" si="67"/>
        <v>0</v>
      </c>
    </row>
    <row r="2498" spans="1:20" hidden="1" x14ac:dyDescent="0.35">
      <c r="A2498" s="3"/>
      <c r="B2498" s="165">
        <f t="shared" si="66"/>
        <v>45870</v>
      </c>
      <c r="C2498" s="57"/>
      <c r="D2498" s="3" t="s">
        <v>106</v>
      </c>
      <c r="E2498" s="18">
        <f t="shared" si="65"/>
        <v>185</v>
      </c>
      <c r="F2498" s="166">
        <f t="shared" si="65"/>
        <v>1477</v>
      </c>
      <c r="G2498" s="166">
        <f t="shared" si="65"/>
        <v>1251</v>
      </c>
      <c r="H2498" s="21">
        <f t="shared" si="65"/>
        <v>2931</v>
      </c>
      <c r="I2498" s="21">
        <f t="shared" si="68"/>
        <v>392</v>
      </c>
      <c r="J2498" s="21">
        <f t="shared" si="68"/>
        <v>1498</v>
      </c>
      <c r="K2498" s="21">
        <f t="shared" si="68"/>
        <v>250</v>
      </c>
      <c r="L2498" s="21">
        <f t="shared" si="68"/>
        <v>2531</v>
      </c>
      <c r="M2498" s="21">
        <f t="shared" si="68"/>
        <v>771</v>
      </c>
      <c r="N2498" s="21">
        <f t="shared" si="68"/>
        <v>1498</v>
      </c>
      <c r="O2498" s="19">
        <f t="shared" si="68"/>
        <v>2244</v>
      </c>
      <c r="P2498" s="22">
        <f t="shared" si="68"/>
        <v>117</v>
      </c>
      <c r="Q2498" s="22">
        <f t="shared" si="68"/>
        <v>77</v>
      </c>
      <c r="R2498" s="236" t="str">
        <f t="shared" si="69"/>
        <v>-</v>
      </c>
      <c r="S2498" s="234">
        <f t="shared" si="67"/>
        <v>0</v>
      </c>
      <c r="T2498" s="235">
        <f t="shared" si="67"/>
        <v>0</v>
      </c>
    </row>
    <row r="2499" spans="1:20" hidden="1" x14ac:dyDescent="0.35">
      <c r="A2499" s="3"/>
      <c r="B2499" s="165">
        <f t="shared" si="66"/>
        <v>45870</v>
      </c>
      <c r="C2499" s="57"/>
      <c r="D2499" s="3" t="s">
        <v>107</v>
      </c>
      <c r="E2499" s="18">
        <f t="shared" si="65"/>
        <v>206</v>
      </c>
      <c r="F2499" s="166">
        <f t="shared" si="65"/>
        <v>1226</v>
      </c>
      <c r="G2499" s="166">
        <f t="shared" si="65"/>
        <v>1004</v>
      </c>
      <c r="H2499" s="21">
        <f t="shared" si="65"/>
        <v>2132</v>
      </c>
      <c r="I2499" s="21">
        <f t="shared" si="68"/>
        <v>339</v>
      </c>
      <c r="J2499" s="21">
        <f t="shared" si="68"/>
        <v>1055</v>
      </c>
      <c r="K2499" s="21">
        <f t="shared" si="68"/>
        <v>250</v>
      </c>
      <c r="L2499" s="21">
        <f t="shared" si="68"/>
        <v>2103</v>
      </c>
      <c r="M2499" s="21">
        <f t="shared" si="68"/>
        <v>842</v>
      </c>
      <c r="N2499" s="21">
        <f t="shared" si="68"/>
        <v>1231</v>
      </c>
      <c r="O2499" s="19">
        <f t="shared" si="68"/>
        <v>1749</v>
      </c>
      <c r="P2499" s="22">
        <f t="shared" si="68"/>
        <v>208</v>
      </c>
      <c r="Q2499" s="22">
        <f t="shared" si="68"/>
        <v>114</v>
      </c>
      <c r="R2499" s="236" t="str">
        <f t="shared" si="69"/>
        <v>-</v>
      </c>
      <c r="S2499" s="234">
        <f t="shared" si="67"/>
        <v>0</v>
      </c>
      <c r="T2499" s="235">
        <f t="shared" si="67"/>
        <v>0</v>
      </c>
    </row>
    <row r="2500" spans="1:20" hidden="1" x14ac:dyDescent="0.35">
      <c r="A2500" s="3"/>
      <c r="B2500" s="165">
        <f t="shared" si="66"/>
        <v>45870</v>
      </c>
      <c r="C2500" s="57"/>
      <c r="D2500" s="3" t="s">
        <v>108</v>
      </c>
      <c r="E2500" s="18">
        <f t="shared" si="65"/>
        <v>204</v>
      </c>
      <c r="F2500" s="166">
        <f t="shared" si="65"/>
        <v>1503</v>
      </c>
      <c r="G2500" s="166">
        <f t="shared" si="65"/>
        <v>1278</v>
      </c>
      <c r="H2500" s="21">
        <f t="shared" si="65"/>
        <v>3084</v>
      </c>
      <c r="I2500" s="21">
        <f t="shared" si="68"/>
        <v>409</v>
      </c>
      <c r="J2500" s="21">
        <f t="shared" si="68"/>
        <v>1680</v>
      </c>
      <c r="K2500" s="21">
        <f t="shared" si="68"/>
        <v>302</v>
      </c>
      <c r="L2500" s="21">
        <f t="shared" si="68"/>
        <v>2595</v>
      </c>
      <c r="M2500" s="21">
        <f t="shared" si="68"/>
        <v>812</v>
      </c>
      <c r="N2500" s="21">
        <f t="shared" si="68"/>
        <v>1524</v>
      </c>
      <c r="O2500" s="19">
        <f t="shared" si="68"/>
        <v>2310</v>
      </c>
      <c r="P2500" s="22">
        <f t="shared" si="68"/>
        <v>140</v>
      </c>
      <c r="Q2500" s="22">
        <f t="shared" si="68"/>
        <v>96</v>
      </c>
      <c r="R2500" s="236" t="str">
        <f t="shared" si="69"/>
        <v>-</v>
      </c>
      <c r="S2500" s="234">
        <f t="shared" si="67"/>
        <v>0</v>
      </c>
      <c r="T2500" s="235">
        <f t="shared" si="67"/>
        <v>0</v>
      </c>
    </row>
    <row r="2501" spans="1:20" hidden="1" x14ac:dyDescent="0.35">
      <c r="A2501" s="3"/>
      <c r="B2501" s="165">
        <f t="shared" si="66"/>
        <v>45870</v>
      </c>
      <c r="C2501" s="57"/>
      <c r="D2501" s="3" t="s">
        <v>109</v>
      </c>
      <c r="E2501" s="18">
        <f t="shared" si="65"/>
        <v>324</v>
      </c>
      <c r="F2501" s="166">
        <f t="shared" si="65"/>
        <v>2204</v>
      </c>
      <c r="G2501" s="166">
        <f t="shared" si="65"/>
        <v>2066</v>
      </c>
      <c r="H2501" s="21">
        <f t="shared" si="65"/>
        <v>5043</v>
      </c>
      <c r="I2501" s="21">
        <f t="shared" si="68"/>
        <v>654</v>
      </c>
      <c r="J2501" s="21">
        <f t="shared" si="68"/>
        <v>2307</v>
      </c>
      <c r="K2501" s="21">
        <f t="shared" si="68"/>
        <v>422</v>
      </c>
      <c r="L2501" s="21">
        <f t="shared" si="68"/>
        <v>3750</v>
      </c>
      <c r="M2501" s="21">
        <f t="shared" si="68"/>
        <v>1166</v>
      </c>
      <c r="N2501" s="21">
        <f t="shared" si="68"/>
        <v>2359</v>
      </c>
      <c r="O2501" s="19">
        <f t="shared" si="68"/>
        <v>3410</v>
      </c>
      <c r="P2501" s="22">
        <f t="shared" si="68"/>
        <v>88</v>
      </c>
      <c r="Q2501" s="22">
        <f t="shared" si="68"/>
        <v>58</v>
      </c>
      <c r="R2501" s="236" t="str">
        <f t="shared" si="69"/>
        <v>-</v>
      </c>
      <c r="S2501" s="234">
        <f t="shared" si="67"/>
        <v>0</v>
      </c>
      <c r="T2501" s="235">
        <f t="shared" si="67"/>
        <v>0</v>
      </c>
    </row>
    <row r="2502" spans="1:20" hidden="1" x14ac:dyDescent="0.35">
      <c r="A2502" s="3"/>
      <c r="B2502" s="165">
        <f t="shared" si="66"/>
        <v>45870</v>
      </c>
      <c r="C2502" s="57"/>
      <c r="D2502" s="3" t="s">
        <v>110</v>
      </c>
      <c r="E2502" s="18">
        <f t="shared" si="65"/>
        <v>30</v>
      </c>
      <c r="F2502" s="166">
        <f t="shared" si="65"/>
        <v>251</v>
      </c>
      <c r="G2502" s="166">
        <f t="shared" si="65"/>
        <v>210</v>
      </c>
      <c r="H2502" s="21">
        <f t="shared" si="65"/>
        <v>403</v>
      </c>
      <c r="I2502" s="21">
        <f t="shared" si="68"/>
        <v>62</v>
      </c>
      <c r="J2502" s="21">
        <f t="shared" si="68"/>
        <v>169</v>
      </c>
      <c r="K2502" s="21">
        <f t="shared" si="68"/>
        <v>45</v>
      </c>
      <c r="L2502" s="21">
        <f t="shared" si="68"/>
        <v>260</v>
      </c>
      <c r="M2502" s="21">
        <f t="shared" si="68"/>
        <v>107</v>
      </c>
      <c r="N2502" s="21">
        <f t="shared" si="68"/>
        <v>253</v>
      </c>
      <c r="O2502" s="19">
        <f t="shared" si="68"/>
        <v>308</v>
      </c>
      <c r="P2502" s="22">
        <f t="shared" si="68"/>
        <v>6</v>
      </c>
      <c r="Q2502" s="22">
        <f t="shared" si="68"/>
        <v>5</v>
      </c>
      <c r="R2502" s="236" t="str">
        <f t="shared" si="69"/>
        <v>-</v>
      </c>
      <c r="S2502" s="234">
        <f t="shared" si="67"/>
        <v>0</v>
      </c>
      <c r="T2502" s="235">
        <f t="shared" si="67"/>
        <v>0</v>
      </c>
    </row>
    <row r="2503" spans="1:20" hidden="1" x14ac:dyDescent="0.35">
      <c r="A2503" s="3"/>
      <c r="B2503" s="165">
        <f>DATE(YEAR(B2502+31),MONTH(B2502+31),1)</f>
        <v>45901</v>
      </c>
      <c r="C2503" s="57"/>
      <c r="D2503" s="3" t="s">
        <v>16</v>
      </c>
      <c r="E2503" s="18">
        <f t="shared" si="65"/>
        <v>309</v>
      </c>
      <c r="F2503" s="166">
        <f t="shared" si="65"/>
        <v>1850</v>
      </c>
      <c r="G2503" s="166">
        <f t="shared" si="65"/>
        <v>1833</v>
      </c>
      <c r="H2503" s="21">
        <f t="shared" si="65"/>
        <v>3477</v>
      </c>
      <c r="I2503" s="21">
        <f t="shared" si="68"/>
        <v>524</v>
      </c>
      <c r="J2503" s="21">
        <f t="shared" si="68"/>
        <v>1578</v>
      </c>
      <c r="K2503" s="21">
        <f t="shared" si="68"/>
        <v>322</v>
      </c>
      <c r="L2503" s="21">
        <f t="shared" si="68"/>
        <v>3266</v>
      </c>
      <c r="M2503" s="21">
        <f t="shared" si="68"/>
        <v>1222</v>
      </c>
      <c r="N2503" s="21">
        <f t="shared" si="68"/>
        <v>1932</v>
      </c>
      <c r="O2503" s="19">
        <f t="shared" si="68"/>
        <v>3740</v>
      </c>
      <c r="P2503" s="22">
        <f t="shared" si="68"/>
        <v>156</v>
      </c>
      <c r="Q2503" s="22">
        <f t="shared" si="68"/>
        <v>86</v>
      </c>
      <c r="R2503" s="236" t="str">
        <f t="shared" si="69"/>
        <v>-</v>
      </c>
      <c r="S2503" s="234">
        <f t="shared" si="67"/>
        <v>0</v>
      </c>
      <c r="T2503" s="235">
        <f t="shared" si="67"/>
        <v>0</v>
      </c>
    </row>
    <row r="2504" spans="1:20" hidden="1" x14ac:dyDescent="0.35">
      <c r="A2504" s="3"/>
      <c r="B2504" s="165">
        <f t="shared" si="66"/>
        <v>45901</v>
      </c>
      <c r="C2504" s="57"/>
      <c r="D2504" s="3" t="s">
        <v>104</v>
      </c>
      <c r="E2504" s="18">
        <f t="shared" si="65"/>
        <v>35</v>
      </c>
      <c r="F2504" s="166">
        <f t="shared" si="65"/>
        <v>575</v>
      </c>
      <c r="G2504" s="166">
        <f t="shared" si="65"/>
        <v>548</v>
      </c>
      <c r="H2504" s="21">
        <f t="shared" si="65"/>
        <v>911</v>
      </c>
      <c r="I2504" s="21">
        <f t="shared" si="68"/>
        <v>165</v>
      </c>
      <c r="J2504" s="21">
        <f t="shared" si="68"/>
        <v>377</v>
      </c>
      <c r="K2504" s="21">
        <f t="shared" si="68"/>
        <v>86</v>
      </c>
      <c r="L2504" s="21">
        <f t="shared" si="68"/>
        <v>547</v>
      </c>
      <c r="M2504" s="21">
        <f t="shared" si="68"/>
        <v>251</v>
      </c>
      <c r="N2504" s="21">
        <f t="shared" si="68"/>
        <v>583</v>
      </c>
      <c r="O2504" s="19">
        <f t="shared" si="68"/>
        <v>814</v>
      </c>
      <c r="P2504" s="22">
        <f t="shared" si="68"/>
        <v>68</v>
      </c>
      <c r="Q2504" s="22">
        <f t="shared" si="68"/>
        <v>37</v>
      </c>
      <c r="R2504" s="236" t="str">
        <f t="shared" si="69"/>
        <v>-</v>
      </c>
      <c r="S2504" s="234">
        <f t="shared" si="67"/>
        <v>0</v>
      </c>
      <c r="T2504" s="235">
        <f t="shared" si="67"/>
        <v>0</v>
      </c>
    </row>
    <row r="2505" spans="1:20" hidden="1" x14ac:dyDescent="0.35">
      <c r="A2505" s="3"/>
      <c r="B2505" s="165">
        <f t="shared" si="66"/>
        <v>45901</v>
      </c>
      <c r="C2505" s="57"/>
      <c r="D2505" s="3" t="s">
        <v>105</v>
      </c>
      <c r="E2505" s="18">
        <f t="shared" si="65"/>
        <v>53</v>
      </c>
      <c r="F2505" s="166">
        <f t="shared" si="65"/>
        <v>453</v>
      </c>
      <c r="G2505" s="166">
        <f t="shared" si="65"/>
        <v>382</v>
      </c>
      <c r="H2505" s="21">
        <f t="shared" si="65"/>
        <v>820</v>
      </c>
      <c r="I2505" s="21">
        <f t="shared" si="68"/>
        <v>126</v>
      </c>
      <c r="J2505" s="21">
        <f t="shared" si="68"/>
        <v>428</v>
      </c>
      <c r="K2505" s="21">
        <f t="shared" si="68"/>
        <v>87</v>
      </c>
      <c r="L2505" s="21">
        <f t="shared" si="68"/>
        <v>746</v>
      </c>
      <c r="M2505" s="21">
        <f t="shared" si="68"/>
        <v>247</v>
      </c>
      <c r="N2505" s="21">
        <f t="shared" si="68"/>
        <v>455</v>
      </c>
      <c r="O2505" s="19">
        <f t="shared" si="68"/>
        <v>792</v>
      </c>
      <c r="P2505" s="22">
        <f t="shared" si="68"/>
        <v>37</v>
      </c>
      <c r="Q2505" s="22">
        <f t="shared" si="68"/>
        <v>15</v>
      </c>
      <c r="R2505" s="236" t="str">
        <f t="shared" si="69"/>
        <v>-</v>
      </c>
      <c r="S2505" s="234">
        <f t="shared" si="67"/>
        <v>0</v>
      </c>
      <c r="T2505" s="235">
        <f t="shared" si="67"/>
        <v>0</v>
      </c>
    </row>
    <row r="2506" spans="1:20" hidden="1" x14ac:dyDescent="0.35">
      <c r="A2506" s="3"/>
      <c r="B2506" s="165">
        <f t="shared" si="66"/>
        <v>45901</v>
      </c>
      <c r="C2506" s="57"/>
      <c r="D2506" s="3" t="s">
        <v>105</v>
      </c>
      <c r="E2506" s="18">
        <f t="shared" ref="E2506:K2538" si="70">SUMIFS(E$5:E$2214,$A$5:$A$2214,$D2506,$B$5:$B$2214,$B2506)</f>
        <v>53</v>
      </c>
      <c r="F2506" s="166">
        <f t="shared" si="70"/>
        <v>453</v>
      </c>
      <c r="G2506" s="166">
        <f t="shared" si="70"/>
        <v>382</v>
      </c>
      <c r="H2506" s="21">
        <f t="shared" si="70"/>
        <v>820</v>
      </c>
      <c r="I2506" s="21">
        <f t="shared" si="68"/>
        <v>126</v>
      </c>
      <c r="J2506" s="21">
        <f t="shared" si="68"/>
        <v>428</v>
      </c>
      <c r="K2506" s="21">
        <f t="shared" si="68"/>
        <v>87</v>
      </c>
      <c r="L2506" s="21">
        <f t="shared" si="68"/>
        <v>746</v>
      </c>
      <c r="M2506" s="21">
        <f t="shared" si="68"/>
        <v>247</v>
      </c>
      <c r="N2506" s="21">
        <f t="shared" si="68"/>
        <v>455</v>
      </c>
      <c r="O2506" s="19">
        <f t="shared" si="68"/>
        <v>792</v>
      </c>
      <c r="P2506" s="22">
        <f t="shared" si="68"/>
        <v>37</v>
      </c>
      <c r="Q2506" s="22">
        <f t="shared" si="68"/>
        <v>15</v>
      </c>
      <c r="R2506" s="236" t="str">
        <f t="shared" si="69"/>
        <v>-</v>
      </c>
      <c r="S2506" s="234">
        <f t="shared" ref="S2506:T2525" si="71">SUMIFS(S$5:S$2214,$B$5:$B$2214,$B2506,$A$5:$A$2214,$D2506)</f>
        <v>0</v>
      </c>
      <c r="T2506" s="235">
        <f t="shared" si="71"/>
        <v>0</v>
      </c>
    </row>
    <row r="2507" spans="1:20" hidden="1" x14ac:dyDescent="0.35">
      <c r="A2507" s="3"/>
      <c r="B2507" s="165">
        <f t="shared" si="66"/>
        <v>45901</v>
      </c>
      <c r="C2507" s="57"/>
      <c r="D2507" s="3" t="s">
        <v>106</v>
      </c>
      <c r="E2507" s="18">
        <f t="shared" si="70"/>
        <v>159</v>
      </c>
      <c r="F2507" s="166">
        <f t="shared" si="70"/>
        <v>1193</v>
      </c>
      <c r="G2507" s="166">
        <f t="shared" si="70"/>
        <v>1153</v>
      </c>
      <c r="H2507" s="21">
        <f t="shared" si="70"/>
        <v>2480</v>
      </c>
      <c r="I2507" s="21">
        <f t="shared" si="68"/>
        <v>313</v>
      </c>
      <c r="J2507" s="21">
        <f t="shared" si="68"/>
        <v>1472</v>
      </c>
      <c r="K2507" s="21">
        <f t="shared" si="68"/>
        <v>278</v>
      </c>
      <c r="L2507" s="21">
        <f t="shared" si="68"/>
        <v>2120</v>
      </c>
      <c r="M2507" s="21">
        <f t="shared" si="68"/>
        <v>629</v>
      </c>
      <c r="N2507" s="21">
        <f t="shared" si="68"/>
        <v>1219</v>
      </c>
      <c r="O2507" s="19">
        <f t="shared" si="68"/>
        <v>2200</v>
      </c>
      <c r="P2507" s="22">
        <f t="shared" si="68"/>
        <v>150</v>
      </c>
      <c r="Q2507" s="22">
        <f t="shared" si="68"/>
        <v>103</v>
      </c>
      <c r="R2507" s="236" t="str">
        <f t="shared" si="69"/>
        <v>-</v>
      </c>
      <c r="S2507" s="234">
        <f t="shared" si="71"/>
        <v>0</v>
      </c>
      <c r="T2507" s="235">
        <f t="shared" si="71"/>
        <v>0</v>
      </c>
    </row>
    <row r="2508" spans="1:20" hidden="1" x14ac:dyDescent="0.35">
      <c r="A2508" s="3"/>
      <c r="B2508" s="165">
        <f t="shared" si="66"/>
        <v>45901</v>
      </c>
      <c r="C2508" s="57"/>
      <c r="D2508" s="3" t="s">
        <v>107</v>
      </c>
      <c r="E2508" s="18">
        <f t="shared" si="70"/>
        <v>196</v>
      </c>
      <c r="F2508" s="166">
        <f t="shared" si="70"/>
        <v>1137</v>
      </c>
      <c r="G2508" s="166">
        <f t="shared" si="70"/>
        <v>984</v>
      </c>
      <c r="H2508" s="21">
        <f t="shared" si="70"/>
        <v>1846</v>
      </c>
      <c r="I2508" s="21">
        <f t="shared" si="68"/>
        <v>295</v>
      </c>
      <c r="J2508" s="21">
        <f t="shared" si="68"/>
        <v>943</v>
      </c>
      <c r="K2508" s="21">
        <f t="shared" si="68"/>
        <v>257</v>
      </c>
      <c r="L2508" s="21">
        <f t="shared" si="68"/>
        <v>1829</v>
      </c>
      <c r="M2508" s="21">
        <f t="shared" si="68"/>
        <v>787</v>
      </c>
      <c r="N2508" s="21">
        <f t="shared" si="68"/>
        <v>1144</v>
      </c>
      <c r="O2508" s="19">
        <f t="shared" si="68"/>
        <v>1705</v>
      </c>
      <c r="P2508" s="22">
        <f t="shared" si="68"/>
        <v>171</v>
      </c>
      <c r="Q2508" s="22">
        <f t="shared" si="68"/>
        <v>107</v>
      </c>
      <c r="R2508" s="236" t="str">
        <f t="shared" si="69"/>
        <v>-</v>
      </c>
      <c r="S2508" s="234">
        <f t="shared" si="71"/>
        <v>0</v>
      </c>
      <c r="T2508" s="235">
        <f t="shared" si="71"/>
        <v>0</v>
      </c>
    </row>
    <row r="2509" spans="1:20" hidden="1" x14ac:dyDescent="0.35">
      <c r="A2509" s="3"/>
      <c r="B2509" s="165">
        <f t="shared" si="66"/>
        <v>45901</v>
      </c>
      <c r="C2509" s="57"/>
      <c r="D2509" s="3" t="s">
        <v>108</v>
      </c>
      <c r="E2509" s="18">
        <f t="shared" si="70"/>
        <v>215</v>
      </c>
      <c r="F2509" s="166">
        <f t="shared" si="70"/>
        <v>1367</v>
      </c>
      <c r="G2509" s="166">
        <f t="shared" si="70"/>
        <v>1148</v>
      </c>
      <c r="H2509" s="21">
        <f t="shared" si="70"/>
        <v>2704</v>
      </c>
      <c r="I2509" s="21">
        <f t="shared" si="68"/>
        <v>380</v>
      </c>
      <c r="J2509" s="21">
        <f t="shared" si="68"/>
        <v>1408</v>
      </c>
      <c r="K2509" s="21">
        <f t="shared" si="68"/>
        <v>301</v>
      </c>
      <c r="L2509" s="21">
        <f t="shared" si="68"/>
        <v>2214</v>
      </c>
      <c r="M2509" s="21">
        <f t="shared" si="68"/>
        <v>754</v>
      </c>
      <c r="N2509" s="21">
        <f t="shared" si="68"/>
        <v>1410</v>
      </c>
      <c r="O2509" s="19">
        <f t="shared" si="68"/>
        <v>2398</v>
      </c>
      <c r="P2509" s="22">
        <f t="shared" si="68"/>
        <v>136</v>
      </c>
      <c r="Q2509" s="22">
        <f t="shared" si="68"/>
        <v>98</v>
      </c>
      <c r="R2509" s="236" t="str">
        <f t="shared" si="69"/>
        <v>-</v>
      </c>
      <c r="S2509" s="234">
        <f t="shared" si="71"/>
        <v>0</v>
      </c>
      <c r="T2509" s="235">
        <f t="shared" si="71"/>
        <v>0</v>
      </c>
    </row>
    <row r="2510" spans="1:20" hidden="1" x14ac:dyDescent="0.35">
      <c r="A2510" s="3"/>
      <c r="B2510" s="165">
        <f t="shared" si="66"/>
        <v>45901</v>
      </c>
      <c r="C2510" s="57"/>
      <c r="D2510" s="3" t="s">
        <v>109</v>
      </c>
      <c r="E2510" s="18">
        <f t="shared" si="70"/>
        <v>267</v>
      </c>
      <c r="F2510" s="166">
        <f t="shared" si="70"/>
        <v>1924</v>
      </c>
      <c r="G2510" s="166">
        <f t="shared" si="70"/>
        <v>1728</v>
      </c>
      <c r="H2510" s="21">
        <f t="shared" si="70"/>
        <v>4517</v>
      </c>
      <c r="I2510" s="21">
        <f t="shared" si="68"/>
        <v>541</v>
      </c>
      <c r="J2510" s="21">
        <f t="shared" si="68"/>
        <v>1943</v>
      </c>
      <c r="K2510" s="21">
        <f t="shared" si="68"/>
        <v>367</v>
      </c>
      <c r="L2510" s="21">
        <f t="shared" si="68"/>
        <v>3187</v>
      </c>
      <c r="M2510" s="21">
        <f t="shared" si="68"/>
        <v>1019</v>
      </c>
      <c r="N2510" s="21">
        <f t="shared" si="68"/>
        <v>2087</v>
      </c>
      <c r="O2510" s="19">
        <f t="shared" si="68"/>
        <v>3366</v>
      </c>
      <c r="P2510" s="22">
        <f t="shared" si="68"/>
        <v>84</v>
      </c>
      <c r="Q2510" s="22">
        <f t="shared" si="68"/>
        <v>59</v>
      </c>
      <c r="R2510" s="236" t="str">
        <f t="shared" si="69"/>
        <v>-</v>
      </c>
      <c r="S2510" s="234">
        <f t="shared" si="71"/>
        <v>0</v>
      </c>
      <c r="T2510" s="235">
        <f t="shared" si="71"/>
        <v>0</v>
      </c>
    </row>
    <row r="2511" spans="1:20" hidden="1" x14ac:dyDescent="0.35">
      <c r="A2511" s="3"/>
      <c r="B2511" s="165">
        <f t="shared" si="66"/>
        <v>45901</v>
      </c>
      <c r="C2511" s="57"/>
      <c r="D2511" s="3" t="s">
        <v>110</v>
      </c>
      <c r="E2511" s="18">
        <f t="shared" si="70"/>
        <v>25</v>
      </c>
      <c r="F2511" s="166">
        <f t="shared" si="70"/>
        <v>216</v>
      </c>
      <c r="G2511" s="166">
        <f t="shared" si="70"/>
        <v>221</v>
      </c>
      <c r="H2511" s="21">
        <f t="shared" si="70"/>
        <v>347</v>
      </c>
      <c r="I2511" s="21">
        <f t="shared" si="68"/>
        <v>55</v>
      </c>
      <c r="J2511" s="21">
        <f t="shared" si="68"/>
        <v>152</v>
      </c>
      <c r="K2511" s="21">
        <f t="shared" si="68"/>
        <v>31</v>
      </c>
      <c r="L2511" s="21">
        <f t="shared" si="68"/>
        <v>229</v>
      </c>
      <c r="M2511" s="21">
        <f t="shared" si="68"/>
        <v>90</v>
      </c>
      <c r="N2511" s="21">
        <f t="shared" si="68"/>
        <v>216</v>
      </c>
      <c r="O2511" s="19">
        <f t="shared" si="68"/>
        <v>308</v>
      </c>
      <c r="P2511" s="22">
        <f t="shared" si="68"/>
        <v>6</v>
      </c>
      <c r="Q2511" s="22">
        <f t="shared" si="68"/>
        <v>6</v>
      </c>
      <c r="R2511" s="236" t="str">
        <f t="shared" si="69"/>
        <v>-</v>
      </c>
      <c r="S2511" s="234">
        <f t="shared" si="71"/>
        <v>0</v>
      </c>
      <c r="T2511" s="235">
        <f t="shared" si="71"/>
        <v>0</v>
      </c>
    </row>
    <row r="2512" spans="1:20" hidden="1" x14ac:dyDescent="0.35">
      <c r="A2512" s="3"/>
      <c r="B2512" s="165">
        <f>DATE(YEAR(B2511+31),MONTH(B2511+31),1)</f>
        <v>45931</v>
      </c>
      <c r="C2512" s="57"/>
      <c r="D2512" s="3" t="s">
        <v>16</v>
      </c>
      <c r="E2512" s="18">
        <f t="shared" si="70"/>
        <v>320</v>
      </c>
      <c r="F2512" s="166">
        <f t="shared" si="70"/>
        <v>2016</v>
      </c>
      <c r="G2512" s="166">
        <f t="shared" si="70"/>
        <v>2035</v>
      </c>
      <c r="H2512" s="21">
        <f t="shared" si="70"/>
        <v>3682</v>
      </c>
      <c r="I2512" s="21">
        <f t="shared" si="68"/>
        <v>502</v>
      </c>
      <c r="J2512" s="21">
        <f t="shared" si="68"/>
        <v>1483</v>
      </c>
      <c r="K2512" s="21">
        <f t="shared" si="68"/>
        <v>293</v>
      </c>
      <c r="L2512" s="21">
        <f t="shared" si="68"/>
        <v>3214</v>
      </c>
      <c r="M2512" s="21">
        <f t="shared" si="68"/>
        <v>1283</v>
      </c>
      <c r="N2512" s="21">
        <f t="shared" si="68"/>
        <v>2080</v>
      </c>
      <c r="O2512" s="19">
        <f t="shared" si="68"/>
        <v>3806</v>
      </c>
      <c r="P2512" s="22">
        <f t="shared" si="68"/>
        <v>151</v>
      </c>
      <c r="Q2512" s="22">
        <f t="shared" si="68"/>
        <v>96</v>
      </c>
      <c r="R2512" s="236" t="str">
        <f t="shared" si="69"/>
        <v>-</v>
      </c>
      <c r="S2512" s="234">
        <f t="shared" si="71"/>
        <v>0</v>
      </c>
      <c r="T2512" s="235">
        <f t="shared" si="71"/>
        <v>0</v>
      </c>
    </row>
    <row r="2513" spans="1:20" hidden="1" x14ac:dyDescent="0.35">
      <c r="A2513" s="3"/>
      <c r="B2513" s="165">
        <f t="shared" ref="B2513:B2538" si="72">B2512</f>
        <v>45931</v>
      </c>
      <c r="C2513" s="57"/>
      <c r="D2513" s="3" t="s">
        <v>104</v>
      </c>
      <c r="E2513" s="18">
        <f t="shared" si="70"/>
        <v>35</v>
      </c>
      <c r="F2513" s="166">
        <f t="shared" si="70"/>
        <v>601</v>
      </c>
      <c r="G2513" s="166">
        <f t="shared" si="70"/>
        <v>575</v>
      </c>
      <c r="H2513" s="21">
        <f t="shared" si="70"/>
        <v>779</v>
      </c>
      <c r="I2513" s="21">
        <f t="shared" si="68"/>
        <v>151</v>
      </c>
      <c r="J2513" s="21">
        <f t="shared" si="68"/>
        <v>384</v>
      </c>
      <c r="K2513" s="21">
        <f t="shared" si="68"/>
        <v>103</v>
      </c>
      <c r="L2513" s="21">
        <f t="shared" si="68"/>
        <v>587</v>
      </c>
      <c r="M2513" s="21">
        <f t="shared" si="68"/>
        <v>256</v>
      </c>
      <c r="N2513" s="21">
        <f t="shared" si="68"/>
        <v>612</v>
      </c>
      <c r="O2513" s="19">
        <f t="shared" si="68"/>
        <v>814</v>
      </c>
      <c r="P2513" s="22">
        <f t="shared" si="68"/>
        <v>83</v>
      </c>
      <c r="Q2513" s="22">
        <f t="shared" si="68"/>
        <v>57</v>
      </c>
      <c r="R2513" s="236" t="str">
        <f t="shared" si="69"/>
        <v>-</v>
      </c>
      <c r="S2513" s="234">
        <f t="shared" si="71"/>
        <v>0</v>
      </c>
      <c r="T2513" s="235">
        <f t="shared" si="71"/>
        <v>0</v>
      </c>
    </row>
    <row r="2514" spans="1:20" hidden="1" x14ac:dyDescent="0.35">
      <c r="A2514" s="3"/>
      <c r="B2514" s="165">
        <f t="shared" si="72"/>
        <v>45931</v>
      </c>
      <c r="C2514" s="57"/>
      <c r="D2514" s="3" t="s">
        <v>105</v>
      </c>
      <c r="E2514" s="18">
        <f t="shared" si="70"/>
        <v>76</v>
      </c>
      <c r="F2514" s="166">
        <f t="shared" si="70"/>
        <v>469</v>
      </c>
      <c r="G2514" s="166">
        <f t="shared" si="70"/>
        <v>462</v>
      </c>
      <c r="H2514" s="21">
        <f t="shared" si="70"/>
        <v>818</v>
      </c>
      <c r="I2514" s="21">
        <f t="shared" si="68"/>
        <v>149</v>
      </c>
      <c r="J2514" s="21">
        <f t="shared" si="68"/>
        <v>395</v>
      </c>
      <c r="K2514" s="21">
        <f t="shared" si="68"/>
        <v>88</v>
      </c>
      <c r="L2514" s="21">
        <f t="shared" si="68"/>
        <v>763</v>
      </c>
      <c r="M2514" s="21">
        <f t="shared" si="68"/>
        <v>261</v>
      </c>
      <c r="N2514" s="21">
        <f t="shared" si="68"/>
        <v>472</v>
      </c>
      <c r="O2514" s="19">
        <f t="shared" si="68"/>
        <v>792</v>
      </c>
      <c r="P2514" s="22">
        <f t="shared" si="68"/>
        <v>50</v>
      </c>
      <c r="Q2514" s="22">
        <f t="shared" si="68"/>
        <v>27</v>
      </c>
      <c r="R2514" s="236" t="str">
        <f t="shared" si="69"/>
        <v>-</v>
      </c>
      <c r="S2514" s="234">
        <f t="shared" si="71"/>
        <v>0</v>
      </c>
      <c r="T2514" s="235">
        <f t="shared" si="71"/>
        <v>0</v>
      </c>
    </row>
    <row r="2515" spans="1:20" hidden="1" x14ac:dyDescent="0.35">
      <c r="A2515" s="3"/>
      <c r="B2515" s="165">
        <f t="shared" si="72"/>
        <v>45931</v>
      </c>
      <c r="C2515" s="57"/>
      <c r="D2515" s="3" t="s">
        <v>105</v>
      </c>
      <c r="E2515" s="18">
        <f t="shared" si="70"/>
        <v>76</v>
      </c>
      <c r="F2515" s="166">
        <f t="shared" si="70"/>
        <v>469</v>
      </c>
      <c r="G2515" s="166">
        <f t="shared" si="70"/>
        <v>462</v>
      </c>
      <c r="H2515" s="21">
        <f t="shared" si="70"/>
        <v>818</v>
      </c>
      <c r="I2515" s="21">
        <f t="shared" si="68"/>
        <v>149</v>
      </c>
      <c r="J2515" s="21">
        <f t="shared" si="68"/>
        <v>395</v>
      </c>
      <c r="K2515" s="21">
        <f t="shared" si="68"/>
        <v>88</v>
      </c>
      <c r="L2515" s="21">
        <f t="shared" si="68"/>
        <v>763</v>
      </c>
      <c r="M2515" s="21">
        <f t="shared" si="68"/>
        <v>261</v>
      </c>
      <c r="N2515" s="21">
        <f t="shared" si="68"/>
        <v>472</v>
      </c>
      <c r="O2515" s="19">
        <f t="shared" si="68"/>
        <v>792</v>
      </c>
      <c r="P2515" s="22">
        <f t="shared" si="68"/>
        <v>50</v>
      </c>
      <c r="Q2515" s="22">
        <f t="shared" si="68"/>
        <v>27</v>
      </c>
      <c r="R2515" s="236" t="str">
        <f t="shared" si="69"/>
        <v>-</v>
      </c>
      <c r="S2515" s="234">
        <f t="shared" si="71"/>
        <v>0</v>
      </c>
      <c r="T2515" s="235">
        <f t="shared" si="71"/>
        <v>0</v>
      </c>
    </row>
    <row r="2516" spans="1:20" hidden="1" x14ac:dyDescent="0.35">
      <c r="A2516" s="3"/>
      <c r="B2516" s="165">
        <f t="shared" si="72"/>
        <v>45931</v>
      </c>
      <c r="C2516" s="57"/>
      <c r="D2516" s="3" t="s">
        <v>106</v>
      </c>
      <c r="E2516" s="18">
        <f t="shared" si="70"/>
        <v>181</v>
      </c>
      <c r="F2516" s="166">
        <f t="shared" si="70"/>
        <v>1034</v>
      </c>
      <c r="G2516" s="166">
        <f t="shared" si="70"/>
        <v>1124</v>
      </c>
      <c r="H2516" s="21">
        <f t="shared" si="70"/>
        <v>2079</v>
      </c>
      <c r="I2516" s="21">
        <f t="shared" si="68"/>
        <v>253</v>
      </c>
      <c r="J2516" s="21">
        <f t="shared" si="68"/>
        <v>1035</v>
      </c>
      <c r="K2516" s="21">
        <f t="shared" si="68"/>
        <v>162</v>
      </c>
      <c r="L2516" s="21">
        <f t="shared" si="68"/>
        <v>1429</v>
      </c>
      <c r="M2516" s="21">
        <f t="shared" si="68"/>
        <v>412</v>
      </c>
      <c r="N2516" s="21">
        <f t="shared" si="68"/>
        <v>1045</v>
      </c>
      <c r="O2516" s="19">
        <f t="shared" si="68"/>
        <v>2134</v>
      </c>
      <c r="P2516" s="22">
        <f t="shared" si="68"/>
        <v>167</v>
      </c>
      <c r="Q2516" s="22">
        <f t="shared" si="68"/>
        <v>117</v>
      </c>
      <c r="R2516" s="236" t="str">
        <f t="shared" si="69"/>
        <v>-</v>
      </c>
      <c r="S2516" s="234">
        <f t="shared" si="71"/>
        <v>0</v>
      </c>
      <c r="T2516" s="235">
        <f t="shared" si="71"/>
        <v>0</v>
      </c>
    </row>
    <row r="2517" spans="1:20" hidden="1" x14ac:dyDescent="0.35">
      <c r="A2517" s="3"/>
      <c r="B2517" s="165">
        <f t="shared" si="72"/>
        <v>45931</v>
      </c>
      <c r="C2517" s="57"/>
      <c r="D2517" s="3" t="s">
        <v>107</v>
      </c>
      <c r="E2517" s="18">
        <f t="shared" si="70"/>
        <v>157</v>
      </c>
      <c r="F2517" s="166">
        <f t="shared" si="70"/>
        <v>941</v>
      </c>
      <c r="G2517" s="166">
        <f t="shared" si="70"/>
        <v>1120</v>
      </c>
      <c r="H2517" s="21">
        <f t="shared" si="70"/>
        <v>1664</v>
      </c>
      <c r="I2517" s="21">
        <f t="shared" si="68"/>
        <v>255</v>
      </c>
      <c r="J2517" s="21">
        <f t="shared" si="68"/>
        <v>835</v>
      </c>
      <c r="K2517" s="21">
        <f t="shared" si="68"/>
        <v>199</v>
      </c>
      <c r="L2517" s="21">
        <f t="shared" si="68"/>
        <v>1407</v>
      </c>
      <c r="M2517" s="21">
        <f t="shared" si="68"/>
        <v>602</v>
      </c>
      <c r="N2517" s="21">
        <f t="shared" si="68"/>
        <v>951</v>
      </c>
      <c r="O2517" s="19">
        <f t="shared" si="68"/>
        <v>1738</v>
      </c>
      <c r="P2517" s="22">
        <f t="shared" si="68"/>
        <v>199</v>
      </c>
      <c r="Q2517" s="22">
        <f t="shared" si="68"/>
        <v>129</v>
      </c>
      <c r="R2517" s="236" t="str">
        <f t="shared" si="69"/>
        <v>-</v>
      </c>
      <c r="S2517" s="234">
        <f t="shared" si="71"/>
        <v>0</v>
      </c>
      <c r="T2517" s="235">
        <f t="shared" si="71"/>
        <v>0</v>
      </c>
    </row>
    <row r="2518" spans="1:20" hidden="1" x14ac:dyDescent="0.35">
      <c r="A2518" s="3"/>
      <c r="B2518" s="165">
        <f t="shared" si="72"/>
        <v>45931</v>
      </c>
      <c r="C2518" s="57"/>
      <c r="D2518" s="3" t="s">
        <v>108</v>
      </c>
      <c r="E2518" s="18">
        <f t="shared" si="70"/>
        <v>216</v>
      </c>
      <c r="F2518" s="166">
        <f t="shared" si="70"/>
        <v>1295</v>
      </c>
      <c r="G2518" s="166">
        <f t="shared" si="70"/>
        <v>1226</v>
      </c>
      <c r="H2518" s="21">
        <f t="shared" si="70"/>
        <v>2561</v>
      </c>
      <c r="I2518" s="21">
        <f t="shared" si="68"/>
        <v>394</v>
      </c>
      <c r="J2518" s="21">
        <f t="shared" si="68"/>
        <v>1124</v>
      </c>
      <c r="K2518" s="21">
        <f t="shared" si="68"/>
        <v>234</v>
      </c>
      <c r="L2518" s="21">
        <f t="shared" si="68"/>
        <v>2102</v>
      </c>
      <c r="M2518" s="21">
        <f t="shared" si="68"/>
        <v>774</v>
      </c>
      <c r="N2518" s="21">
        <f t="shared" si="68"/>
        <v>1309</v>
      </c>
      <c r="O2518" s="19">
        <f t="shared" si="68"/>
        <v>2420</v>
      </c>
      <c r="P2518" s="22">
        <f t="shared" si="68"/>
        <v>153</v>
      </c>
      <c r="Q2518" s="22">
        <f t="shared" si="68"/>
        <v>109</v>
      </c>
      <c r="R2518" s="236" t="str">
        <f t="shared" si="69"/>
        <v>-</v>
      </c>
      <c r="S2518" s="234">
        <f t="shared" si="71"/>
        <v>0</v>
      </c>
      <c r="T2518" s="235">
        <f t="shared" si="71"/>
        <v>0</v>
      </c>
    </row>
    <row r="2519" spans="1:20" hidden="1" x14ac:dyDescent="0.35">
      <c r="A2519" s="3"/>
      <c r="B2519" s="165">
        <f t="shared" si="72"/>
        <v>45931</v>
      </c>
      <c r="C2519" s="57"/>
      <c r="D2519" s="3" t="s">
        <v>109</v>
      </c>
      <c r="E2519" s="18">
        <f t="shared" si="70"/>
        <v>254</v>
      </c>
      <c r="F2519" s="166">
        <f t="shared" si="70"/>
        <v>1989</v>
      </c>
      <c r="G2519" s="166">
        <f t="shared" si="70"/>
        <v>1844</v>
      </c>
      <c r="H2519" s="21">
        <f t="shared" si="70"/>
        <v>4493</v>
      </c>
      <c r="I2519" s="21">
        <f t="shared" si="68"/>
        <v>569</v>
      </c>
      <c r="J2519" s="21">
        <f t="shared" si="68"/>
        <v>1894</v>
      </c>
      <c r="K2519" s="21">
        <f t="shared" si="68"/>
        <v>351</v>
      </c>
      <c r="L2519" s="21">
        <f t="shared" si="68"/>
        <v>3249</v>
      </c>
      <c r="M2519" s="21">
        <f t="shared" si="68"/>
        <v>1043</v>
      </c>
      <c r="N2519" s="21">
        <f t="shared" si="68"/>
        <v>2128</v>
      </c>
      <c r="O2519" s="19">
        <f t="shared" si="68"/>
        <v>3410</v>
      </c>
      <c r="P2519" s="22">
        <f t="shared" si="68"/>
        <v>83</v>
      </c>
      <c r="Q2519" s="22">
        <f t="shared" si="68"/>
        <v>58</v>
      </c>
      <c r="R2519" s="236" t="str">
        <f t="shared" si="69"/>
        <v>-</v>
      </c>
      <c r="S2519" s="234">
        <f t="shared" si="71"/>
        <v>0</v>
      </c>
      <c r="T2519" s="235">
        <f t="shared" si="71"/>
        <v>0</v>
      </c>
    </row>
    <row r="2520" spans="1:20" hidden="1" x14ac:dyDescent="0.35">
      <c r="A2520" s="3"/>
      <c r="B2520" s="165">
        <f t="shared" si="72"/>
        <v>45931</v>
      </c>
      <c r="C2520" s="57"/>
      <c r="D2520" s="3" t="s">
        <v>110</v>
      </c>
      <c r="E2520" s="18">
        <f t="shared" si="70"/>
        <v>25</v>
      </c>
      <c r="F2520" s="166">
        <f t="shared" si="70"/>
        <v>274</v>
      </c>
      <c r="G2520" s="166">
        <f t="shared" si="70"/>
        <v>227</v>
      </c>
      <c r="H2520" s="21">
        <f t="shared" si="70"/>
        <v>376</v>
      </c>
      <c r="I2520" s="21">
        <f t="shared" si="68"/>
        <v>66</v>
      </c>
      <c r="J2520" s="21">
        <f t="shared" si="68"/>
        <v>194</v>
      </c>
      <c r="K2520" s="21">
        <f t="shared" si="68"/>
        <v>39</v>
      </c>
      <c r="L2520" s="21">
        <f t="shared" si="68"/>
        <v>271</v>
      </c>
      <c r="M2520" s="21">
        <f t="shared" si="68"/>
        <v>120</v>
      </c>
      <c r="N2520" s="21">
        <f t="shared" si="68"/>
        <v>283</v>
      </c>
      <c r="O2520" s="19">
        <f t="shared" si="68"/>
        <v>308</v>
      </c>
      <c r="P2520" s="22">
        <f t="shared" si="68"/>
        <v>12</v>
      </c>
      <c r="Q2520" s="22">
        <f t="shared" si="68"/>
        <v>8</v>
      </c>
      <c r="R2520" s="236" t="str">
        <f t="shared" si="69"/>
        <v>-</v>
      </c>
      <c r="S2520" s="234">
        <f t="shared" si="71"/>
        <v>0</v>
      </c>
      <c r="T2520" s="235">
        <f t="shared" si="71"/>
        <v>0</v>
      </c>
    </row>
    <row r="2521" spans="1:20" hidden="1" x14ac:dyDescent="0.35">
      <c r="A2521" s="3"/>
      <c r="B2521" s="165">
        <f>DATE(YEAR(B2520+31),MONTH(B2520+31),1)</f>
        <v>45962</v>
      </c>
      <c r="C2521" s="57"/>
      <c r="D2521" s="3" t="s">
        <v>16</v>
      </c>
      <c r="E2521" s="18">
        <f t="shared" si="70"/>
        <v>359</v>
      </c>
      <c r="F2521" s="166">
        <f t="shared" si="70"/>
        <v>1967</v>
      </c>
      <c r="G2521" s="166">
        <f t="shared" si="70"/>
        <v>2193</v>
      </c>
      <c r="H2521" s="21">
        <f t="shared" si="70"/>
        <v>3492</v>
      </c>
      <c r="I2521" s="21">
        <f t="shared" si="68"/>
        <v>519</v>
      </c>
      <c r="J2521" s="21">
        <f t="shared" si="68"/>
        <v>1249</v>
      </c>
      <c r="K2521" s="21">
        <f t="shared" si="68"/>
        <v>277</v>
      </c>
      <c r="L2521" s="21">
        <f t="shared" si="68"/>
        <v>3264</v>
      </c>
      <c r="M2521" s="21">
        <f t="shared" si="68"/>
        <v>1310</v>
      </c>
      <c r="N2521" s="21">
        <f t="shared" si="68"/>
        <v>2000</v>
      </c>
      <c r="O2521" s="19">
        <f t="shared" si="68"/>
        <v>3894</v>
      </c>
      <c r="P2521" s="22">
        <f t="shared" si="68"/>
        <v>148</v>
      </c>
      <c r="Q2521" s="22">
        <f t="shared" si="68"/>
        <v>77</v>
      </c>
      <c r="R2521" s="236" t="str">
        <f t="shared" si="69"/>
        <v>-</v>
      </c>
      <c r="S2521" s="234">
        <f t="shared" si="71"/>
        <v>0</v>
      </c>
      <c r="T2521" s="235">
        <f t="shared" si="71"/>
        <v>0</v>
      </c>
    </row>
    <row r="2522" spans="1:20" hidden="1" x14ac:dyDescent="0.35">
      <c r="A2522" s="3"/>
      <c r="B2522" s="165">
        <f t="shared" si="72"/>
        <v>45962</v>
      </c>
      <c r="C2522" s="57"/>
      <c r="D2522" s="3" t="s">
        <v>104</v>
      </c>
      <c r="E2522" s="18">
        <f t="shared" si="70"/>
        <v>39</v>
      </c>
      <c r="F2522" s="166">
        <f t="shared" si="70"/>
        <v>510</v>
      </c>
      <c r="G2522" s="166">
        <f t="shared" si="70"/>
        <v>546</v>
      </c>
      <c r="H2522" s="21">
        <f t="shared" si="70"/>
        <v>770</v>
      </c>
      <c r="I2522" s="21">
        <f t="shared" si="68"/>
        <v>142</v>
      </c>
      <c r="J2522" s="21">
        <f t="shared" si="68"/>
        <v>335</v>
      </c>
      <c r="K2522" s="21">
        <f t="shared" si="68"/>
        <v>92</v>
      </c>
      <c r="L2522" s="21">
        <f t="shared" si="68"/>
        <v>527</v>
      </c>
      <c r="M2522" s="21">
        <f t="shared" si="68"/>
        <v>228</v>
      </c>
      <c r="N2522" s="21">
        <f t="shared" si="68"/>
        <v>514</v>
      </c>
      <c r="O2522" s="19">
        <f t="shared" si="68"/>
        <v>814</v>
      </c>
      <c r="P2522" s="22">
        <f t="shared" si="68"/>
        <v>89</v>
      </c>
      <c r="Q2522" s="22">
        <f t="shared" si="68"/>
        <v>53</v>
      </c>
      <c r="R2522" s="236" t="str">
        <f t="shared" si="69"/>
        <v>-</v>
      </c>
      <c r="S2522" s="234">
        <f t="shared" si="71"/>
        <v>0</v>
      </c>
      <c r="T2522" s="235">
        <f t="shared" si="71"/>
        <v>0</v>
      </c>
    </row>
    <row r="2523" spans="1:20" hidden="1" x14ac:dyDescent="0.35">
      <c r="A2523" s="3"/>
      <c r="B2523" s="165">
        <f t="shared" si="72"/>
        <v>45962</v>
      </c>
      <c r="C2523" s="57"/>
      <c r="D2523" s="3" t="s">
        <v>105</v>
      </c>
      <c r="E2523" s="18">
        <f t="shared" si="70"/>
        <v>78</v>
      </c>
      <c r="F2523" s="166">
        <f t="shared" si="70"/>
        <v>453</v>
      </c>
      <c r="G2523" s="166">
        <f t="shared" si="70"/>
        <v>544</v>
      </c>
      <c r="H2523" s="21">
        <f t="shared" si="70"/>
        <v>803</v>
      </c>
      <c r="I2523" s="21">
        <f t="shared" si="68"/>
        <v>112</v>
      </c>
      <c r="J2523" s="21">
        <f t="shared" si="68"/>
        <v>370</v>
      </c>
      <c r="K2523" s="21">
        <f t="shared" si="68"/>
        <v>85</v>
      </c>
      <c r="L2523" s="21">
        <f t="shared" si="68"/>
        <v>907</v>
      </c>
      <c r="M2523" s="21">
        <f t="shared" si="68"/>
        <v>259</v>
      </c>
      <c r="N2523" s="21">
        <f t="shared" si="68"/>
        <v>455</v>
      </c>
      <c r="O2523" s="19">
        <f t="shared" si="68"/>
        <v>792</v>
      </c>
      <c r="P2523" s="22">
        <f t="shared" si="68"/>
        <v>47</v>
      </c>
      <c r="Q2523" s="22">
        <f t="shared" si="68"/>
        <v>14</v>
      </c>
      <c r="R2523" s="236" t="str">
        <f t="shared" si="69"/>
        <v>-</v>
      </c>
      <c r="S2523" s="234">
        <f t="shared" si="71"/>
        <v>0</v>
      </c>
      <c r="T2523" s="235">
        <f t="shared" si="71"/>
        <v>0</v>
      </c>
    </row>
    <row r="2524" spans="1:20" hidden="1" x14ac:dyDescent="0.35">
      <c r="A2524" s="3"/>
      <c r="B2524" s="165">
        <f t="shared" si="72"/>
        <v>45962</v>
      </c>
      <c r="C2524" s="57"/>
      <c r="D2524" s="3" t="s">
        <v>105</v>
      </c>
      <c r="E2524" s="18">
        <f t="shared" si="70"/>
        <v>78</v>
      </c>
      <c r="F2524" s="166">
        <f t="shared" si="70"/>
        <v>453</v>
      </c>
      <c r="G2524" s="166">
        <f t="shared" si="70"/>
        <v>544</v>
      </c>
      <c r="H2524" s="21">
        <f t="shared" si="70"/>
        <v>803</v>
      </c>
      <c r="I2524" s="21">
        <f t="shared" si="68"/>
        <v>112</v>
      </c>
      <c r="J2524" s="21">
        <f t="shared" si="68"/>
        <v>370</v>
      </c>
      <c r="K2524" s="21">
        <f t="shared" si="68"/>
        <v>85</v>
      </c>
      <c r="L2524" s="21">
        <f t="shared" ref="L2524:Q2538" si="73">SUMIFS(L$5:L$2214,$A$5:$A$2214,$D2524,$B$5:$B$2214,$B2524)</f>
        <v>907</v>
      </c>
      <c r="M2524" s="21">
        <f t="shared" si="73"/>
        <v>259</v>
      </c>
      <c r="N2524" s="21">
        <f t="shared" si="73"/>
        <v>455</v>
      </c>
      <c r="O2524" s="19">
        <f t="shared" si="73"/>
        <v>792</v>
      </c>
      <c r="P2524" s="22">
        <f t="shared" si="73"/>
        <v>47</v>
      </c>
      <c r="Q2524" s="22">
        <f t="shared" si="73"/>
        <v>14</v>
      </c>
      <c r="R2524" s="236" t="str">
        <f t="shared" si="69"/>
        <v>-</v>
      </c>
      <c r="S2524" s="234">
        <f t="shared" si="71"/>
        <v>0</v>
      </c>
      <c r="T2524" s="235">
        <f t="shared" si="71"/>
        <v>0</v>
      </c>
    </row>
    <row r="2525" spans="1:20" hidden="1" x14ac:dyDescent="0.35">
      <c r="A2525" s="3"/>
      <c r="B2525" s="165">
        <f t="shared" si="72"/>
        <v>45962</v>
      </c>
      <c r="C2525" s="57"/>
      <c r="D2525" s="3" t="s">
        <v>106</v>
      </c>
      <c r="E2525" s="18">
        <f t="shared" si="70"/>
        <v>178</v>
      </c>
      <c r="F2525" s="166">
        <f t="shared" si="70"/>
        <v>1145</v>
      </c>
      <c r="G2525" s="166">
        <f t="shared" si="70"/>
        <v>1341</v>
      </c>
      <c r="H2525" s="21">
        <f t="shared" si="70"/>
        <v>2147</v>
      </c>
      <c r="I2525" s="21">
        <f t="shared" si="70"/>
        <v>315</v>
      </c>
      <c r="J2525" s="21">
        <f t="shared" si="70"/>
        <v>1008</v>
      </c>
      <c r="K2525" s="21">
        <f t="shared" si="70"/>
        <v>212</v>
      </c>
      <c r="L2525" s="21">
        <f t="shared" si="73"/>
        <v>1962</v>
      </c>
      <c r="M2525" s="21">
        <f t="shared" si="73"/>
        <v>618</v>
      </c>
      <c r="N2525" s="21">
        <f t="shared" si="73"/>
        <v>1158</v>
      </c>
      <c r="O2525" s="19">
        <f t="shared" si="73"/>
        <v>2200</v>
      </c>
      <c r="P2525" s="22">
        <f t="shared" si="73"/>
        <v>172</v>
      </c>
      <c r="Q2525" s="22">
        <f t="shared" si="73"/>
        <v>113</v>
      </c>
      <c r="R2525" s="236" t="str">
        <f t="shared" si="69"/>
        <v>-</v>
      </c>
      <c r="S2525" s="234">
        <f t="shared" si="71"/>
        <v>0</v>
      </c>
      <c r="T2525" s="235">
        <f t="shared" si="71"/>
        <v>0</v>
      </c>
    </row>
    <row r="2526" spans="1:20" hidden="1" x14ac:dyDescent="0.35">
      <c r="A2526" s="3"/>
      <c r="B2526" s="165">
        <f t="shared" si="72"/>
        <v>45962</v>
      </c>
      <c r="C2526" s="57"/>
      <c r="D2526" s="3" t="s">
        <v>107</v>
      </c>
      <c r="E2526" s="18">
        <f t="shared" si="70"/>
        <v>210</v>
      </c>
      <c r="F2526" s="166">
        <f t="shared" si="70"/>
        <v>1110</v>
      </c>
      <c r="G2526" s="166">
        <f t="shared" si="70"/>
        <v>1252</v>
      </c>
      <c r="H2526" s="21">
        <f t="shared" si="70"/>
        <v>1814</v>
      </c>
      <c r="I2526" s="21">
        <f t="shared" si="70"/>
        <v>308</v>
      </c>
      <c r="J2526" s="21">
        <f t="shared" si="70"/>
        <v>766</v>
      </c>
      <c r="K2526" s="21">
        <f t="shared" si="70"/>
        <v>219</v>
      </c>
      <c r="L2526" s="21">
        <f t="shared" si="73"/>
        <v>1861</v>
      </c>
      <c r="M2526" s="21">
        <f t="shared" si="73"/>
        <v>828</v>
      </c>
      <c r="N2526" s="21">
        <f t="shared" si="73"/>
        <v>1115</v>
      </c>
      <c r="O2526" s="19">
        <f t="shared" si="73"/>
        <v>1716</v>
      </c>
      <c r="P2526" s="22">
        <f t="shared" si="73"/>
        <v>265</v>
      </c>
      <c r="Q2526" s="22">
        <f t="shared" si="73"/>
        <v>150</v>
      </c>
      <c r="R2526" s="236" t="str">
        <f t="shared" si="69"/>
        <v>-</v>
      </c>
      <c r="S2526" s="234">
        <f t="shared" ref="S2526:T2546" si="74">SUMIFS(S$5:S$2214,$B$5:$B$2214,$B2526,$A$5:$A$2214,$D2526)</f>
        <v>0</v>
      </c>
      <c r="T2526" s="235">
        <f t="shared" si="74"/>
        <v>0</v>
      </c>
    </row>
    <row r="2527" spans="1:20" hidden="1" x14ac:dyDescent="0.35">
      <c r="A2527" s="3"/>
      <c r="B2527" s="165">
        <f t="shared" si="72"/>
        <v>45962</v>
      </c>
      <c r="C2527" s="57"/>
      <c r="D2527" s="3" t="s">
        <v>108</v>
      </c>
      <c r="E2527" s="18">
        <f t="shared" si="70"/>
        <v>264</v>
      </c>
      <c r="F2527" s="166">
        <f t="shared" si="70"/>
        <v>1388</v>
      </c>
      <c r="G2527" s="166">
        <f t="shared" si="70"/>
        <v>1413</v>
      </c>
      <c r="H2527" s="21">
        <f t="shared" si="70"/>
        <v>2572</v>
      </c>
      <c r="I2527" s="21">
        <f t="shared" si="70"/>
        <v>367</v>
      </c>
      <c r="J2527" s="21">
        <f t="shared" si="70"/>
        <v>1104</v>
      </c>
      <c r="K2527" s="21">
        <f t="shared" si="70"/>
        <v>247</v>
      </c>
      <c r="L2527" s="21">
        <f t="shared" si="73"/>
        <v>2350</v>
      </c>
      <c r="M2527" s="21">
        <f t="shared" si="73"/>
        <v>847</v>
      </c>
      <c r="N2527" s="21">
        <f t="shared" si="73"/>
        <v>1406</v>
      </c>
      <c r="O2527" s="19">
        <f t="shared" si="73"/>
        <v>2464</v>
      </c>
      <c r="P2527" s="22">
        <f t="shared" si="73"/>
        <v>137</v>
      </c>
      <c r="Q2527" s="22">
        <f t="shared" si="73"/>
        <v>100</v>
      </c>
      <c r="R2527" s="236" t="str">
        <f t="shared" si="69"/>
        <v>-</v>
      </c>
      <c r="S2527" s="234">
        <f t="shared" si="74"/>
        <v>0</v>
      </c>
      <c r="T2527" s="235">
        <f t="shared" si="74"/>
        <v>0</v>
      </c>
    </row>
    <row r="2528" spans="1:20" hidden="1" x14ac:dyDescent="0.35">
      <c r="A2528" s="3"/>
      <c r="B2528" s="165">
        <f t="shared" si="72"/>
        <v>45962</v>
      </c>
      <c r="C2528" s="57"/>
      <c r="D2528" s="3" t="s">
        <v>109</v>
      </c>
      <c r="E2528" s="18">
        <f t="shared" si="70"/>
        <v>246</v>
      </c>
      <c r="F2528" s="166">
        <f t="shared" si="70"/>
        <v>2085</v>
      </c>
      <c r="G2528" s="166">
        <f t="shared" si="70"/>
        <v>2006</v>
      </c>
      <c r="H2528" s="21">
        <f t="shared" si="70"/>
        <v>4694</v>
      </c>
      <c r="I2528" s="21">
        <f t="shared" si="70"/>
        <v>586</v>
      </c>
      <c r="J2528" s="21">
        <f t="shared" si="70"/>
        <v>1774</v>
      </c>
      <c r="K2528" s="21">
        <f t="shared" si="70"/>
        <v>362</v>
      </c>
      <c r="L2528" s="21">
        <f t="shared" si="73"/>
        <v>3371</v>
      </c>
      <c r="M2528" s="21">
        <f t="shared" si="73"/>
        <v>1075</v>
      </c>
      <c r="N2528" s="21">
        <f t="shared" si="73"/>
        <v>2110</v>
      </c>
      <c r="O2528" s="19">
        <f t="shared" si="73"/>
        <v>3520</v>
      </c>
      <c r="P2528" s="22">
        <f t="shared" si="73"/>
        <v>92</v>
      </c>
      <c r="Q2528" s="22">
        <f t="shared" si="73"/>
        <v>59</v>
      </c>
      <c r="R2528" s="236" t="str">
        <f t="shared" si="69"/>
        <v>-</v>
      </c>
      <c r="S2528" s="234">
        <f t="shared" si="74"/>
        <v>0</v>
      </c>
      <c r="T2528" s="235">
        <f t="shared" si="74"/>
        <v>0</v>
      </c>
    </row>
    <row r="2529" spans="1:20" hidden="1" x14ac:dyDescent="0.35">
      <c r="A2529" s="3"/>
      <c r="B2529" s="165">
        <f t="shared" si="72"/>
        <v>45962</v>
      </c>
      <c r="C2529" s="57"/>
      <c r="D2529" s="3" t="s">
        <v>110</v>
      </c>
      <c r="E2529" s="18">
        <f t="shared" si="70"/>
        <v>38</v>
      </c>
      <c r="F2529" s="166">
        <f t="shared" si="70"/>
        <v>218</v>
      </c>
      <c r="G2529" s="166">
        <f t="shared" si="70"/>
        <v>233</v>
      </c>
      <c r="H2529" s="21">
        <f t="shared" si="70"/>
        <v>289</v>
      </c>
      <c r="I2529" s="21">
        <f t="shared" si="70"/>
        <v>42</v>
      </c>
      <c r="J2529" s="21">
        <f t="shared" si="70"/>
        <v>149</v>
      </c>
      <c r="K2529" s="21">
        <f t="shared" si="70"/>
        <v>27</v>
      </c>
      <c r="L2529" s="21">
        <f t="shared" si="73"/>
        <v>213</v>
      </c>
      <c r="M2529" s="21">
        <f t="shared" si="73"/>
        <v>87</v>
      </c>
      <c r="N2529" s="21">
        <f t="shared" si="73"/>
        <v>217</v>
      </c>
      <c r="O2529" s="19">
        <f t="shared" si="73"/>
        <v>308</v>
      </c>
      <c r="P2529" s="22">
        <f t="shared" si="73"/>
        <v>10</v>
      </c>
      <c r="Q2529" s="22">
        <f t="shared" si="73"/>
        <v>8</v>
      </c>
      <c r="R2529" s="236" t="str">
        <f t="shared" si="69"/>
        <v>-</v>
      </c>
      <c r="S2529" s="234">
        <f t="shared" si="74"/>
        <v>0</v>
      </c>
      <c r="T2529" s="235">
        <f t="shared" si="74"/>
        <v>0</v>
      </c>
    </row>
    <row r="2530" spans="1:20" hidden="1" x14ac:dyDescent="0.35">
      <c r="A2530" s="3"/>
      <c r="B2530" s="165">
        <f>DATE(YEAR(B2529+31),MONTH(B2529+31),1)</f>
        <v>45992</v>
      </c>
      <c r="C2530" s="57"/>
      <c r="D2530" s="3" t="s">
        <v>16</v>
      </c>
      <c r="E2530" s="18">
        <f t="shared" si="70"/>
        <v>447</v>
      </c>
      <c r="F2530" s="166">
        <f t="shared" si="70"/>
        <v>2391</v>
      </c>
      <c r="G2530" s="166">
        <f t="shared" si="70"/>
        <v>2490</v>
      </c>
      <c r="H2530" s="21">
        <f t="shared" si="70"/>
        <v>3783</v>
      </c>
      <c r="I2530" s="21">
        <f t="shared" si="70"/>
        <v>611</v>
      </c>
      <c r="J2530" s="21">
        <f t="shared" si="70"/>
        <v>1572</v>
      </c>
      <c r="K2530" s="21">
        <f t="shared" si="70"/>
        <v>340</v>
      </c>
      <c r="L2530" s="21">
        <f t="shared" si="73"/>
        <v>3788</v>
      </c>
      <c r="M2530" s="21">
        <f t="shared" si="73"/>
        <v>1604</v>
      </c>
      <c r="N2530" s="21">
        <f t="shared" si="73"/>
        <v>2438</v>
      </c>
      <c r="O2530" s="19">
        <f t="shared" si="73"/>
        <v>3916</v>
      </c>
      <c r="P2530" s="22">
        <f t="shared" si="73"/>
        <v>150</v>
      </c>
      <c r="Q2530" s="22">
        <f t="shared" si="73"/>
        <v>99</v>
      </c>
      <c r="R2530" s="236" t="str">
        <f t="shared" si="69"/>
        <v>-</v>
      </c>
      <c r="S2530" s="234">
        <f t="shared" si="74"/>
        <v>0</v>
      </c>
      <c r="T2530" s="235">
        <f t="shared" si="74"/>
        <v>0</v>
      </c>
    </row>
    <row r="2531" spans="1:20" hidden="1" x14ac:dyDescent="0.35">
      <c r="A2531" s="3"/>
      <c r="B2531" s="165">
        <f t="shared" si="72"/>
        <v>45992</v>
      </c>
      <c r="C2531" s="57"/>
      <c r="D2531" s="3" t="s">
        <v>104</v>
      </c>
      <c r="E2531" s="18">
        <f t="shared" si="70"/>
        <v>21</v>
      </c>
      <c r="F2531" s="166">
        <f t="shared" si="70"/>
        <v>540</v>
      </c>
      <c r="G2531" s="166">
        <f t="shared" si="70"/>
        <v>637</v>
      </c>
      <c r="H2531" s="21">
        <f t="shared" si="70"/>
        <v>827</v>
      </c>
      <c r="I2531" s="21">
        <f t="shared" si="70"/>
        <v>158</v>
      </c>
      <c r="J2531" s="21">
        <f t="shared" si="70"/>
        <v>404</v>
      </c>
      <c r="K2531" s="21">
        <f t="shared" si="70"/>
        <v>98</v>
      </c>
      <c r="L2531" s="21">
        <f t="shared" si="73"/>
        <v>576</v>
      </c>
      <c r="M2531" s="21">
        <f t="shared" si="73"/>
        <v>257</v>
      </c>
      <c r="N2531" s="21">
        <f t="shared" si="73"/>
        <v>545</v>
      </c>
      <c r="O2531" s="19">
        <f t="shared" si="73"/>
        <v>770</v>
      </c>
      <c r="P2531" s="22">
        <f t="shared" si="73"/>
        <v>81</v>
      </c>
      <c r="Q2531" s="22">
        <f t="shared" si="73"/>
        <v>50</v>
      </c>
      <c r="R2531" s="236" t="str">
        <f t="shared" si="69"/>
        <v>-</v>
      </c>
      <c r="S2531" s="234">
        <f t="shared" si="74"/>
        <v>0</v>
      </c>
      <c r="T2531" s="235">
        <f t="shared" si="74"/>
        <v>0</v>
      </c>
    </row>
    <row r="2532" spans="1:20" hidden="1" x14ac:dyDescent="0.35">
      <c r="A2532" s="3"/>
      <c r="B2532" s="165">
        <f t="shared" si="72"/>
        <v>45992</v>
      </c>
      <c r="C2532" s="57"/>
      <c r="D2532" s="3" t="s">
        <v>105</v>
      </c>
      <c r="E2532" s="18">
        <f t="shared" si="70"/>
        <v>82</v>
      </c>
      <c r="F2532" s="166">
        <f t="shared" si="70"/>
        <v>504</v>
      </c>
      <c r="G2532" s="166">
        <f t="shared" si="70"/>
        <v>527</v>
      </c>
      <c r="H2532" s="21">
        <f t="shared" si="70"/>
        <v>802</v>
      </c>
      <c r="I2532" s="21">
        <f t="shared" si="70"/>
        <v>146</v>
      </c>
      <c r="J2532" s="21">
        <f t="shared" si="70"/>
        <v>366</v>
      </c>
      <c r="K2532" s="21">
        <f t="shared" si="70"/>
        <v>82</v>
      </c>
      <c r="L2532" s="21">
        <f t="shared" si="73"/>
        <v>722</v>
      </c>
      <c r="M2532" s="21">
        <f t="shared" si="73"/>
        <v>262</v>
      </c>
      <c r="N2532" s="21">
        <f t="shared" si="73"/>
        <v>508</v>
      </c>
      <c r="O2532" s="19">
        <f t="shared" si="73"/>
        <v>770</v>
      </c>
      <c r="P2532" s="22">
        <f t="shared" si="73"/>
        <v>50</v>
      </c>
      <c r="Q2532" s="22">
        <f t="shared" si="73"/>
        <v>21</v>
      </c>
      <c r="R2532" s="236" t="str">
        <f t="shared" si="69"/>
        <v>-</v>
      </c>
      <c r="S2532" s="234">
        <f t="shared" si="74"/>
        <v>0</v>
      </c>
      <c r="T2532" s="235">
        <f t="shared" si="74"/>
        <v>0</v>
      </c>
    </row>
    <row r="2533" spans="1:20" hidden="1" x14ac:dyDescent="0.35">
      <c r="A2533" s="3"/>
      <c r="B2533" s="165">
        <f t="shared" si="72"/>
        <v>45992</v>
      </c>
      <c r="C2533" s="57"/>
      <c r="D2533" s="3" t="s">
        <v>105</v>
      </c>
      <c r="E2533" s="18">
        <f t="shared" si="70"/>
        <v>82</v>
      </c>
      <c r="F2533" s="166">
        <f t="shared" si="70"/>
        <v>504</v>
      </c>
      <c r="G2533" s="166">
        <f t="shared" si="70"/>
        <v>527</v>
      </c>
      <c r="H2533" s="21">
        <f t="shared" si="70"/>
        <v>802</v>
      </c>
      <c r="I2533" s="21">
        <f t="shared" si="70"/>
        <v>146</v>
      </c>
      <c r="J2533" s="21">
        <f t="shared" si="70"/>
        <v>366</v>
      </c>
      <c r="K2533" s="21">
        <f t="shared" si="70"/>
        <v>82</v>
      </c>
      <c r="L2533" s="21">
        <f t="shared" si="73"/>
        <v>722</v>
      </c>
      <c r="M2533" s="21">
        <f t="shared" si="73"/>
        <v>262</v>
      </c>
      <c r="N2533" s="21">
        <f t="shared" si="73"/>
        <v>508</v>
      </c>
      <c r="O2533" s="19">
        <f t="shared" si="73"/>
        <v>770</v>
      </c>
      <c r="P2533" s="22">
        <f t="shared" si="73"/>
        <v>50</v>
      </c>
      <c r="Q2533" s="22">
        <f t="shared" si="73"/>
        <v>21</v>
      </c>
      <c r="R2533" s="236" t="str">
        <f t="shared" si="69"/>
        <v>-</v>
      </c>
      <c r="S2533" s="234">
        <f t="shared" si="74"/>
        <v>0</v>
      </c>
      <c r="T2533" s="235">
        <f t="shared" si="74"/>
        <v>0</v>
      </c>
    </row>
    <row r="2534" spans="1:20" hidden="1" x14ac:dyDescent="0.35">
      <c r="A2534" s="3"/>
      <c r="B2534" s="165">
        <f t="shared" si="72"/>
        <v>45992</v>
      </c>
      <c r="C2534" s="57"/>
      <c r="D2534" s="3" t="s">
        <v>106</v>
      </c>
      <c r="E2534" s="18">
        <f t="shared" si="70"/>
        <v>229</v>
      </c>
      <c r="F2534" s="166">
        <f t="shared" si="70"/>
        <v>1335</v>
      </c>
      <c r="G2534" s="166">
        <f t="shared" si="70"/>
        <v>1437</v>
      </c>
      <c r="H2534" s="21">
        <f t="shared" si="70"/>
        <v>2572</v>
      </c>
      <c r="I2534" s="21">
        <f t="shared" si="70"/>
        <v>366</v>
      </c>
      <c r="J2534" s="21">
        <f t="shared" si="70"/>
        <v>1090</v>
      </c>
      <c r="K2534" s="21">
        <f t="shared" si="70"/>
        <v>258</v>
      </c>
      <c r="L2534" s="21">
        <f t="shared" si="73"/>
        <v>2193</v>
      </c>
      <c r="M2534" s="21">
        <f t="shared" si="73"/>
        <v>740</v>
      </c>
      <c r="N2534" s="21">
        <f t="shared" si="73"/>
        <v>1371</v>
      </c>
      <c r="O2534" s="19">
        <f t="shared" si="73"/>
        <v>2178</v>
      </c>
      <c r="P2534" s="22">
        <f t="shared" si="73"/>
        <v>207</v>
      </c>
      <c r="Q2534" s="22">
        <f t="shared" si="73"/>
        <v>139</v>
      </c>
      <c r="R2534" s="236" t="str">
        <f t="shared" si="69"/>
        <v>-</v>
      </c>
      <c r="S2534" s="234">
        <f t="shared" si="74"/>
        <v>0</v>
      </c>
      <c r="T2534" s="235">
        <f t="shared" si="74"/>
        <v>0</v>
      </c>
    </row>
    <row r="2535" spans="1:20" hidden="1" x14ac:dyDescent="0.35">
      <c r="A2535" s="3"/>
      <c r="B2535" s="165">
        <f t="shared" si="72"/>
        <v>45992</v>
      </c>
      <c r="C2535" s="57"/>
      <c r="D2535" s="3" t="s">
        <v>107</v>
      </c>
      <c r="E2535" s="18">
        <f t="shared" si="70"/>
        <v>214</v>
      </c>
      <c r="F2535" s="166">
        <f t="shared" si="70"/>
        <v>1324</v>
      </c>
      <c r="G2535" s="166">
        <f t="shared" si="70"/>
        <v>1483</v>
      </c>
      <c r="H2535" s="21">
        <f t="shared" si="70"/>
        <v>1744</v>
      </c>
      <c r="I2535" s="21">
        <f t="shared" si="70"/>
        <v>310</v>
      </c>
      <c r="J2535" s="21">
        <f t="shared" si="70"/>
        <v>753</v>
      </c>
      <c r="K2535" s="21">
        <f t="shared" si="70"/>
        <v>221</v>
      </c>
      <c r="L2535" s="21">
        <f t="shared" si="73"/>
        <v>2098</v>
      </c>
      <c r="M2535" s="21">
        <f t="shared" si="73"/>
        <v>797</v>
      </c>
      <c r="N2535" s="21">
        <f t="shared" si="73"/>
        <v>1160</v>
      </c>
      <c r="O2535" s="19">
        <f t="shared" si="73"/>
        <v>1782</v>
      </c>
      <c r="P2535" s="22">
        <f t="shared" si="73"/>
        <v>332</v>
      </c>
      <c r="Q2535" s="22">
        <f t="shared" si="73"/>
        <v>204</v>
      </c>
      <c r="R2535" s="236" t="str">
        <f t="shared" si="69"/>
        <v>-</v>
      </c>
      <c r="S2535" s="234">
        <f t="shared" si="74"/>
        <v>0</v>
      </c>
      <c r="T2535" s="235">
        <f t="shared" si="74"/>
        <v>0</v>
      </c>
    </row>
    <row r="2536" spans="1:20" hidden="1" x14ac:dyDescent="0.35">
      <c r="A2536" s="3"/>
      <c r="B2536" s="165">
        <f t="shared" si="72"/>
        <v>45992</v>
      </c>
      <c r="C2536" s="57"/>
      <c r="D2536" s="3" t="s">
        <v>108</v>
      </c>
      <c r="E2536" s="18">
        <f t="shared" si="70"/>
        <v>303</v>
      </c>
      <c r="F2536" s="166">
        <f t="shared" si="70"/>
        <v>1538</v>
      </c>
      <c r="G2536" s="166">
        <f t="shared" si="70"/>
        <v>1542</v>
      </c>
      <c r="H2536" s="21">
        <f t="shared" si="70"/>
        <v>2885</v>
      </c>
      <c r="I2536" s="21">
        <f t="shared" si="70"/>
        <v>432</v>
      </c>
      <c r="J2536" s="21">
        <f t="shared" si="70"/>
        <v>1287</v>
      </c>
      <c r="K2536" s="21">
        <f t="shared" si="70"/>
        <v>308</v>
      </c>
      <c r="L2536" s="21">
        <f t="shared" si="73"/>
        <v>2615</v>
      </c>
      <c r="M2536" s="21">
        <f t="shared" si="73"/>
        <v>946</v>
      </c>
      <c r="N2536" s="21">
        <f t="shared" si="73"/>
        <v>1551</v>
      </c>
      <c r="O2536" s="19">
        <f t="shared" si="73"/>
        <v>2552</v>
      </c>
      <c r="P2536" s="22">
        <f t="shared" si="73"/>
        <v>167</v>
      </c>
      <c r="Q2536" s="22">
        <f t="shared" si="73"/>
        <v>116</v>
      </c>
      <c r="R2536" s="236" t="str">
        <f t="shared" si="69"/>
        <v>-</v>
      </c>
      <c r="S2536" s="234">
        <f t="shared" si="74"/>
        <v>0</v>
      </c>
      <c r="T2536" s="235">
        <f t="shared" si="74"/>
        <v>0</v>
      </c>
    </row>
    <row r="2537" spans="1:20" hidden="1" x14ac:dyDescent="0.35">
      <c r="A2537" s="3"/>
      <c r="B2537" s="165">
        <f t="shared" si="72"/>
        <v>45992</v>
      </c>
      <c r="C2537" s="57"/>
      <c r="D2537" s="3" t="s">
        <v>109</v>
      </c>
      <c r="E2537" s="18">
        <f t="shared" si="70"/>
        <v>281</v>
      </c>
      <c r="F2537" s="166">
        <f t="shared" si="70"/>
        <v>2458</v>
      </c>
      <c r="G2537" s="166">
        <f t="shared" si="70"/>
        <v>2303</v>
      </c>
      <c r="H2537" s="21">
        <f t="shared" si="70"/>
        <v>5134</v>
      </c>
      <c r="I2537" s="21">
        <f t="shared" si="70"/>
        <v>648</v>
      </c>
      <c r="J2537" s="21">
        <f t="shared" si="70"/>
        <v>2249</v>
      </c>
      <c r="K2537" s="21">
        <f t="shared" si="70"/>
        <v>390</v>
      </c>
      <c r="L2537" s="21">
        <f t="shared" si="73"/>
        <v>3877</v>
      </c>
      <c r="M2537" s="21">
        <f t="shared" si="73"/>
        <v>1281</v>
      </c>
      <c r="N2537" s="21">
        <f t="shared" si="73"/>
        <v>2474</v>
      </c>
      <c r="O2537" s="19">
        <f t="shared" si="73"/>
        <v>3454</v>
      </c>
      <c r="P2537" s="22">
        <f t="shared" si="73"/>
        <v>114</v>
      </c>
      <c r="Q2537" s="22">
        <f t="shared" si="73"/>
        <v>87</v>
      </c>
      <c r="R2537" s="236" t="str">
        <f t="shared" si="69"/>
        <v>-</v>
      </c>
      <c r="S2537" s="234">
        <f t="shared" si="74"/>
        <v>0</v>
      </c>
      <c r="T2537" s="235">
        <f t="shared" si="74"/>
        <v>0</v>
      </c>
    </row>
    <row r="2538" spans="1:20" hidden="1" x14ac:dyDescent="0.35">
      <c r="A2538" s="3"/>
      <c r="B2538" s="165">
        <f t="shared" si="72"/>
        <v>45992</v>
      </c>
      <c r="C2538" s="57"/>
      <c r="D2538" s="3" t="s">
        <v>110</v>
      </c>
      <c r="E2538" s="18">
        <f t="shared" si="70"/>
        <v>17</v>
      </c>
      <c r="F2538" s="166">
        <f t="shared" si="70"/>
        <v>250</v>
      </c>
      <c r="G2538" s="166">
        <f t="shared" si="70"/>
        <v>225</v>
      </c>
      <c r="H2538" s="21">
        <f t="shared" si="70"/>
        <v>310</v>
      </c>
      <c r="I2538" s="21">
        <f t="shared" si="70"/>
        <v>67</v>
      </c>
      <c r="J2538" s="21">
        <f t="shared" si="70"/>
        <v>193</v>
      </c>
      <c r="K2538" s="21">
        <f t="shared" si="70"/>
        <v>49</v>
      </c>
      <c r="L2538" s="21">
        <f t="shared" si="73"/>
        <v>290</v>
      </c>
      <c r="M2538" s="21">
        <f t="shared" si="73"/>
        <v>119</v>
      </c>
      <c r="N2538" s="21">
        <f t="shared" si="73"/>
        <v>250</v>
      </c>
      <c r="O2538" s="19">
        <f t="shared" si="73"/>
        <v>330</v>
      </c>
      <c r="P2538" s="22">
        <f t="shared" si="73"/>
        <v>7</v>
      </c>
      <c r="Q2538" s="22">
        <f t="shared" si="73"/>
        <v>2</v>
      </c>
      <c r="R2538" s="236" t="str">
        <f t="shared" si="69"/>
        <v>-</v>
      </c>
      <c r="S2538" s="234">
        <f t="shared" si="74"/>
        <v>0</v>
      </c>
      <c r="T2538" s="235">
        <f t="shared" si="74"/>
        <v>0</v>
      </c>
    </row>
    <row r="2539" spans="1:20" hidden="1" x14ac:dyDescent="0.35">
      <c r="A2539" s="3"/>
      <c r="B2539" s="165"/>
      <c r="C2539" s="57"/>
      <c r="D2539" s="3"/>
      <c r="E2539" s="18"/>
      <c r="F2539" s="166"/>
      <c r="G2539" s="166"/>
      <c r="H2539" s="21"/>
      <c r="I2539" s="21"/>
      <c r="J2539" s="21"/>
      <c r="K2539" s="21"/>
      <c r="L2539" s="21"/>
      <c r="M2539" s="21"/>
      <c r="N2539" s="21"/>
      <c r="O2539" s="19"/>
      <c r="P2539" s="22"/>
      <c r="Q2539" s="22"/>
      <c r="R2539" s="236" t="str">
        <f t="shared" si="69"/>
        <v>-</v>
      </c>
      <c r="S2539" s="234">
        <f t="shared" si="74"/>
        <v>0</v>
      </c>
      <c r="T2539" s="235">
        <f t="shared" si="74"/>
        <v>0</v>
      </c>
    </row>
    <row r="2540" spans="1:20" hidden="1" x14ac:dyDescent="0.35">
      <c r="A2540" s="3"/>
      <c r="B2540" s="165"/>
      <c r="C2540" s="57"/>
      <c r="D2540" s="3"/>
      <c r="E2540" s="18"/>
      <c r="F2540" s="166"/>
      <c r="G2540" s="166"/>
      <c r="H2540" s="21"/>
      <c r="I2540" s="21"/>
      <c r="J2540" s="21"/>
      <c r="K2540" s="21"/>
      <c r="L2540" s="21"/>
      <c r="M2540" s="21"/>
      <c r="N2540" s="21"/>
      <c r="O2540" s="19"/>
      <c r="P2540" s="22"/>
      <c r="Q2540" s="22"/>
      <c r="R2540" s="236" t="str">
        <f t="shared" si="69"/>
        <v>-</v>
      </c>
      <c r="S2540" s="234">
        <f t="shared" si="74"/>
        <v>0</v>
      </c>
      <c r="T2540" s="235">
        <f t="shared" si="74"/>
        <v>0</v>
      </c>
    </row>
    <row r="2541" spans="1:20" hidden="1" x14ac:dyDescent="0.35">
      <c r="A2541" s="3"/>
      <c r="B2541" s="165"/>
      <c r="C2541" s="57"/>
      <c r="D2541" s="3"/>
      <c r="E2541" s="18"/>
      <c r="F2541" s="166"/>
      <c r="G2541" s="166"/>
      <c r="H2541" s="21"/>
      <c r="I2541" s="21"/>
      <c r="J2541" s="21"/>
      <c r="K2541" s="21"/>
      <c r="L2541" s="21"/>
      <c r="M2541" s="21"/>
      <c r="N2541" s="21"/>
      <c r="O2541" s="19"/>
      <c r="P2541" s="22"/>
      <c r="Q2541" s="22"/>
      <c r="R2541" s="236" t="str">
        <f t="shared" si="69"/>
        <v>-</v>
      </c>
      <c r="S2541" s="234">
        <f t="shared" si="74"/>
        <v>0</v>
      </c>
      <c r="T2541" s="235">
        <f t="shared" si="74"/>
        <v>0</v>
      </c>
    </row>
    <row r="2542" spans="1:20" hidden="1" x14ac:dyDescent="0.35">
      <c r="A2542" s="3"/>
      <c r="B2542" s="165"/>
      <c r="C2542" s="57"/>
      <c r="D2542" s="3"/>
      <c r="E2542" s="18"/>
      <c r="F2542" s="166"/>
      <c r="G2542" s="166"/>
      <c r="H2542" s="21"/>
      <c r="I2542" s="21"/>
      <c r="J2542" s="21"/>
      <c r="K2542" s="21"/>
      <c r="L2542" s="21"/>
      <c r="M2542" s="21"/>
      <c r="N2542" s="21"/>
      <c r="O2542" s="19"/>
      <c r="P2542" s="22"/>
      <c r="Q2542" s="22"/>
      <c r="R2542" s="236" t="str">
        <f t="shared" si="69"/>
        <v>-</v>
      </c>
      <c r="S2542" s="234">
        <f t="shared" si="74"/>
        <v>0</v>
      </c>
      <c r="T2542" s="235">
        <f t="shared" si="74"/>
        <v>0</v>
      </c>
    </row>
    <row r="2543" spans="1:20" hidden="1" x14ac:dyDescent="0.35">
      <c r="A2543" s="3"/>
      <c r="B2543" s="165"/>
      <c r="C2543" s="57"/>
      <c r="D2543" s="3"/>
      <c r="E2543" s="18"/>
      <c r="F2543" s="166"/>
      <c r="G2543" s="166"/>
      <c r="H2543" s="21"/>
      <c r="I2543" s="21"/>
      <c r="J2543" s="21"/>
      <c r="K2543" s="21"/>
      <c r="L2543" s="21"/>
      <c r="M2543" s="21"/>
      <c r="N2543" s="21"/>
      <c r="O2543" s="19"/>
      <c r="P2543" s="22"/>
      <c r="Q2543" s="22"/>
      <c r="R2543" s="236" t="str">
        <f t="shared" si="69"/>
        <v>-</v>
      </c>
      <c r="S2543" s="234">
        <f t="shared" si="74"/>
        <v>0</v>
      </c>
      <c r="T2543" s="235">
        <f t="shared" si="74"/>
        <v>0</v>
      </c>
    </row>
    <row r="2544" spans="1:20" hidden="1" x14ac:dyDescent="0.35">
      <c r="A2544" s="3"/>
      <c r="B2544" s="165"/>
      <c r="C2544" s="57"/>
      <c r="D2544" s="3"/>
      <c r="E2544" s="18"/>
      <c r="F2544" s="166"/>
      <c r="G2544" s="166"/>
      <c r="H2544" s="21"/>
      <c r="I2544" s="21"/>
      <c r="J2544" s="21"/>
      <c r="K2544" s="21"/>
      <c r="L2544" s="21"/>
      <c r="M2544" s="21"/>
      <c r="N2544" s="21"/>
      <c r="O2544" s="19"/>
      <c r="P2544" s="22"/>
      <c r="Q2544" s="22"/>
      <c r="R2544" s="236" t="str">
        <f t="shared" si="69"/>
        <v>-</v>
      </c>
      <c r="S2544" s="234">
        <f t="shared" si="74"/>
        <v>0</v>
      </c>
      <c r="T2544" s="235">
        <f t="shared" si="74"/>
        <v>0</v>
      </c>
    </row>
    <row r="2545" spans="1:20" hidden="1" x14ac:dyDescent="0.35">
      <c r="A2545" s="3"/>
      <c r="B2545" s="165"/>
      <c r="C2545" s="57"/>
      <c r="D2545" s="3"/>
      <c r="E2545" s="18"/>
      <c r="F2545" s="166"/>
      <c r="G2545" s="166"/>
      <c r="H2545" s="21"/>
      <c r="I2545" s="21"/>
      <c r="J2545" s="21"/>
      <c r="K2545" s="21"/>
      <c r="L2545" s="21"/>
      <c r="M2545" s="21"/>
      <c r="N2545" s="21"/>
      <c r="O2545" s="19"/>
      <c r="P2545" s="22"/>
      <c r="Q2545" s="22"/>
      <c r="R2545" s="236" t="str">
        <f t="shared" si="69"/>
        <v>-</v>
      </c>
      <c r="S2545" s="234">
        <f t="shared" si="74"/>
        <v>0</v>
      </c>
      <c r="T2545" s="235">
        <f t="shared" si="74"/>
        <v>0</v>
      </c>
    </row>
    <row r="2546" spans="1:20" hidden="1" x14ac:dyDescent="0.35">
      <c r="A2546" s="3"/>
      <c r="B2546" s="165"/>
      <c r="C2546" s="57"/>
      <c r="D2546" s="3"/>
      <c r="E2546" s="18"/>
      <c r="F2546" s="166"/>
      <c r="G2546" s="166"/>
      <c r="H2546" s="21"/>
      <c r="I2546" s="21"/>
      <c r="J2546" s="21"/>
      <c r="K2546" s="21"/>
      <c r="L2546" s="21"/>
      <c r="M2546" s="21"/>
      <c r="N2546" s="21"/>
      <c r="O2546" s="19"/>
      <c r="P2546" s="22"/>
      <c r="Q2546" s="22"/>
      <c r="R2546" s="236" t="str">
        <f t="shared" si="69"/>
        <v>-</v>
      </c>
      <c r="S2546" s="234">
        <f t="shared" si="74"/>
        <v>0</v>
      </c>
      <c r="T2546" s="235">
        <f t="shared" si="74"/>
        <v>0</v>
      </c>
    </row>
    <row r="2547" spans="1:20" hidden="1" x14ac:dyDescent="0.35">
      <c r="A2547" s="3"/>
      <c r="B2547" s="165"/>
      <c r="C2547" s="57"/>
      <c r="D2547" s="3"/>
      <c r="E2547" s="18"/>
      <c r="F2547" s="166"/>
      <c r="G2547" s="166"/>
      <c r="H2547" s="21"/>
      <c r="I2547" s="21"/>
      <c r="J2547" s="21"/>
      <c r="K2547" s="21"/>
      <c r="L2547" s="21"/>
      <c r="M2547" s="21"/>
      <c r="N2547" s="21"/>
      <c r="O2547" s="19"/>
      <c r="P2547" s="22"/>
      <c r="Q2547" s="22"/>
      <c r="R2547" s="20"/>
    </row>
    <row r="2548" spans="1:20" hidden="1" x14ac:dyDescent="0.35"/>
    <row r="2549" spans="1:20" hidden="1" x14ac:dyDescent="0.35"/>
  </sheetData>
  <autoFilter ref="A4:D2212" xr:uid="{A7A583D6-1A0F-FC4F-B12B-ECD50553E00D}"/>
  <sortState xmlns:xlrd2="http://schemas.microsoft.com/office/spreadsheetml/2017/richdata2" ref="A5:T2212">
    <sortCondition ref="B5:B2212"/>
    <sortCondition ref="D5:D2212"/>
  </sortState>
  <pageMargins left="0.7" right="0.7" top="0.75" bottom="0.75" header="0.3" footer="0.3"/>
  <pageSetup orientation="portrait" r:id="rId1"/>
  <ignoredErrors>
    <ignoredError sqref="R2486:T2538 R2215:T2298 R2393:T2427 R2539:T254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47FB-0DD1-6640-8534-080947EBDE7F}">
  <sheetPr codeName="Sheet7">
    <tabColor rgb="FFFFFF00"/>
  </sheetPr>
  <dimension ref="A4:E4603"/>
  <sheetViews>
    <sheetView showGridLines="0" topLeftCell="B1" zoomScale="90" zoomScaleNormal="90" workbookViewId="0">
      <pane ySplit="4" topLeftCell="A2310" activePane="bottomLeft" state="frozen"/>
      <selection activeCell="F4" sqref="F4"/>
      <selection pane="bottomLeft" activeCell="F4" sqref="F4"/>
    </sheetView>
  </sheetViews>
  <sheetFormatPr defaultColWidth="10.58203125" defaultRowHeight="15.5" x14ac:dyDescent="0.35"/>
  <cols>
    <col min="1" max="1" width="16" style="3" hidden="1" customWidth="1"/>
    <col min="2" max="2" width="10.83203125" style="163"/>
    <col min="3" max="3" width="10.83203125" style="163" hidden="1" customWidth="1"/>
    <col min="4" max="4" width="36" customWidth="1"/>
    <col min="5" max="5" width="15.83203125" style="57" customWidth="1"/>
  </cols>
  <sheetData>
    <row r="4" spans="1:5" ht="16" thickBot="1" x14ac:dyDescent="0.4">
      <c r="B4" s="223" t="s">
        <v>192</v>
      </c>
      <c r="C4" s="223" t="s">
        <v>193</v>
      </c>
      <c r="D4" s="224" t="s">
        <v>1</v>
      </c>
      <c r="E4" s="225" t="s">
        <v>212</v>
      </c>
    </row>
    <row r="5" spans="1:5" x14ac:dyDescent="0.35">
      <c r="A5" s="3" t="str">
        <f>IF(D5="","",(VLOOKUP($D5,KEY!$B$5:$D$74,3,FALSE)))</f>
        <v>Arizona</v>
      </c>
      <c r="B5" s="221">
        <v>44835</v>
      </c>
      <c r="C5" s="221" t="str">
        <f>IFERROR(VLOOKUP($B5,KEY!$AE$19:$AH$60,2,FALSE),"")</f>
        <v>2022-Q4</v>
      </c>
      <c r="D5" s="222" t="s">
        <v>111</v>
      </c>
      <c r="E5" s="220">
        <v>7</v>
      </c>
    </row>
    <row r="6" spans="1:5" x14ac:dyDescent="0.35">
      <c r="A6" s="3" t="str">
        <f>IF(D6="","",(VLOOKUP($D6,KEY!$B$5:$D$74,3,FALSE)))</f>
        <v>Southern California</v>
      </c>
      <c r="B6" s="221">
        <v>44835</v>
      </c>
      <c r="C6" s="221" t="str">
        <f>IFERROR(VLOOKUP($B6,KEY!$AE$19:$AH$60,2,FALSE),"")</f>
        <v>2022-Q4</v>
      </c>
      <c r="D6" s="222" t="s">
        <v>112</v>
      </c>
      <c r="E6" s="218">
        <v>4</v>
      </c>
    </row>
    <row r="7" spans="1:5" x14ac:dyDescent="0.35">
      <c r="A7" s="3" t="str">
        <f>IF(D7="","",(VLOOKUP($D7,KEY!$B$5:$D$74,3,FALSE)))</f>
        <v>Arizona</v>
      </c>
      <c r="B7" s="221">
        <v>44835</v>
      </c>
      <c r="C7" s="221" t="str">
        <f>IFERROR(VLOOKUP($B7,KEY!$AE$19:$AH$60,2,FALSE),"")</f>
        <v>2022-Q4</v>
      </c>
      <c r="D7" s="222" t="s">
        <v>113</v>
      </c>
      <c r="E7" s="218">
        <v>8</v>
      </c>
    </row>
    <row r="8" spans="1:5" x14ac:dyDescent="0.35">
      <c r="A8" s="3" t="str">
        <f>IF(D8="","",(VLOOKUP($D8,KEY!$B$5:$D$74,3,FALSE)))</f>
        <v>Southern California</v>
      </c>
      <c r="B8" s="221">
        <v>44835</v>
      </c>
      <c r="C8" s="221" t="str">
        <f>IFERROR(VLOOKUP($B8,KEY!$AE$19:$AH$60,2,FALSE),"")</f>
        <v>2022-Q4</v>
      </c>
      <c r="D8" s="222" t="s">
        <v>114</v>
      </c>
      <c r="E8" s="218">
        <v>7</v>
      </c>
    </row>
    <row r="9" spans="1:5" x14ac:dyDescent="0.35">
      <c r="A9" s="3" t="str">
        <f>IF(D9="","",(VLOOKUP($D9,KEY!$B$5:$D$74,3,FALSE)))</f>
        <v>Orange County</v>
      </c>
      <c r="B9" s="221">
        <v>44835</v>
      </c>
      <c r="C9" s="221" t="str">
        <f>IFERROR(VLOOKUP($B9,KEY!$AE$19:$AH$60,2,FALSE),"")</f>
        <v>2022-Q4</v>
      </c>
      <c r="D9" s="222" t="s">
        <v>115</v>
      </c>
      <c r="E9" s="218">
        <v>6</v>
      </c>
    </row>
    <row r="10" spans="1:5" x14ac:dyDescent="0.35">
      <c r="A10" s="3" t="str">
        <f>IF(D10="","",(VLOOKUP($D10,KEY!$B$5:$D$74,3,FALSE)))</f>
        <v>Arizona</v>
      </c>
      <c r="B10" s="221">
        <v>44835</v>
      </c>
      <c r="C10" s="221" t="str">
        <f>IFERROR(VLOOKUP($B10,KEY!$AE$19:$AH$60,2,FALSE),"")</f>
        <v>2022-Q4</v>
      </c>
      <c r="D10" s="222" t="s">
        <v>116</v>
      </c>
      <c r="E10" s="218">
        <v>13</v>
      </c>
    </row>
    <row r="11" spans="1:5" x14ac:dyDescent="0.35">
      <c r="A11" s="3" t="str">
        <f>IF(D11="","",(VLOOKUP($D11,KEY!$B$5:$D$74,3,FALSE)))</f>
        <v>Orange County</v>
      </c>
      <c r="B11" s="221">
        <v>44835</v>
      </c>
      <c r="C11" s="221" t="str">
        <f>IFERROR(VLOOKUP($B11,KEY!$AE$19:$AH$60,2,FALSE),"")</f>
        <v>2022-Q4</v>
      </c>
      <c r="D11" s="222" t="s">
        <v>117</v>
      </c>
      <c r="E11" s="218">
        <v>15</v>
      </c>
    </row>
    <row r="12" spans="1:5" x14ac:dyDescent="0.35">
      <c r="A12" s="3" t="str">
        <f>IF(D12="","",(VLOOKUP($D12,KEY!$B$5:$D$74,3,FALSE)))</f>
        <v>Northern California</v>
      </c>
      <c r="B12" s="221">
        <v>44835</v>
      </c>
      <c r="C12" s="221" t="str">
        <f>IFERROR(VLOOKUP($B12,KEY!$AE$19:$AH$60,2,FALSE),"")</f>
        <v>2022-Q4</v>
      </c>
      <c r="D12" s="222" t="s">
        <v>118</v>
      </c>
      <c r="E12" s="218">
        <v>13</v>
      </c>
    </row>
    <row r="13" spans="1:5" x14ac:dyDescent="0.35">
      <c r="A13" s="3" t="str">
        <f>IF(D13="","",(VLOOKUP($D13,KEY!$B$5:$D$74,3,FALSE)))</f>
        <v>Arizona</v>
      </c>
      <c r="B13" s="221">
        <v>44835</v>
      </c>
      <c r="C13" s="221" t="str">
        <f>IFERROR(VLOOKUP($B13,KEY!$AE$19:$AH$60,2,FALSE),"")</f>
        <v>2022-Q4</v>
      </c>
      <c r="D13" s="222" t="s">
        <v>119</v>
      </c>
      <c r="E13" s="218">
        <v>4</v>
      </c>
    </row>
    <row r="14" spans="1:5" x14ac:dyDescent="0.35">
      <c r="A14" s="3" t="str">
        <f>IF(D14="","",(VLOOKUP($D14,KEY!$B$5:$D$74,3,FALSE)))</f>
        <v>Arizona</v>
      </c>
      <c r="B14" s="221">
        <v>44835</v>
      </c>
      <c r="C14" s="221" t="str">
        <f>IFERROR(VLOOKUP($B14,KEY!$AE$19:$AH$60,2,FALSE),"")</f>
        <v>2022-Q4</v>
      </c>
      <c r="D14" s="222" t="s">
        <v>120</v>
      </c>
      <c r="E14" s="218">
        <v>25</v>
      </c>
    </row>
    <row r="15" spans="1:5" x14ac:dyDescent="0.35">
      <c r="A15" s="3" t="str">
        <f>IF(D15="","",(VLOOKUP($D15,KEY!$B$5:$D$74,3,FALSE)))</f>
        <v>Texas</v>
      </c>
      <c r="B15" s="221">
        <v>44835</v>
      </c>
      <c r="C15" s="221" t="str">
        <f>IFERROR(VLOOKUP($B15,KEY!$AE$19:$AH$60,2,FALSE),"")</f>
        <v>2022-Q4</v>
      </c>
      <c r="D15" s="222" t="s">
        <v>121</v>
      </c>
      <c r="E15" s="218">
        <v>20</v>
      </c>
    </row>
    <row r="16" spans="1:5" x14ac:dyDescent="0.35">
      <c r="A16" s="3" t="str">
        <f>IF(D16="","",(VLOOKUP($D16,KEY!$B$5:$D$74,3,FALSE)))</f>
        <v>Southern California</v>
      </c>
      <c r="B16" s="221">
        <v>44835</v>
      </c>
      <c r="C16" s="221" t="str">
        <f>IFERROR(VLOOKUP($B16,KEY!$AE$19:$AH$60,2,FALSE),"")</f>
        <v>2022-Q4</v>
      </c>
      <c r="D16" s="222" t="s">
        <v>122</v>
      </c>
      <c r="E16" s="218">
        <v>15</v>
      </c>
    </row>
    <row r="17" spans="1:5" x14ac:dyDescent="0.35">
      <c r="A17" s="3" t="str">
        <f>IF(D17="","",(VLOOKUP($D17,KEY!$B$5:$D$74,3,FALSE)))</f>
        <v>Orange County</v>
      </c>
      <c r="B17" s="221">
        <v>44835</v>
      </c>
      <c r="C17" s="221" t="str">
        <f>IFERROR(VLOOKUP($B17,KEY!$AE$19:$AH$60,2,FALSE),"")</f>
        <v>2022-Q4</v>
      </c>
      <c r="D17" s="222" t="s">
        <v>123</v>
      </c>
      <c r="E17" s="218">
        <v>21</v>
      </c>
    </row>
    <row r="18" spans="1:5" x14ac:dyDescent="0.35">
      <c r="A18" s="3" t="str">
        <f>IF(D18="","",(VLOOKUP($D18,KEY!$B$5:$D$74,3,FALSE)))</f>
        <v>Southern California</v>
      </c>
      <c r="B18" s="221">
        <v>44835</v>
      </c>
      <c r="C18" s="221" t="str">
        <f>IFERROR(VLOOKUP($B18,KEY!$AE$19:$AH$60,2,FALSE),"")</f>
        <v>2022-Q4</v>
      </c>
      <c r="D18" s="222" t="s">
        <v>124</v>
      </c>
      <c r="E18" s="218">
        <v>11</v>
      </c>
    </row>
    <row r="19" spans="1:5" x14ac:dyDescent="0.35">
      <c r="A19" s="3" t="str">
        <f>IF(D19="","",(VLOOKUP($D19,KEY!$B$5:$D$74,3,FALSE)))</f>
        <v>Northern California</v>
      </c>
      <c r="B19" s="221">
        <v>44835</v>
      </c>
      <c r="C19" s="221" t="str">
        <f>IFERROR(VLOOKUP($B19,KEY!$AE$19:$AH$60,2,FALSE),"")</f>
        <v>2022-Q4</v>
      </c>
      <c r="D19" s="222" t="s">
        <v>195</v>
      </c>
      <c r="E19" s="218">
        <v>4</v>
      </c>
    </row>
    <row r="20" spans="1:5" x14ac:dyDescent="0.35">
      <c r="A20" s="3" t="str">
        <f>IF(D20="","",(VLOOKUP($D20,KEY!$B$5:$D$74,3,FALSE)))</f>
        <v>Northern California</v>
      </c>
      <c r="B20" s="221">
        <v>44835</v>
      </c>
      <c r="C20" s="221" t="str">
        <f>IFERROR(VLOOKUP($B20,KEY!$AE$19:$AH$60,2,FALSE),"")</f>
        <v>2022-Q4</v>
      </c>
      <c r="D20" s="222" t="s">
        <v>125</v>
      </c>
      <c r="E20" s="218">
        <v>19</v>
      </c>
    </row>
    <row r="21" spans="1:5" x14ac:dyDescent="0.35">
      <c r="A21" s="3" t="str">
        <f>IF(D21="","",(VLOOKUP($D21,KEY!$B$5:$D$74,3,FALSE)))</f>
        <v>Orange County</v>
      </c>
      <c r="B21" s="221">
        <v>44835</v>
      </c>
      <c r="C21" s="221" t="str">
        <f>IFERROR(VLOOKUP($B21,KEY!$AE$19:$AH$60,2,FALSE),"")</f>
        <v>2022-Q4</v>
      </c>
      <c r="D21" s="222" t="s">
        <v>126</v>
      </c>
      <c r="E21" s="218">
        <v>29</v>
      </c>
    </row>
    <row r="22" spans="1:5" x14ac:dyDescent="0.35">
      <c r="A22" s="3" t="str">
        <f>IF(D22="","",(VLOOKUP($D22,KEY!$B$5:$D$74,3,FALSE)))</f>
        <v>Orange County</v>
      </c>
      <c r="B22" s="221">
        <v>44835</v>
      </c>
      <c r="C22" s="221" t="str">
        <f>IFERROR(VLOOKUP($B22,KEY!$AE$19:$AH$60,2,FALSE),"")</f>
        <v>2022-Q4</v>
      </c>
      <c r="D22" s="222" t="s">
        <v>127</v>
      </c>
      <c r="E22" s="218">
        <v>4</v>
      </c>
    </row>
    <row r="23" spans="1:5" x14ac:dyDescent="0.35">
      <c r="A23" s="3" t="str">
        <f>IF(D23="","",(VLOOKUP($D23,KEY!$B$5:$D$74,3,FALSE)))</f>
        <v>Texas</v>
      </c>
      <c r="B23" s="221">
        <v>44835</v>
      </c>
      <c r="C23" s="221" t="str">
        <f>IFERROR(VLOOKUP($B23,KEY!$AE$19:$AH$60,2,FALSE),"")</f>
        <v>2022-Q4</v>
      </c>
      <c r="D23" s="222" t="s">
        <v>128</v>
      </c>
      <c r="E23" s="218">
        <v>17</v>
      </c>
    </row>
    <row r="24" spans="1:5" x14ac:dyDescent="0.35">
      <c r="A24" s="3" t="str">
        <f>IF(D24="","",(VLOOKUP($D24,KEY!$B$5:$D$74,3,FALSE)))</f>
        <v>Northern California</v>
      </c>
      <c r="B24" s="221">
        <v>44835</v>
      </c>
      <c r="C24" s="221" t="str">
        <f>IFERROR(VLOOKUP($B24,KEY!$AE$19:$AH$60,2,FALSE),"")</f>
        <v>2022-Q4</v>
      </c>
      <c r="D24" s="222" t="s">
        <v>129</v>
      </c>
      <c r="E24" s="218">
        <v>14</v>
      </c>
    </row>
    <row r="25" spans="1:5" x14ac:dyDescent="0.35">
      <c r="A25" s="3" t="str">
        <f>IF(D25="","",(VLOOKUP($D25,KEY!$B$5:$D$74,3,FALSE)))</f>
        <v>Southern California</v>
      </c>
      <c r="B25" s="221">
        <v>44835</v>
      </c>
      <c r="C25" s="221" t="str">
        <f>IFERROR(VLOOKUP($B25,KEY!$AE$19:$AH$60,2,FALSE),"")</f>
        <v>2022-Q4</v>
      </c>
      <c r="D25" s="222" t="s">
        <v>130</v>
      </c>
      <c r="E25" s="218">
        <v>6</v>
      </c>
    </row>
    <row r="26" spans="1:5" x14ac:dyDescent="0.35">
      <c r="A26" s="3">
        <f>IF(D26="","",(VLOOKUP($D26,KEY!$B$5:$D$74,3,FALSE)))</f>
        <v>0</v>
      </c>
      <c r="B26" s="221">
        <v>44835</v>
      </c>
      <c r="C26" s="221" t="str">
        <f>IFERROR(VLOOKUP($B26,KEY!$AE$19:$AH$60,2,FALSE),"")</f>
        <v>2022-Q4</v>
      </c>
      <c r="D26" s="222" t="s">
        <v>131</v>
      </c>
      <c r="E26" s="218">
        <v>15</v>
      </c>
    </row>
    <row r="27" spans="1:5" x14ac:dyDescent="0.35">
      <c r="A27" s="3" t="e">
        <f>IF(D27="","",(VLOOKUP($D27,KEY!$B$5:$D$74,3,FALSE)))</f>
        <v>#N/A</v>
      </c>
      <c r="B27" s="221">
        <v>44835</v>
      </c>
      <c r="C27" s="221" t="str">
        <f>IFERROR(VLOOKUP($B27,KEY!$AE$19:$AH$60,2,FALSE),"")</f>
        <v>2022-Q4</v>
      </c>
      <c r="D27" s="222" t="s">
        <v>134</v>
      </c>
      <c r="E27" s="218">
        <v>4</v>
      </c>
    </row>
    <row r="28" spans="1:5" x14ac:dyDescent="0.35">
      <c r="A28" s="3" t="str">
        <f>IF(D28="","",(VLOOKUP($D28,KEY!$B$5:$D$74,3,FALSE)))</f>
        <v>Southern California</v>
      </c>
      <c r="B28" s="221">
        <v>44835</v>
      </c>
      <c r="C28" s="221" t="str">
        <f>IFERROR(VLOOKUP($B28,KEY!$AE$19:$AH$60,2,FALSE),"")</f>
        <v>2022-Q4</v>
      </c>
      <c r="D28" s="222" t="s">
        <v>135</v>
      </c>
      <c r="E28" s="218">
        <v>18</v>
      </c>
    </row>
    <row r="29" spans="1:5" x14ac:dyDescent="0.35">
      <c r="A29" s="3" t="str">
        <f>IF(D29="","",(VLOOKUP($D29,KEY!$B$5:$D$74,3,FALSE)))</f>
        <v>Arizona</v>
      </c>
      <c r="B29" s="221">
        <v>44835</v>
      </c>
      <c r="C29" s="221" t="str">
        <f>IFERROR(VLOOKUP($B29,KEY!$AE$19:$AH$60,2,FALSE),"")</f>
        <v>2022-Q4</v>
      </c>
      <c r="D29" s="222" t="s">
        <v>196</v>
      </c>
      <c r="E29" s="218">
        <v>5</v>
      </c>
    </row>
    <row r="30" spans="1:5" x14ac:dyDescent="0.35">
      <c r="A30" s="3" t="str">
        <f>IF(D30="","",(VLOOKUP($D30,KEY!$B$5:$D$74,3,FALSE)))</f>
        <v>Arizona</v>
      </c>
      <c r="B30" s="221">
        <v>44835</v>
      </c>
      <c r="C30" s="221" t="str">
        <f>IFERROR(VLOOKUP($B30,KEY!$AE$19:$AH$60,2,FALSE),"")</f>
        <v>2022-Q4</v>
      </c>
      <c r="D30" s="222" t="s">
        <v>197</v>
      </c>
      <c r="E30" s="218">
        <v>9</v>
      </c>
    </row>
    <row r="31" spans="1:5" x14ac:dyDescent="0.35">
      <c r="A31" s="3" t="str">
        <f>IF(D31="","",(VLOOKUP($D31,KEY!$B$5:$D$74,3,FALSE)))</f>
        <v>Texas</v>
      </c>
      <c r="B31" s="221">
        <v>44835</v>
      </c>
      <c r="C31" s="221" t="str">
        <f>IFERROR(VLOOKUP($B31,KEY!$AE$19:$AH$60,2,FALSE),"")</f>
        <v>2022-Q4</v>
      </c>
      <c r="D31" s="222" t="s">
        <v>136</v>
      </c>
      <c r="E31" s="218">
        <v>15</v>
      </c>
    </row>
    <row r="32" spans="1:5" x14ac:dyDescent="0.35">
      <c r="A32" s="3" t="str">
        <f>IF(D32="","",(VLOOKUP($D32,KEY!$B$5:$D$74,3,FALSE)))</f>
        <v>Arizona</v>
      </c>
      <c r="B32" s="221">
        <v>44835</v>
      </c>
      <c r="C32" s="221" t="str">
        <f>IFERROR(VLOOKUP($B32,KEY!$AE$19:$AH$60,2,FALSE),"")</f>
        <v>2022-Q4</v>
      </c>
      <c r="D32" s="222" t="s">
        <v>137</v>
      </c>
      <c r="E32" s="218">
        <v>8</v>
      </c>
    </row>
    <row r="33" spans="1:5" x14ac:dyDescent="0.35">
      <c r="A33" s="3" t="str">
        <f>IF(D33="","",(VLOOKUP($D33,KEY!$B$5:$D$74,3,FALSE)))</f>
        <v>Texas</v>
      </c>
      <c r="B33" s="221">
        <v>44835</v>
      </c>
      <c r="C33" s="221" t="str">
        <f>IFERROR(VLOOKUP($B33,KEY!$AE$19:$AH$60,2,FALSE),"")</f>
        <v>2022-Q4</v>
      </c>
      <c r="D33" s="222" t="s">
        <v>138</v>
      </c>
      <c r="E33" s="218">
        <v>6</v>
      </c>
    </row>
    <row r="34" spans="1:5" x14ac:dyDescent="0.35">
      <c r="A34" s="3" t="str">
        <f>IF(D34="","",(VLOOKUP($D34,KEY!$B$5:$D$74,3,FALSE)))</f>
        <v>Southern California</v>
      </c>
      <c r="B34" s="221">
        <v>44835</v>
      </c>
      <c r="C34" s="221" t="str">
        <f>IFERROR(VLOOKUP($B34,KEY!$AE$19:$AH$60,2,FALSE),"")</f>
        <v>2022-Q4</v>
      </c>
      <c r="D34" s="222" t="s">
        <v>139</v>
      </c>
      <c r="E34" s="218">
        <v>14</v>
      </c>
    </row>
    <row r="35" spans="1:5" x14ac:dyDescent="0.35">
      <c r="A35" s="3" t="str">
        <f>IF(D35="","",(VLOOKUP($D35,KEY!$B$5:$D$74,3,FALSE)))</f>
        <v>Orange County</v>
      </c>
      <c r="B35" s="221">
        <v>44835</v>
      </c>
      <c r="C35" s="221" t="str">
        <f>IFERROR(VLOOKUP($B35,KEY!$AE$19:$AH$60,2,FALSE),"")</f>
        <v>2022-Q4</v>
      </c>
      <c r="D35" s="222" t="s">
        <v>140</v>
      </c>
      <c r="E35" s="218">
        <v>2</v>
      </c>
    </row>
    <row r="36" spans="1:5" x14ac:dyDescent="0.35">
      <c r="A36" s="3" t="str">
        <f>IF(D36="","",(VLOOKUP($D36,KEY!$B$5:$D$74,3,FALSE)))</f>
        <v>Southern California</v>
      </c>
      <c r="B36" s="221">
        <v>44835</v>
      </c>
      <c r="C36" s="221" t="str">
        <f>IFERROR(VLOOKUP($B36,KEY!$AE$19:$AH$60,2,FALSE),"")</f>
        <v>2022-Q4</v>
      </c>
      <c r="D36" s="222" t="s">
        <v>142</v>
      </c>
      <c r="E36" s="218">
        <v>8</v>
      </c>
    </row>
    <row r="37" spans="1:5" x14ac:dyDescent="0.35">
      <c r="A37" s="3" t="str">
        <f>IF(D37="","",(VLOOKUP($D37,KEY!$B$5:$D$74,3,FALSE)))</f>
        <v>Arizona</v>
      </c>
      <c r="B37" s="221">
        <v>44835</v>
      </c>
      <c r="C37" s="221" t="str">
        <f>IFERROR(VLOOKUP($B37,KEY!$AE$19:$AH$60,2,FALSE),"")</f>
        <v>2022-Q4</v>
      </c>
      <c r="D37" s="222" t="s">
        <v>143</v>
      </c>
      <c r="E37" s="218">
        <v>9</v>
      </c>
    </row>
    <row r="38" spans="1:5" x14ac:dyDescent="0.35">
      <c r="A38" s="3" t="str">
        <f>IF(D38="","",(VLOOKUP($D38,KEY!$B$5:$D$74,3,FALSE)))</f>
        <v>Arizona</v>
      </c>
      <c r="B38" s="221">
        <v>44835</v>
      </c>
      <c r="C38" s="221" t="str">
        <f>IFERROR(VLOOKUP($B38,KEY!$AE$19:$AH$60,2,FALSE),"")</f>
        <v>2022-Q4</v>
      </c>
      <c r="D38" s="222" t="s">
        <v>144</v>
      </c>
      <c r="E38" s="218">
        <v>18</v>
      </c>
    </row>
    <row r="39" spans="1:5" x14ac:dyDescent="0.35">
      <c r="A39" s="3" t="str">
        <f>IF(D39="","",(VLOOKUP($D39,KEY!$B$5:$D$74,3,FALSE)))</f>
        <v>Southern California</v>
      </c>
      <c r="B39" s="221">
        <v>44835</v>
      </c>
      <c r="C39" s="221" t="str">
        <f>IFERROR(VLOOKUP($B39,KEY!$AE$19:$AH$60,2,FALSE),"")</f>
        <v>2022-Q4</v>
      </c>
      <c r="D39" s="222" t="s">
        <v>145</v>
      </c>
      <c r="E39" s="218">
        <v>18</v>
      </c>
    </row>
    <row r="40" spans="1:5" x14ac:dyDescent="0.35">
      <c r="A40" s="3" t="str">
        <f>IF(D40="","",(VLOOKUP($D40,KEY!$B$5:$D$74,3,FALSE)))</f>
        <v>Arizona</v>
      </c>
      <c r="B40" s="221">
        <v>44835</v>
      </c>
      <c r="C40" s="221" t="str">
        <f>IFERROR(VLOOKUP($B40,KEY!$AE$19:$AH$60,2,FALSE),"")</f>
        <v>2022-Q4</v>
      </c>
      <c r="D40" s="222" t="s">
        <v>146</v>
      </c>
      <c r="E40" s="218">
        <v>4</v>
      </c>
    </row>
    <row r="41" spans="1:5" x14ac:dyDescent="0.35">
      <c r="A41" s="3" t="str">
        <f>IF(D41="","",(VLOOKUP($D41,KEY!$B$5:$D$74,3,FALSE)))</f>
        <v>Texas</v>
      </c>
      <c r="B41" s="221">
        <v>44835</v>
      </c>
      <c r="C41" s="221" t="str">
        <f>IFERROR(VLOOKUP($B41,KEY!$AE$19:$AH$60,2,FALSE),"")</f>
        <v>2022-Q4</v>
      </c>
      <c r="D41" s="222" t="s">
        <v>147</v>
      </c>
      <c r="E41" s="218">
        <v>4</v>
      </c>
    </row>
    <row r="42" spans="1:5" x14ac:dyDescent="0.35">
      <c r="A42" s="3" t="str">
        <f>IF(D42="","",(VLOOKUP($D42,KEY!$B$5:$D$74,3,FALSE)))</f>
        <v>Northern California</v>
      </c>
      <c r="B42" s="221">
        <v>44835</v>
      </c>
      <c r="C42" s="221" t="str">
        <f>IFERROR(VLOOKUP($B42,KEY!$AE$19:$AH$60,2,FALSE),"")</f>
        <v>2022-Q4</v>
      </c>
      <c r="D42" s="222" t="s">
        <v>148</v>
      </c>
      <c r="E42" s="218">
        <v>4</v>
      </c>
    </row>
    <row r="43" spans="1:5" x14ac:dyDescent="0.35">
      <c r="A43" s="3" t="str">
        <f>IF(D43="","",(VLOOKUP($D43,KEY!$B$5:$D$74,3,FALSE)))</f>
        <v>Orange County</v>
      </c>
      <c r="B43" s="221">
        <v>44835</v>
      </c>
      <c r="C43" s="221" t="str">
        <f>IFERROR(VLOOKUP($B43,KEY!$AE$19:$AH$60,2,FALSE),"")</f>
        <v>2022-Q4</v>
      </c>
      <c r="D43" s="222" t="s">
        <v>149</v>
      </c>
      <c r="E43" s="218">
        <v>2</v>
      </c>
    </row>
    <row r="44" spans="1:5" x14ac:dyDescent="0.35">
      <c r="A44" s="3" t="str">
        <f>IF(D44="","",(VLOOKUP($D44,KEY!$B$5:$D$74,3,FALSE)))</f>
        <v>Southern California</v>
      </c>
      <c r="B44" s="221">
        <v>44835</v>
      </c>
      <c r="C44" s="221" t="str">
        <f>IFERROR(VLOOKUP($B44,KEY!$AE$19:$AH$60,2,FALSE),"")</f>
        <v>2022-Q4</v>
      </c>
      <c r="D44" s="222" t="s">
        <v>150</v>
      </c>
      <c r="E44" s="218">
        <v>5</v>
      </c>
    </row>
    <row r="45" spans="1:5" x14ac:dyDescent="0.35">
      <c r="A45" s="3" t="str">
        <f>IF(D45="","",(VLOOKUP($D45,KEY!$B$5:$D$74,3,FALSE)))</f>
        <v>Arizona</v>
      </c>
      <c r="B45" s="221">
        <v>44835</v>
      </c>
      <c r="C45" s="221" t="str">
        <f>IFERROR(VLOOKUP($B45,KEY!$AE$19:$AH$60,2,FALSE),"")</f>
        <v>2022-Q4</v>
      </c>
      <c r="D45" s="222" t="s">
        <v>151</v>
      </c>
      <c r="E45" s="218">
        <v>3</v>
      </c>
    </row>
    <row r="46" spans="1:5" x14ac:dyDescent="0.35">
      <c r="A46" s="3" t="str">
        <f>IF(D46="","",(VLOOKUP($D46,KEY!$B$5:$D$74,3,FALSE)))</f>
        <v>Northern California</v>
      </c>
      <c r="B46" s="221">
        <v>44835</v>
      </c>
      <c r="C46" s="221" t="str">
        <f>IFERROR(VLOOKUP($B46,KEY!$AE$19:$AH$60,2,FALSE),"")</f>
        <v>2022-Q4</v>
      </c>
      <c r="D46" s="222" t="s">
        <v>152</v>
      </c>
      <c r="E46" s="218">
        <v>12</v>
      </c>
    </row>
    <row r="47" spans="1:5" x14ac:dyDescent="0.35">
      <c r="A47" s="3" t="str">
        <f>IF(D47="","",(VLOOKUP($D47,KEY!$B$5:$D$74,3,FALSE)))</f>
        <v>Arizona</v>
      </c>
      <c r="B47" s="221">
        <v>44835</v>
      </c>
      <c r="C47" s="221" t="str">
        <f>IFERROR(VLOOKUP($B47,KEY!$AE$19:$AH$60,2,FALSE),"")</f>
        <v>2022-Q4</v>
      </c>
      <c r="D47" s="222" t="s">
        <v>153</v>
      </c>
      <c r="E47" s="218">
        <v>12</v>
      </c>
    </row>
    <row r="48" spans="1:5" x14ac:dyDescent="0.35">
      <c r="A48" s="3" t="str">
        <f>IF(D48="","",(VLOOKUP($D48,KEY!$B$5:$D$74,3,FALSE)))</f>
        <v>Northern California</v>
      </c>
      <c r="B48" s="221">
        <v>44835</v>
      </c>
      <c r="C48" s="221" t="str">
        <f>IFERROR(VLOOKUP($B48,KEY!$AE$19:$AH$60,2,FALSE),"")</f>
        <v>2022-Q4</v>
      </c>
      <c r="D48" s="222" t="s">
        <v>154</v>
      </c>
      <c r="E48" s="218">
        <v>6</v>
      </c>
    </row>
    <row r="49" spans="1:5" x14ac:dyDescent="0.35">
      <c r="A49" s="3" t="str">
        <f>IF(D49="","",(VLOOKUP($D49,KEY!$B$5:$D$74,3,FALSE)))</f>
        <v>Texas</v>
      </c>
      <c r="B49" s="221">
        <v>44835</v>
      </c>
      <c r="C49" s="221" t="str">
        <f>IFERROR(VLOOKUP($B49,KEY!$AE$19:$AH$60,2,FALSE),"")</f>
        <v>2022-Q4</v>
      </c>
      <c r="D49" s="222" t="s">
        <v>155</v>
      </c>
      <c r="E49" s="218">
        <v>23</v>
      </c>
    </row>
    <row r="50" spans="1:5" x14ac:dyDescent="0.35">
      <c r="A50" s="3" t="str">
        <f>IF(D50="","",(VLOOKUP($D50,KEY!$B$5:$D$74,3,FALSE)))</f>
        <v>Texas</v>
      </c>
      <c r="B50" s="221">
        <v>44835</v>
      </c>
      <c r="C50" s="221" t="str">
        <f>IFERROR(VLOOKUP($B50,KEY!$AE$19:$AH$60,2,FALSE),"")</f>
        <v>2022-Q4</v>
      </c>
      <c r="D50" s="222" t="s">
        <v>156</v>
      </c>
      <c r="E50" s="218">
        <v>23</v>
      </c>
    </row>
    <row r="51" spans="1:5" x14ac:dyDescent="0.35">
      <c r="A51" s="3" t="str">
        <f>IF(D51="","",(VLOOKUP($D51,KEY!$B$5:$D$74,3,FALSE)))</f>
        <v>Texas</v>
      </c>
      <c r="B51" s="221">
        <v>44835</v>
      </c>
      <c r="C51" s="221" t="str">
        <f>IFERROR(VLOOKUP($B51,KEY!$AE$19:$AH$60,2,FALSE),"")</f>
        <v>2022-Q4</v>
      </c>
      <c r="D51" s="222" t="s">
        <v>157</v>
      </c>
      <c r="E51" s="218">
        <v>22</v>
      </c>
    </row>
    <row r="52" spans="1:5" x14ac:dyDescent="0.35">
      <c r="A52" s="3" t="str">
        <f>IF(D52="","",(VLOOKUP($D52,KEY!$B$5:$D$74,3,FALSE)))</f>
        <v>Arizona</v>
      </c>
      <c r="B52" s="221">
        <v>44835</v>
      </c>
      <c r="C52" s="221" t="str">
        <f>IFERROR(VLOOKUP($B52,KEY!$AE$19:$AH$60,2,FALSE),"")</f>
        <v>2022-Q4</v>
      </c>
      <c r="D52" s="222" t="s">
        <v>158</v>
      </c>
      <c r="E52" s="218">
        <v>5</v>
      </c>
    </row>
    <row r="53" spans="1:5" x14ac:dyDescent="0.35">
      <c r="A53" s="3" t="str">
        <f>IF(D53="","",(VLOOKUP($D53,KEY!$B$5:$D$74,3,FALSE)))</f>
        <v>Orange County</v>
      </c>
      <c r="B53" s="221">
        <v>44835</v>
      </c>
      <c r="C53" s="221" t="str">
        <f>IFERROR(VLOOKUP($B53,KEY!$AE$19:$AH$60,2,FALSE),"")</f>
        <v>2022-Q4</v>
      </c>
      <c r="D53" s="222" t="s">
        <v>159</v>
      </c>
      <c r="E53" s="218">
        <v>9</v>
      </c>
    </row>
    <row r="54" spans="1:5" x14ac:dyDescent="0.35">
      <c r="A54" s="3" t="str">
        <f>IF(D54="","",(VLOOKUP($D54,KEY!$B$5:$D$74,3,FALSE)))</f>
        <v>Arizona</v>
      </c>
      <c r="B54" s="221">
        <v>44835</v>
      </c>
      <c r="C54" s="221" t="str">
        <f>IFERROR(VLOOKUP($B54,KEY!$AE$19:$AH$60,2,FALSE),"")</f>
        <v>2022-Q4</v>
      </c>
      <c r="D54" s="222" t="s">
        <v>160</v>
      </c>
      <c r="E54" s="218">
        <v>19</v>
      </c>
    </row>
    <row r="55" spans="1:5" x14ac:dyDescent="0.35">
      <c r="A55" s="3" t="str">
        <f>IF(D55="","",(VLOOKUP($D55,KEY!$B$5:$D$74,3,FALSE)))</f>
        <v>Northern California</v>
      </c>
      <c r="B55" s="221">
        <v>44835</v>
      </c>
      <c r="C55" s="221" t="str">
        <f>IFERROR(VLOOKUP($B55,KEY!$AE$19:$AH$60,2,FALSE),"")</f>
        <v>2022-Q4</v>
      </c>
      <c r="D55" s="222" t="s">
        <v>161</v>
      </c>
      <c r="E55" s="218">
        <v>20</v>
      </c>
    </row>
    <row r="56" spans="1:5" x14ac:dyDescent="0.35">
      <c r="A56" s="3" t="e">
        <f>IF(D56="","",(VLOOKUP($D56,KEY!$B$5:$D$74,3,FALSE)))</f>
        <v>#N/A</v>
      </c>
      <c r="B56" s="221">
        <v>44835</v>
      </c>
      <c r="C56" s="221" t="str">
        <f>IFERROR(VLOOKUP($B56,KEY!$AE$19:$AH$60,2,FALSE),"")</f>
        <v>2022-Q4</v>
      </c>
      <c r="D56" s="222" t="s">
        <v>162</v>
      </c>
      <c r="E56" s="218">
        <v>28</v>
      </c>
    </row>
    <row r="57" spans="1:5" x14ac:dyDescent="0.35">
      <c r="A57" s="3" t="str">
        <f>IF(D57="","",(VLOOKUP($D57,KEY!$B$5:$D$74,3,FALSE)))</f>
        <v>Arizona</v>
      </c>
      <c r="B57" s="221">
        <v>44835</v>
      </c>
      <c r="C57" s="221" t="str">
        <f>IFERROR(VLOOKUP($B57,KEY!$AE$19:$AH$60,2,FALSE),"")</f>
        <v>2022-Q4</v>
      </c>
      <c r="D57" s="222" t="s">
        <v>163</v>
      </c>
      <c r="E57" s="218">
        <v>19</v>
      </c>
    </row>
    <row r="58" spans="1:5" x14ac:dyDescent="0.35">
      <c r="A58" s="3" t="str">
        <f>IF(D58="","",(VLOOKUP($D58,KEY!$B$5:$D$74,3,FALSE)))</f>
        <v>Arizona</v>
      </c>
      <c r="B58" s="221">
        <v>44835</v>
      </c>
      <c r="C58" s="221" t="str">
        <f>IFERROR(VLOOKUP($B58,KEY!$AE$19:$AH$60,2,FALSE),"")</f>
        <v>2022-Q4</v>
      </c>
      <c r="D58" s="222" t="s">
        <v>164</v>
      </c>
      <c r="E58" s="218">
        <v>7</v>
      </c>
    </row>
    <row r="59" spans="1:5" x14ac:dyDescent="0.35">
      <c r="A59" s="3" t="str">
        <f>IF(D59="","",(VLOOKUP($D59,KEY!$B$5:$D$74,3,FALSE)))</f>
        <v>Orange County</v>
      </c>
      <c r="B59" s="221">
        <v>44835</v>
      </c>
      <c r="C59" s="221" t="str">
        <f>IFERROR(VLOOKUP($B59,KEY!$AE$19:$AH$60,2,FALSE),"")</f>
        <v>2022-Q4</v>
      </c>
      <c r="D59" s="222" t="s">
        <v>165</v>
      </c>
      <c r="E59" s="218">
        <v>8</v>
      </c>
    </row>
    <row r="60" spans="1:5" x14ac:dyDescent="0.35">
      <c r="A60" s="3" t="str">
        <f>IF(D60="","",(VLOOKUP($D60,KEY!$B$5:$D$74,3,FALSE)))</f>
        <v>Arizona</v>
      </c>
      <c r="B60" s="221">
        <v>44866</v>
      </c>
      <c r="C60" s="221" t="str">
        <f>IFERROR(VLOOKUP($B60,KEY!$AE$19:$AH$60,2,FALSE),"")</f>
        <v>2022-Q4</v>
      </c>
      <c r="D60" s="222" t="s">
        <v>111</v>
      </c>
      <c r="E60" s="218">
        <v>7</v>
      </c>
    </row>
    <row r="61" spans="1:5" x14ac:dyDescent="0.35">
      <c r="A61" s="3" t="str">
        <f>IF(D61="","",(VLOOKUP($D61,KEY!$B$5:$D$74,3,FALSE)))</f>
        <v>Southern California</v>
      </c>
      <c r="B61" s="221">
        <v>44866</v>
      </c>
      <c r="C61" s="221" t="str">
        <f>IFERROR(VLOOKUP($B61,KEY!$AE$19:$AH$60,2,FALSE),"")</f>
        <v>2022-Q4</v>
      </c>
      <c r="D61" s="222" t="s">
        <v>112</v>
      </c>
      <c r="E61" s="218">
        <v>4</v>
      </c>
    </row>
    <row r="62" spans="1:5" x14ac:dyDescent="0.35">
      <c r="A62" s="3" t="str">
        <f>IF(D62="","",(VLOOKUP($D62,KEY!$B$5:$D$74,3,FALSE)))</f>
        <v>Arizona</v>
      </c>
      <c r="B62" s="221">
        <v>44866</v>
      </c>
      <c r="C62" s="221" t="str">
        <f>IFERROR(VLOOKUP($B62,KEY!$AE$19:$AH$60,2,FALSE),"")</f>
        <v>2022-Q4</v>
      </c>
      <c r="D62" s="222" t="s">
        <v>113</v>
      </c>
      <c r="E62" s="218">
        <v>8</v>
      </c>
    </row>
    <row r="63" spans="1:5" x14ac:dyDescent="0.35">
      <c r="A63" s="3" t="str">
        <f>IF(D63="","",(VLOOKUP($D63,KEY!$B$5:$D$74,3,FALSE)))</f>
        <v>Southern California</v>
      </c>
      <c r="B63" s="221">
        <v>44866</v>
      </c>
      <c r="C63" s="221" t="str">
        <f>IFERROR(VLOOKUP($B63,KEY!$AE$19:$AH$60,2,FALSE),"")</f>
        <v>2022-Q4</v>
      </c>
      <c r="D63" s="222" t="s">
        <v>114</v>
      </c>
      <c r="E63" s="218">
        <v>7</v>
      </c>
    </row>
    <row r="64" spans="1:5" x14ac:dyDescent="0.35">
      <c r="A64" s="3" t="str">
        <f>IF(D64="","",(VLOOKUP($D64,KEY!$B$5:$D$74,3,FALSE)))</f>
        <v>Orange County</v>
      </c>
      <c r="B64" s="221">
        <v>44866</v>
      </c>
      <c r="C64" s="221" t="str">
        <f>IFERROR(VLOOKUP($B64,KEY!$AE$19:$AH$60,2,FALSE),"")</f>
        <v>2022-Q4</v>
      </c>
      <c r="D64" s="222" t="s">
        <v>115</v>
      </c>
      <c r="E64" s="218">
        <v>7</v>
      </c>
    </row>
    <row r="65" spans="1:5" x14ac:dyDescent="0.35">
      <c r="A65" s="3" t="str">
        <f>IF(D65="","",(VLOOKUP($D65,KEY!$B$5:$D$74,3,FALSE)))</f>
        <v>Arizona</v>
      </c>
      <c r="B65" s="221">
        <v>44866</v>
      </c>
      <c r="C65" s="221" t="str">
        <f>IFERROR(VLOOKUP($B65,KEY!$AE$19:$AH$60,2,FALSE),"")</f>
        <v>2022-Q4</v>
      </c>
      <c r="D65" s="222" t="s">
        <v>116</v>
      </c>
      <c r="E65" s="218">
        <v>12</v>
      </c>
    </row>
    <row r="66" spans="1:5" x14ac:dyDescent="0.35">
      <c r="A66" s="3" t="str">
        <f>IF(D66="","",(VLOOKUP($D66,KEY!$B$5:$D$74,3,FALSE)))</f>
        <v>Orange County</v>
      </c>
      <c r="B66" s="221">
        <v>44866</v>
      </c>
      <c r="C66" s="221" t="str">
        <f>IFERROR(VLOOKUP($B66,KEY!$AE$19:$AH$60,2,FALSE),"")</f>
        <v>2022-Q4</v>
      </c>
      <c r="D66" s="222" t="s">
        <v>117</v>
      </c>
      <c r="E66" s="218">
        <v>14</v>
      </c>
    </row>
    <row r="67" spans="1:5" x14ac:dyDescent="0.35">
      <c r="A67" s="3" t="str">
        <f>IF(D67="","",(VLOOKUP($D67,KEY!$B$5:$D$74,3,FALSE)))</f>
        <v>Northern California</v>
      </c>
      <c r="B67" s="221">
        <v>44866</v>
      </c>
      <c r="C67" s="221" t="str">
        <f>IFERROR(VLOOKUP($B67,KEY!$AE$19:$AH$60,2,FALSE),"")</f>
        <v>2022-Q4</v>
      </c>
      <c r="D67" s="222" t="s">
        <v>118</v>
      </c>
      <c r="E67" s="218">
        <v>13</v>
      </c>
    </row>
    <row r="68" spans="1:5" x14ac:dyDescent="0.35">
      <c r="A68" s="3" t="str">
        <f>IF(D68="","",(VLOOKUP($D68,KEY!$B$5:$D$74,3,FALSE)))</f>
        <v>Arizona</v>
      </c>
      <c r="B68" s="221">
        <v>44866</v>
      </c>
      <c r="C68" s="221" t="str">
        <f>IFERROR(VLOOKUP($B68,KEY!$AE$19:$AH$60,2,FALSE),"")</f>
        <v>2022-Q4</v>
      </c>
      <c r="D68" s="222" t="s">
        <v>119</v>
      </c>
      <c r="E68" s="218">
        <v>4</v>
      </c>
    </row>
    <row r="69" spans="1:5" x14ac:dyDescent="0.35">
      <c r="A69" s="3" t="str">
        <f>IF(D69="","",(VLOOKUP($D69,KEY!$B$5:$D$74,3,FALSE)))</f>
        <v>Arizona</v>
      </c>
      <c r="B69" s="221">
        <v>44866</v>
      </c>
      <c r="C69" s="221" t="str">
        <f>IFERROR(VLOOKUP($B69,KEY!$AE$19:$AH$60,2,FALSE),"")</f>
        <v>2022-Q4</v>
      </c>
      <c r="D69" s="222" t="s">
        <v>120</v>
      </c>
      <c r="E69" s="218">
        <v>25</v>
      </c>
    </row>
    <row r="70" spans="1:5" x14ac:dyDescent="0.35">
      <c r="A70" s="3" t="str">
        <f>IF(D70="","",(VLOOKUP($D70,KEY!$B$5:$D$74,3,FALSE)))</f>
        <v>Texas</v>
      </c>
      <c r="B70" s="221">
        <v>44866</v>
      </c>
      <c r="C70" s="221" t="str">
        <f>IFERROR(VLOOKUP($B70,KEY!$AE$19:$AH$60,2,FALSE),"")</f>
        <v>2022-Q4</v>
      </c>
      <c r="D70" s="222" t="s">
        <v>121</v>
      </c>
      <c r="E70" s="218">
        <v>20</v>
      </c>
    </row>
    <row r="71" spans="1:5" x14ac:dyDescent="0.35">
      <c r="A71" s="3" t="str">
        <f>IF(D71="","",(VLOOKUP($D71,KEY!$B$5:$D$74,3,FALSE)))</f>
        <v>Southern California</v>
      </c>
      <c r="B71" s="221">
        <v>44866</v>
      </c>
      <c r="C71" s="221" t="str">
        <f>IFERROR(VLOOKUP($B71,KEY!$AE$19:$AH$60,2,FALSE),"")</f>
        <v>2022-Q4</v>
      </c>
      <c r="D71" s="222" t="s">
        <v>122</v>
      </c>
      <c r="E71" s="218">
        <v>15</v>
      </c>
    </row>
    <row r="72" spans="1:5" x14ac:dyDescent="0.35">
      <c r="A72" s="3" t="str">
        <f>IF(D72="","",(VLOOKUP($D72,KEY!$B$5:$D$74,3,FALSE)))</f>
        <v>Orange County</v>
      </c>
      <c r="B72" s="221">
        <v>44866</v>
      </c>
      <c r="C72" s="221" t="str">
        <f>IFERROR(VLOOKUP($B72,KEY!$AE$19:$AH$60,2,FALSE),"")</f>
        <v>2022-Q4</v>
      </c>
      <c r="D72" s="222" t="s">
        <v>123</v>
      </c>
      <c r="E72" s="218">
        <v>21</v>
      </c>
    </row>
    <row r="73" spans="1:5" x14ac:dyDescent="0.35">
      <c r="A73" s="3" t="str">
        <f>IF(D73="","",(VLOOKUP($D73,KEY!$B$5:$D$74,3,FALSE)))</f>
        <v>Southern California</v>
      </c>
      <c r="B73" s="221">
        <v>44866</v>
      </c>
      <c r="C73" s="221" t="str">
        <f>IFERROR(VLOOKUP($B73,KEY!$AE$19:$AH$60,2,FALSE),"")</f>
        <v>2022-Q4</v>
      </c>
      <c r="D73" s="222" t="s">
        <v>124</v>
      </c>
      <c r="E73" s="218">
        <v>10</v>
      </c>
    </row>
    <row r="74" spans="1:5" x14ac:dyDescent="0.35">
      <c r="A74" s="3" t="str">
        <f>IF(D74="","",(VLOOKUP($D74,KEY!$B$5:$D$74,3,FALSE)))</f>
        <v>Northern California</v>
      </c>
      <c r="B74" s="221">
        <v>44866</v>
      </c>
      <c r="C74" s="221" t="str">
        <f>IFERROR(VLOOKUP($B74,KEY!$AE$19:$AH$60,2,FALSE),"")</f>
        <v>2022-Q4</v>
      </c>
      <c r="D74" s="222" t="s">
        <v>195</v>
      </c>
      <c r="E74" s="218">
        <v>4</v>
      </c>
    </row>
    <row r="75" spans="1:5" x14ac:dyDescent="0.35">
      <c r="A75" s="3" t="str">
        <f>IF(D75="","",(VLOOKUP($D75,KEY!$B$5:$D$74,3,FALSE)))</f>
        <v>Northern California</v>
      </c>
      <c r="B75" s="221">
        <v>44866</v>
      </c>
      <c r="C75" s="221" t="str">
        <f>IFERROR(VLOOKUP($B75,KEY!$AE$19:$AH$60,2,FALSE),"")</f>
        <v>2022-Q4</v>
      </c>
      <c r="D75" s="222" t="s">
        <v>125</v>
      </c>
      <c r="E75" s="218">
        <v>20</v>
      </c>
    </row>
    <row r="76" spans="1:5" x14ac:dyDescent="0.35">
      <c r="A76" s="3" t="str">
        <f>IF(D76="","",(VLOOKUP($D76,KEY!$B$5:$D$74,3,FALSE)))</f>
        <v>Orange County</v>
      </c>
      <c r="B76" s="221">
        <v>44866</v>
      </c>
      <c r="C76" s="221" t="str">
        <f>IFERROR(VLOOKUP($B76,KEY!$AE$19:$AH$60,2,FALSE),"")</f>
        <v>2022-Q4</v>
      </c>
      <c r="D76" s="222" t="s">
        <v>126</v>
      </c>
      <c r="E76" s="218">
        <v>29</v>
      </c>
    </row>
    <row r="77" spans="1:5" x14ac:dyDescent="0.35">
      <c r="A77" s="3" t="str">
        <f>IF(D77="","",(VLOOKUP($D77,KEY!$B$5:$D$74,3,FALSE)))</f>
        <v>Orange County</v>
      </c>
      <c r="B77" s="221">
        <v>44866</v>
      </c>
      <c r="C77" s="221" t="str">
        <f>IFERROR(VLOOKUP($B77,KEY!$AE$19:$AH$60,2,FALSE),"")</f>
        <v>2022-Q4</v>
      </c>
      <c r="D77" s="222" t="s">
        <v>127</v>
      </c>
      <c r="E77" s="218">
        <v>4</v>
      </c>
    </row>
    <row r="78" spans="1:5" x14ac:dyDescent="0.35">
      <c r="A78" s="3" t="str">
        <f>IF(D78="","",(VLOOKUP($D78,KEY!$B$5:$D$74,3,FALSE)))</f>
        <v>Texas</v>
      </c>
      <c r="B78" s="221">
        <v>44866</v>
      </c>
      <c r="C78" s="221" t="str">
        <f>IFERROR(VLOOKUP($B78,KEY!$AE$19:$AH$60,2,FALSE),"")</f>
        <v>2022-Q4</v>
      </c>
      <c r="D78" s="222" t="s">
        <v>128</v>
      </c>
      <c r="E78" s="218">
        <v>18</v>
      </c>
    </row>
    <row r="79" spans="1:5" x14ac:dyDescent="0.35">
      <c r="A79" s="3" t="str">
        <f>IF(D79="","",(VLOOKUP($D79,KEY!$B$5:$D$74,3,FALSE)))</f>
        <v>Northern California</v>
      </c>
      <c r="B79" s="221">
        <v>44866</v>
      </c>
      <c r="C79" s="221" t="str">
        <f>IFERROR(VLOOKUP($B79,KEY!$AE$19:$AH$60,2,FALSE),"")</f>
        <v>2022-Q4</v>
      </c>
      <c r="D79" s="222" t="s">
        <v>129</v>
      </c>
      <c r="E79" s="218">
        <v>15</v>
      </c>
    </row>
    <row r="80" spans="1:5" x14ac:dyDescent="0.35">
      <c r="A80" s="3" t="str">
        <f>IF(D80="","",(VLOOKUP($D80,KEY!$B$5:$D$74,3,FALSE)))</f>
        <v>Southern California</v>
      </c>
      <c r="B80" s="221">
        <v>44866</v>
      </c>
      <c r="C80" s="221" t="str">
        <f>IFERROR(VLOOKUP($B80,KEY!$AE$19:$AH$60,2,FALSE),"")</f>
        <v>2022-Q4</v>
      </c>
      <c r="D80" s="222" t="s">
        <v>130</v>
      </c>
      <c r="E80" s="218">
        <v>6</v>
      </c>
    </row>
    <row r="81" spans="1:5" x14ac:dyDescent="0.35">
      <c r="A81" s="3">
        <f>IF(D81="","",(VLOOKUP($D81,KEY!$B$5:$D$74,3,FALSE)))</f>
        <v>0</v>
      </c>
      <c r="B81" s="221">
        <v>44866</v>
      </c>
      <c r="C81" s="221" t="str">
        <f>IFERROR(VLOOKUP($B81,KEY!$AE$19:$AH$60,2,FALSE),"")</f>
        <v>2022-Q4</v>
      </c>
      <c r="D81" s="222" t="s">
        <v>131</v>
      </c>
      <c r="E81" s="218">
        <v>15</v>
      </c>
    </row>
    <row r="82" spans="1:5" x14ac:dyDescent="0.35">
      <c r="A82" s="3" t="e">
        <f>IF(D82="","",(VLOOKUP($D82,KEY!$B$5:$D$74,3,FALSE)))</f>
        <v>#N/A</v>
      </c>
      <c r="B82" s="221">
        <v>44866</v>
      </c>
      <c r="C82" s="221" t="str">
        <f>IFERROR(VLOOKUP($B82,KEY!$AE$19:$AH$60,2,FALSE),"")</f>
        <v>2022-Q4</v>
      </c>
      <c r="D82" s="222" t="s">
        <v>134</v>
      </c>
      <c r="E82" s="218">
        <v>4</v>
      </c>
    </row>
    <row r="83" spans="1:5" x14ac:dyDescent="0.35">
      <c r="A83" s="3" t="str">
        <f>IF(D83="","",(VLOOKUP($D83,KEY!$B$5:$D$74,3,FALSE)))</f>
        <v>Southern California</v>
      </c>
      <c r="B83" s="221">
        <v>44866</v>
      </c>
      <c r="C83" s="221" t="str">
        <f>IFERROR(VLOOKUP($B83,KEY!$AE$19:$AH$60,2,FALSE),"")</f>
        <v>2022-Q4</v>
      </c>
      <c r="D83" s="222" t="s">
        <v>135</v>
      </c>
      <c r="E83" s="218">
        <v>18</v>
      </c>
    </row>
    <row r="84" spans="1:5" x14ac:dyDescent="0.35">
      <c r="A84" s="3" t="str">
        <f>IF(D84="","",(VLOOKUP($D84,KEY!$B$5:$D$74,3,FALSE)))</f>
        <v>Arizona</v>
      </c>
      <c r="B84" s="221">
        <v>44866</v>
      </c>
      <c r="C84" s="221" t="str">
        <f>IFERROR(VLOOKUP($B84,KEY!$AE$19:$AH$60,2,FALSE),"")</f>
        <v>2022-Q4</v>
      </c>
      <c r="D84" s="222" t="s">
        <v>196</v>
      </c>
      <c r="E84" s="218">
        <v>4</v>
      </c>
    </row>
    <row r="85" spans="1:5" x14ac:dyDescent="0.35">
      <c r="A85" s="3" t="str">
        <f>IF(D85="","",(VLOOKUP($D85,KEY!$B$5:$D$74,3,FALSE)))</f>
        <v>Arizona</v>
      </c>
      <c r="B85" s="221">
        <v>44866</v>
      </c>
      <c r="C85" s="221" t="str">
        <f>IFERROR(VLOOKUP($B85,KEY!$AE$19:$AH$60,2,FALSE),"")</f>
        <v>2022-Q4</v>
      </c>
      <c r="D85" s="222" t="s">
        <v>197</v>
      </c>
      <c r="E85" s="218">
        <v>9</v>
      </c>
    </row>
    <row r="86" spans="1:5" x14ac:dyDescent="0.35">
      <c r="A86" s="3" t="str">
        <f>IF(D86="","",(VLOOKUP($D86,KEY!$B$5:$D$74,3,FALSE)))</f>
        <v>Texas</v>
      </c>
      <c r="B86" s="221">
        <v>44866</v>
      </c>
      <c r="C86" s="221" t="str">
        <f>IFERROR(VLOOKUP($B86,KEY!$AE$19:$AH$60,2,FALSE),"")</f>
        <v>2022-Q4</v>
      </c>
      <c r="D86" s="222" t="s">
        <v>136</v>
      </c>
      <c r="E86" s="218">
        <v>15</v>
      </c>
    </row>
    <row r="87" spans="1:5" x14ac:dyDescent="0.35">
      <c r="A87" s="3" t="str">
        <f>IF(D87="","",(VLOOKUP($D87,KEY!$B$5:$D$74,3,FALSE)))</f>
        <v>Arizona</v>
      </c>
      <c r="B87" s="221">
        <v>44866</v>
      </c>
      <c r="C87" s="221" t="str">
        <f>IFERROR(VLOOKUP($B87,KEY!$AE$19:$AH$60,2,FALSE),"")</f>
        <v>2022-Q4</v>
      </c>
      <c r="D87" s="222" t="s">
        <v>137</v>
      </c>
      <c r="E87" s="218">
        <v>8</v>
      </c>
    </row>
    <row r="88" spans="1:5" x14ac:dyDescent="0.35">
      <c r="A88" s="3" t="str">
        <f>IF(D88="","",(VLOOKUP($D88,KEY!$B$5:$D$74,3,FALSE)))</f>
        <v>Texas</v>
      </c>
      <c r="B88" s="221">
        <v>44866</v>
      </c>
      <c r="C88" s="221" t="str">
        <f>IFERROR(VLOOKUP($B88,KEY!$AE$19:$AH$60,2,FALSE),"")</f>
        <v>2022-Q4</v>
      </c>
      <c r="D88" s="222" t="s">
        <v>138</v>
      </c>
      <c r="E88" s="218">
        <v>6</v>
      </c>
    </row>
    <row r="89" spans="1:5" x14ac:dyDescent="0.35">
      <c r="A89" s="3" t="str">
        <f>IF(D89="","",(VLOOKUP($D89,KEY!$B$5:$D$74,3,FALSE)))</f>
        <v>Southern California</v>
      </c>
      <c r="B89" s="221">
        <v>44866</v>
      </c>
      <c r="C89" s="221" t="str">
        <f>IFERROR(VLOOKUP($B89,KEY!$AE$19:$AH$60,2,FALSE),"")</f>
        <v>2022-Q4</v>
      </c>
      <c r="D89" s="222" t="s">
        <v>139</v>
      </c>
      <c r="E89" s="218">
        <v>15</v>
      </c>
    </row>
    <row r="90" spans="1:5" x14ac:dyDescent="0.35">
      <c r="A90" s="3" t="str">
        <f>IF(D90="","",(VLOOKUP($D90,KEY!$B$5:$D$74,3,FALSE)))</f>
        <v>Orange County</v>
      </c>
      <c r="B90" s="221">
        <v>44866</v>
      </c>
      <c r="C90" s="221" t="str">
        <f>IFERROR(VLOOKUP($B90,KEY!$AE$19:$AH$60,2,FALSE),"")</f>
        <v>2022-Q4</v>
      </c>
      <c r="D90" s="222" t="s">
        <v>140</v>
      </c>
      <c r="E90" s="218">
        <v>2</v>
      </c>
    </row>
    <row r="91" spans="1:5" x14ac:dyDescent="0.35">
      <c r="A91" s="3" t="str">
        <f>IF(D91="","",(VLOOKUP($D91,KEY!$B$5:$D$74,3,FALSE)))</f>
        <v>Southern California</v>
      </c>
      <c r="B91" s="221">
        <v>44866</v>
      </c>
      <c r="C91" s="221" t="str">
        <f>IFERROR(VLOOKUP($B91,KEY!$AE$19:$AH$60,2,FALSE),"")</f>
        <v>2022-Q4</v>
      </c>
      <c r="D91" s="222" t="s">
        <v>142</v>
      </c>
      <c r="E91" s="218">
        <v>6</v>
      </c>
    </row>
    <row r="92" spans="1:5" x14ac:dyDescent="0.35">
      <c r="A92" s="3" t="str">
        <f>IF(D92="","",(VLOOKUP($D92,KEY!$B$5:$D$74,3,FALSE)))</f>
        <v>Arizona</v>
      </c>
      <c r="B92" s="221">
        <v>44866</v>
      </c>
      <c r="C92" s="221" t="str">
        <f>IFERROR(VLOOKUP($B92,KEY!$AE$19:$AH$60,2,FALSE),"")</f>
        <v>2022-Q4</v>
      </c>
      <c r="D92" s="222" t="s">
        <v>143</v>
      </c>
      <c r="E92" s="218">
        <v>9</v>
      </c>
    </row>
    <row r="93" spans="1:5" x14ac:dyDescent="0.35">
      <c r="A93" s="3" t="str">
        <f>IF(D93="","",(VLOOKUP($D93,KEY!$B$5:$D$74,3,FALSE)))</f>
        <v>Arizona</v>
      </c>
      <c r="B93" s="221">
        <v>44866</v>
      </c>
      <c r="C93" s="221" t="str">
        <f>IFERROR(VLOOKUP($B93,KEY!$AE$19:$AH$60,2,FALSE),"")</f>
        <v>2022-Q4</v>
      </c>
      <c r="D93" s="222" t="s">
        <v>144</v>
      </c>
      <c r="E93" s="218">
        <v>18</v>
      </c>
    </row>
    <row r="94" spans="1:5" x14ac:dyDescent="0.35">
      <c r="A94" s="3" t="str">
        <f>IF(D94="","",(VLOOKUP($D94,KEY!$B$5:$D$74,3,FALSE)))</f>
        <v>Southern California</v>
      </c>
      <c r="B94" s="221">
        <v>44866</v>
      </c>
      <c r="C94" s="221" t="str">
        <f>IFERROR(VLOOKUP($B94,KEY!$AE$19:$AH$60,2,FALSE),"")</f>
        <v>2022-Q4</v>
      </c>
      <c r="D94" s="222" t="s">
        <v>145</v>
      </c>
      <c r="E94" s="218">
        <v>19</v>
      </c>
    </row>
    <row r="95" spans="1:5" x14ac:dyDescent="0.35">
      <c r="A95" s="3" t="str">
        <f>IF(D95="","",(VLOOKUP($D95,KEY!$B$5:$D$74,3,FALSE)))</f>
        <v>Arizona</v>
      </c>
      <c r="B95" s="221">
        <v>44866</v>
      </c>
      <c r="C95" s="221" t="str">
        <f>IFERROR(VLOOKUP($B95,KEY!$AE$19:$AH$60,2,FALSE),"")</f>
        <v>2022-Q4</v>
      </c>
      <c r="D95" s="222" t="s">
        <v>146</v>
      </c>
      <c r="E95" s="218">
        <v>4</v>
      </c>
    </row>
    <row r="96" spans="1:5" x14ac:dyDescent="0.35">
      <c r="A96" s="3" t="str">
        <f>IF(D96="","",(VLOOKUP($D96,KEY!$B$5:$D$74,3,FALSE)))</f>
        <v>Texas</v>
      </c>
      <c r="B96" s="221">
        <v>44866</v>
      </c>
      <c r="C96" s="221" t="str">
        <f>IFERROR(VLOOKUP($B96,KEY!$AE$19:$AH$60,2,FALSE),"")</f>
        <v>2022-Q4</v>
      </c>
      <c r="D96" s="222" t="s">
        <v>147</v>
      </c>
      <c r="E96" s="218">
        <v>5</v>
      </c>
    </row>
    <row r="97" spans="1:5" x14ac:dyDescent="0.35">
      <c r="A97" s="3" t="str">
        <f>IF(D97="","",(VLOOKUP($D97,KEY!$B$5:$D$74,3,FALSE)))</f>
        <v>Northern California</v>
      </c>
      <c r="B97" s="221">
        <v>44866</v>
      </c>
      <c r="C97" s="221" t="str">
        <f>IFERROR(VLOOKUP($B97,KEY!$AE$19:$AH$60,2,FALSE),"")</f>
        <v>2022-Q4</v>
      </c>
      <c r="D97" s="222" t="s">
        <v>148</v>
      </c>
      <c r="E97" s="218">
        <v>5</v>
      </c>
    </row>
    <row r="98" spans="1:5" x14ac:dyDescent="0.35">
      <c r="A98" s="3" t="str">
        <f>IF(D98="","",(VLOOKUP($D98,KEY!$B$5:$D$74,3,FALSE)))</f>
        <v>Orange County</v>
      </c>
      <c r="B98" s="221">
        <v>44866</v>
      </c>
      <c r="C98" s="221" t="str">
        <f>IFERROR(VLOOKUP($B98,KEY!$AE$19:$AH$60,2,FALSE),"")</f>
        <v>2022-Q4</v>
      </c>
      <c r="D98" s="222" t="s">
        <v>149</v>
      </c>
      <c r="E98" s="218">
        <v>2</v>
      </c>
    </row>
    <row r="99" spans="1:5" x14ac:dyDescent="0.35">
      <c r="A99" s="3" t="str">
        <f>IF(D99="","",(VLOOKUP($D99,KEY!$B$5:$D$74,3,FALSE)))</f>
        <v>Southern California</v>
      </c>
      <c r="B99" s="221">
        <v>44866</v>
      </c>
      <c r="C99" s="221" t="str">
        <f>IFERROR(VLOOKUP($B99,KEY!$AE$19:$AH$60,2,FALSE),"")</f>
        <v>2022-Q4</v>
      </c>
      <c r="D99" s="222" t="s">
        <v>150</v>
      </c>
      <c r="E99" s="218">
        <v>5</v>
      </c>
    </row>
    <row r="100" spans="1:5" x14ac:dyDescent="0.35">
      <c r="A100" s="3" t="str">
        <f>IF(D100="","",(VLOOKUP($D100,KEY!$B$5:$D$74,3,FALSE)))</f>
        <v>Arizona</v>
      </c>
      <c r="B100" s="221">
        <v>44866</v>
      </c>
      <c r="C100" s="221" t="str">
        <f>IFERROR(VLOOKUP($B100,KEY!$AE$19:$AH$60,2,FALSE),"")</f>
        <v>2022-Q4</v>
      </c>
      <c r="D100" s="222" t="s">
        <v>151</v>
      </c>
      <c r="E100" s="218">
        <v>2</v>
      </c>
    </row>
    <row r="101" spans="1:5" x14ac:dyDescent="0.35">
      <c r="A101" s="3" t="str">
        <f>IF(D101="","",(VLOOKUP($D101,KEY!$B$5:$D$74,3,FALSE)))</f>
        <v>Northern California</v>
      </c>
      <c r="B101" s="221">
        <v>44866</v>
      </c>
      <c r="C101" s="221" t="str">
        <f>IFERROR(VLOOKUP($B101,KEY!$AE$19:$AH$60,2,FALSE),"")</f>
        <v>2022-Q4</v>
      </c>
      <c r="D101" s="222" t="s">
        <v>152</v>
      </c>
      <c r="E101" s="218">
        <v>11</v>
      </c>
    </row>
    <row r="102" spans="1:5" x14ac:dyDescent="0.35">
      <c r="A102" s="3" t="str">
        <f>IF(D102="","",(VLOOKUP($D102,KEY!$B$5:$D$74,3,FALSE)))</f>
        <v>Arizona</v>
      </c>
      <c r="B102" s="221">
        <v>44866</v>
      </c>
      <c r="C102" s="221" t="str">
        <f>IFERROR(VLOOKUP($B102,KEY!$AE$19:$AH$60,2,FALSE),"")</f>
        <v>2022-Q4</v>
      </c>
      <c r="D102" s="222" t="s">
        <v>153</v>
      </c>
      <c r="E102" s="218">
        <v>12</v>
      </c>
    </row>
    <row r="103" spans="1:5" x14ac:dyDescent="0.35">
      <c r="A103" s="3" t="str">
        <f>IF(D103="","",(VLOOKUP($D103,KEY!$B$5:$D$74,3,FALSE)))</f>
        <v>Northern California</v>
      </c>
      <c r="B103" s="221">
        <v>44866</v>
      </c>
      <c r="C103" s="221" t="str">
        <f>IFERROR(VLOOKUP($B103,KEY!$AE$19:$AH$60,2,FALSE),"")</f>
        <v>2022-Q4</v>
      </c>
      <c r="D103" s="222" t="s">
        <v>154</v>
      </c>
      <c r="E103" s="218">
        <v>5</v>
      </c>
    </row>
    <row r="104" spans="1:5" x14ac:dyDescent="0.35">
      <c r="A104" s="3" t="str">
        <f>IF(D104="","",(VLOOKUP($D104,KEY!$B$5:$D$74,3,FALSE)))</f>
        <v>Texas</v>
      </c>
      <c r="B104" s="221">
        <v>44866</v>
      </c>
      <c r="C104" s="221" t="str">
        <f>IFERROR(VLOOKUP($B104,KEY!$AE$19:$AH$60,2,FALSE),"")</f>
        <v>2022-Q4</v>
      </c>
      <c r="D104" s="222" t="s">
        <v>155</v>
      </c>
      <c r="E104" s="218">
        <v>23</v>
      </c>
    </row>
    <row r="105" spans="1:5" x14ac:dyDescent="0.35">
      <c r="A105" s="3" t="str">
        <f>IF(D105="","",(VLOOKUP($D105,KEY!$B$5:$D$74,3,FALSE)))</f>
        <v>Texas</v>
      </c>
      <c r="B105" s="221">
        <v>44866</v>
      </c>
      <c r="C105" s="221" t="str">
        <f>IFERROR(VLOOKUP($B105,KEY!$AE$19:$AH$60,2,FALSE),"")</f>
        <v>2022-Q4</v>
      </c>
      <c r="D105" s="222" t="s">
        <v>156</v>
      </c>
      <c r="E105" s="218">
        <v>22</v>
      </c>
    </row>
    <row r="106" spans="1:5" x14ac:dyDescent="0.35">
      <c r="A106" s="3" t="str">
        <f>IF(D106="","",(VLOOKUP($D106,KEY!$B$5:$D$74,3,FALSE)))</f>
        <v>Texas</v>
      </c>
      <c r="B106" s="221">
        <v>44866</v>
      </c>
      <c r="C106" s="221" t="str">
        <f>IFERROR(VLOOKUP($B106,KEY!$AE$19:$AH$60,2,FALSE),"")</f>
        <v>2022-Q4</v>
      </c>
      <c r="D106" s="222" t="s">
        <v>157</v>
      </c>
      <c r="E106" s="218">
        <v>23</v>
      </c>
    </row>
    <row r="107" spans="1:5" x14ac:dyDescent="0.35">
      <c r="A107" s="3" t="str">
        <f>IF(D107="","",(VLOOKUP($D107,KEY!$B$5:$D$74,3,FALSE)))</f>
        <v>Arizona</v>
      </c>
      <c r="B107" s="221">
        <v>44866</v>
      </c>
      <c r="C107" s="221" t="str">
        <f>IFERROR(VLOOKUP($B107,KEY!$AE$19:$AH$60,2,FALSE),"")</f>
        <v>2022-Q4</v>
      </c>
      <c r="D107" s="222" t="s">
        <v>158</v>
      </c>
      <c r="E107" s="218">
        <v>5</v>
      </c>
    </row>
    <row r="108" spans="1:5" x14ac:dyDescent="0.35">
      <c r="A108" s="3" t="str">
        <f>IF(D108="","",(VLOOKUP($D108,KEY!$B$5:$D$74,3,FALSE)))</f>
        <v>Orange County</v>
      </c>
      <c r="B108" s="221">
        <v>44866</v>
      </c>
      <c r="C108" s="221" t="str">
        <f>IFERROR(VLOOKUP($B108,KEY!$AE$19:$AH$60,2,FALSE),"")</f>
        <v>2022-Q4</v>
      </c>
      <c r="D108" s="222" t="s">
        <v>159</v>
      </c>
      <c r="E108" s="218">
        <v>9</v>
      </c>
    </row>
    <row r="109" spans="1:5" x14ac:dyDescent="0.35">
      <c r="A109" s="3" t="str">
        <f>IF(D109="","",(VLOOKUP($D109,KEY!$B$5:$D$74,3,FALSE)))</f>
        <v>Arizona</v>
      </c>
      <c r="B109" s="221">
        <v>44866</v>
      </c>
      <c r="C109" s="221" t="str">
        <f>IFERROR(VLOOKUP($B109,KEY!$AE$19:$AH$60,2,FALSE),"")</f>
        <v>2022-Q4</v>
      </c>
      <c r="D109" s="222" t="s">
        <v>160</v>
      </c>
      <c r="E109" s="218">
        <v>21</v>
      </c>
    </row>
    <row r="110" spans="1:5" x14ac:dyDescent="0.35">
      <c r="A110" s="3" t="str">
        <f>IF(D110="","",(VLOOKUP($D110,KEY!$B$5:$D$74,3,FALSE)))</f>
        <v>Northern California</v>
      </c>
      <c r="B110" s="221">
        <v>44866</v>
      </c>
      <c r="C110" s="221" t="str">
        <f>IFERROR(VLOOKUP($B110,KEY!$AE$19:$AH$60,2,FALSE),"")</f>
        <v>2022-Q4</v>
      </c>
      <c r="D110" s="222" t="s">
        <v>161</v>
      </c>
      <c r="E110" s="218">
        <v>20</v>
      </c>
    </row>
    <row r="111" spans="1:5" x14ac:dyDescent="0.35">
      <c r="A111" s="3" t="e">
        <f>IF(D111="","",(VLOOKUP($D111,KEY!$B$5:$D$74,3,FALSE)))</f>
        <v>#N/A</v>
      </c>
      <c r="B111" s="221">
        <v>44866</v>
      </c>
      <c r="C111" s="221" t="str">
        <f>IFERROR(VLOOKUP($B111,KEY!$AE$19:$AH$60,2,FALSE),"")</f>
        <v>2022-Q4</v>
      </c>
      <c r="D111" s="222" t="s">
        <v>162</v>
      </c>
      <c r="E111" s="218">
        <v>31</v>
      </c>
    </row>
    <row r="112" spans="1:5" x14ac:dyDescent="0.35">
      <c r="A112" s="3" t="str">
        <f>IF(D112="","",(VLOOKUP($D112,KEY!$B$5:$D$74,3,FALSE)))</f>
        <v>Arizona</v>
      </c>
      <c r="B112" s="221">
        <v>44866</v>
      </c>
      <c r="C112" s="221" t="str">
        <f>IFERROR(VLOOKUP($B112,KEY!$AE$19:$AH$60,2,FALSE),"")</f>
        <v>2022-Q4</v>
      </c>
      <c r="D112" s="222" t="s">
        <v>163</v>
      </c>
      <c r="E112" s="218">
        <v>19</v>
      </c>
    </row>
    <row r="113" spans="1:5" x14ac:dyDescent="0.35">
      <c r="A113" s="3" t="str">
        <f>IF(D113="","",(VLOOKUP($D113,KEY!$B$5:$D$74,3,FALSE)))</f>
        <v>Arizona</v>
      </c>
      <c r="B113" s="221">
        <v>44866</v>
      </c>
      <c r="C113" s="221" t="str">
        <f>IFERROR(VLOOKUP($B113,KEY!$AE$19:$AH$60,2,FALSE),"")</f>
        <v>2022-Q4</v>
      </c>
      <c r="D113" s="222" t="s">
        <v>164</v>
      </c>
      <c r="E113" s="218">
        <v>7</v>
      </c>
    </row>
    <row r="114" spans="1:5" x14ac:dyDescent="0.35">
      <c r="A114" s="3" t="str">
        <f>IF(D114="","",(VLOOKUP($D114,KEY!$B$5:$D$74,3,FALSE)))</f>
        <v>Orange County</v>
      </c>
      <c r="B114" s="221">
        <v>44866</v>
      </c>
      <c r="C114" s="221" t="str">
        <f>IFERROR(VLOOKUP($B114,KEY!$AE$19:$AH$60,2,FALSE),"")</f>
        <v>2022-Q4</v>
      </c>
      <c r="D114" s="222" t="s">
        <v>165</v>
      </c>
      <c r="E114" s="218">
        <v>8</v>
      </c>
    </row>
    <row r="115" spans="1:5" x14ac:dyDescent="0.35">
      <c r="A115" s="3" t="str">
        <f>IF(D115="","",(VLOOKUP($D115,KEY!$B$5:$D$74,3,FALSE)))</f>
        <v>Arizona</v>
      </c>
      <c r="B115" s="221">
        <v>44896</v>
      </c>
      <c r="C115" s="221" t="str">
        <f>IFERROR(VLOOKUP($B115,KEY!$AE$19:$AH$60,2,FALSE),"")</f>
        <v>2022-Q4</v>
      </c>
      <c r="D115" s="222" t="s">
        <v>111</v>
      </c>
      <c r="E115" s="218">
        <v>7</v>
      </c>
    </row>
    <row r="116" spans="1:5" x14ac:dyDescent="0.35">
      <c r="A116" s="3" t="str">
        <f>IF(D116="","",(VLOOKUP($D116,KEY!$B$5:$D$74,3,FALSE)))</f>
        <v>Southern California</v>
      </c>
      <c r="B116" s="221">
        <v>44896</v>
      </c>
      <c r="C116" s="221" t="str">
        <f>IFERROR(VLOOKUP($B116,KEY!$AE$19:$AH$60,2,FALSE),"")</f>
        <v>2022-Q4</v>
      </c>
      <c r="D116" s="222" t="s">
        <v>112</v>
      </c>
      <c r="E116" s="218">
        <v>4</v>
      </c>
    </row>
    <row r="117" spans="1:5" x14ac:dyDescent="0.35">
      <c r="A117" s="3" t="str">
        <f>IF(D117="","",(VLOOKUP($D117,KEY!$B$5:$D$74,3,FALSE)))</f>
        <v>Arizona</v>
      </c>
      <c r="B117" s="221">
        <v>44896</v>
      </c>
      <c r="C117" s="221" t="str">
        <f>IFERROR(VLOOKUP($B117,KEY!$AE$19:$AH$60,2,FALSE),"")</f>
        <v>2022-Q4</v>
      </c>
      <c r="D117" s="222" t="s">
        <v>113</v>
      </c>
      <c r="E117" s="218">
        <v>8</v>
      </c>
    </row>
    <row r="118" spans="1:5" x14ac:dyDescent="0.35">
      <c r="A118" s="3" t="str">
        <f>IF(D118="","",(VLOOKUP($D118,KEY!$B$5:$D$74,3,FALSE)))</f>
        <v>Southern California</v>
      </c>
      <c r="B118" s="221">
        <v>44896</v>
      </c>
      <c r="C118" s="221" t="str">
        <f>IFERROR(VLOOKUP($B118,KEY!$AE$19:$AH$60,2,FALSE),"")</f>
        <v>2022-Q4</v>
      </c>
      <c r="D118" s="222" t="s">
        <v>114</v>
      </c>
      <c r="E118" s="218">
        <v>7</v>
      </c>
    </row>
    <row r="119" spans="1:5" x14ac:dyDescent="0.35">
      <c r="A119" s="3" t="str">
        <f>IF(D119="","",(VLOOKUP($D119,KEY!$B$5:$D$74,3,FALSE)))</f>
        <v>Orange County</v>
      </c>
      <c r="B119" s="221">
        <v>44896</v>
      </c>
      <c r="C119" s="221" t="str">
        <f>IFERROR(VLOOKUP($B119,KEY!$AE$19:$AH$60,2,FALSE),"")</f>
        <v>2022-Q4</v>
      </c>
      <c r="D119" s="222" t="s">
        <v>115</v>
      </c>
      <c r="E119" s="218">
        <v>6</v>
      </c>
    </row>
    <row r="120" spans="1:5" x14ac:dyDescent="0.35">
      <c r="A120" s="3" t="str">
        <f>IF(D120="","",(VLOOKUP($D120,KEY!$B$5:$D$74,3,FALSE)))</f>
        <v>Arizona</v>
      </c>
      <c r="B120" s="221">
        <v>44896</v>
      </c>
      <c r="C120" s="221" t="str">
        <f>IFERROR(VLOOKUP($B120,KEY!$AE$19:$AH$60,2,FALSE),"")</f>
        <v>2022-Q4</v>
      </c>
      <c r="D120" s="222" t="s">
        <v>116</v>
      </c>
      <c r="E120" s="218">
        <v>12</v>
      </c>
    </row>
    <row r="121" spans="1:5" x14ac:dyDescent="0.35">
      <c r="A121" s="3" t="str">
        <f>IF(D121="","",(VLOOKUP($D121,KEY!$B$5:$D$74,3,FALSE)))</f>
        <v>Orange County</v>
      </c>
      <c r="B121" s="221">
        <v>44896</v>
      </c>
      <c r="C121" s="221" t="str">
        <f>IFERROR(VLOOKUP($B121,KEY!$AE$19:$AH$60,2,FALSE),"")</f>
        <v>2022-Q4</v>
      </c>
      <c r="D121" s="222" t="s">
        <v>117</v>
      </c>
      <c r="E121" s="218">
        <v>14</v>
      </c>
    </row>
    <row r="122" spans="1:5" x14ac:dyDescent="0.35">
      <c r="A122" s="3" t="str">
        <f>IF(D122="","",(VLOOKUP($D122,KEY!$B$5:$D$74,3,FALSE)))</f>
        <v>Northern California</v>
      </c>
      <c r="B122" s="221">
        <v>44896</v>
      </c>
      <c r="C122" s="221" t="str">
        <f>IFERROR(VLOOKUP($B122,KEY!$AE$19:$AH$60,2,FALSE),"")</f>
        <v>2022-Q4</v>
      </c>
      <c r="D122" s="222" t="s">
        <v>118</v>
      </c>
      <c r="E122" s="218">
        <v>13</v>
      </c>
    </row>
    <row r="123" spans="1:5" x14ac:dyDescent="0.35">
      <c r="A123" s="3" t="str">
        <f>IF(D123="","",(VLOOKUP($D123,KEY!$B$5:$D$74,3,FALSE)))</f>
        <v>Arizona</v>
      </c>
      <c r="B123" s="221">
        <v>44896</v>
      </c>
      <c r="C123" s="221" t="str">
        <f>IFERROR(VLOOKUP($B123,KEY!$AE$19:$AH$60,2,FALSE),"")</f>
        <v>2022-Q4</v>
      </c>
      <c r="D123" s="222" t="s">
        <v>119</v>
      </c>
      <c r="E123" s="218">
        <v>4</v>
      </c>
    </row>
    <row r="124" spans="1:5" x14ac:dyDescent="0.35">
      <c r="A124" s="3" t="str">
        <f>IF(D124="","",(VLOOKUP($D124,KEY!$B$5:$D$74,3,FALSE)))</f>
        <v>Arizona</v>
      </c>
      <c r="B124" s="221">
        <v>44896</v>
      </c>
      <c r="C124" s="221" t="str">
        <f>IFERROR(VLOOKUP($B124,KEY!$AE$19:$AH$60,2,FALSE),"")</f>
        <v>2022-Q4</v>
      </c>
      <c r="D124" s="222" t="s">
        <v>120</v>
      </c>
      <c r="E124" s="218">
        <v>25</v>
      </c>
    </row>
    <row r="125" spans="1:5" x14ac:dyDescent="0.35">
      <c r="A125" s="3" t="str">
        <f>IF(D125="","",(VLOOKUP($D125,KEY!$B$5:$D$74,3,FALSE)))</f>
        <v>Texas</v>
      </c>
      <c r="B125" s="221">
        <v>44896</v>
      </c>
      <c r="C125" s="221" t="str">
        <f>IFERROR(VLOOKUP($B125,KEY!$AE$19:$AH$60,2,FALSE),"")</f>
        <v>2022-Q4</v>
      </c>
      <c r="D125" s="222" t="s">
        <v>121</v>
      </c>
      <c r="E125" s="218">
        <v>18</v>
      </c>
    </row>
    <row r="126" spans="1:5" x14ac:dyDescent="0.35">
      <c r="A126" s="3" t="str">
        <f>IF(D126="","",(VLOOKUP($D126,KEY!$B$5:$D$74,3,FALSE)))</f>
        <v>Southern California</v>
      </c>
      <c r="B126" s="221">
        <v>44896</v>
      </c>
      <c r="C126" s="221" t="str">
        <f>IFERROR(VLOOKUP($B126,KEY!$AE$19:$AH$60,2,FALSE),"")</f>
        <v>2022-Q4</v>
      </c>
      <c r="D126" s="222" t="s">
        <v>122</v>
      </c>
      <c r="E126" s="218">
        <v>15</v>
      </c>
    </row>
    <row r="127" spans="1:5" x14ac:dyDescent="0.35">
      <c r="A127" s="3" t="str">
        <f>IF(D127="","",(VLOOKUP($D127,KEY!$B$5:$D$74,3,FALSE)))</f>
        <v>Orange County</v>
      </c>
      <c r="B127" s="221">
        <v>44896</v>
      </c>
      <c r="C127" s="221" t="str">
        <f>IFERROR(VLOOKUP($B127,KEY!$AE$19:$AH$60,2,FALSE),"")</f>
        <v>2022-Q4</v>
      </c>
      <c r="D127" s="222" t="s">
        <v>123</v>
      </c>
      <c r="E127" s="218">
        <v>21</v>
      </c>
    </row>
    <row r="128" spans="1:5" x14ac:dyDescent="0.35">
      <c r="A128" s="3" t="str">
        <f>IF(D128="","",(VLOOKUP($D128,KEY!$B$5:$D$74,3,FALSE)))</f>
        <v>Southern California</v>
      </c>
      <c r="B128" s="221">
        <v>44896</v>
      </c>
      <c r="C128" s="221" t="str">
        <f>IFERROR(VLOOKUP($B128,KEY!$AE$19:$AH$60,2,FALSE),"")</f>
        <v>2022-Q4</v>
      </c>
      <c r="D128" s="222" t="s">
        <v>124</v>
      </c>
      <c r="E128" s="218">
        <v>10</v>
      </c>
    </row>
    <row r="129" spans="1:5" x14ac:dyDescent="0.35">
      <c r="A129" s="3" t="str">
        <f>IF(D129="","",(VLOOKUP($D129,KEY!$B$5:$D$74,3,FALSE)))</f>
        <v>Northern California</v>
      </c>
      <c r="B129" s="221">
        <v>44896</v>
      </c>
      <c r="C129" s="221" t="str">
        <f>IFERROR(VLOOKUP($B129,KEY!$AE$19:$AH$60,2,FALSE),"")</f>
        <v>2022-Q4</v>
      </c>
      <c r="D129" s="222" t="s">
        <v>195</v>
      </c>
      <c r="E129" s="218">
        <v>4</v>
      </c>
    </row>
    <row r="130" spans="1:5" x14ac:dyDescent="0.35">
      <c r="A130" s="3" t="str">
        <f>IF(D130="","",(VLOOKUP($D130,KEY!$B$5:$D$74,3,FALSE)))</f>
        <v>Northern California</v>
      </c>
      <c r="B130" s="221">
        <v>44896</v>
      </c>
      <c r="C130" s="221" t="str">
        <f>IFERROR(VLOOKUP($B130,KEY!$AE$19:$AH$60,2,FALSE),"")</f>
        <v>2022-Q4</v>
      </c>
      <c r="D130" s="222" t="s">
        <v>125</v>
      </c>
      <c r="E130" s="218">
        <v>19</v>
      </c>
    </row>
    <row r="131" spans="1:5" x14ac:dyDescent="0.35">
      <c r="A131" s="3" t="str">
        <f>IF(D131="","",(VLOOKUP($D131,KEY!$B$5:$D$74,3,FALSE)))</f>
        <v>Orange County</v>
      </c>
      <c r="B131" s="221">
        <v>44896</v>
      </c>
      <c r="C131" s="221" t="str">
        <f>IFERROR(VLOOKUP($B131,KEY!$AE$19:$AH$60,2,FALSE),"")</f>
        <v>2022-Q4</v>
      </c>
      <c r="D131" s="222" t="s">
        <v>126</v>
      </c>
      <c r="E131" s="218">
        <v>29</v>
      </c>
    </row>
    <row r="132" spans="1:5" x14ac:dyDescent="0.35">
      <c r="A132" s="3" t="str">
        <f>IF(D132="","",(VLOOKUP($D132,KEY!$B$5:$D$74,3,FALSE)))</f>
        <v>Orange County</v>
      </c>
      <c r="B132" s="221">
        <v>44896</v>
      </c>
      <c r="C132" s="221" t="str">
        <f>IFERROR(VLOOKUP($B132,KEY!$AE$19:$AH$60,2,FALSE),"")</f>
        <v>2022-Q4</v>
      </c>
      <c r="D132" s="222" t="s">
        <v>127</v>
      </c>
      <c r="E132" s="218">
        <v>4</v>
      </c>
    </row>
    <row r="133" spans="1:5" x14ac:dyDescent="0.35">
      <c r="A133" s="3" t="str">
        <f>IF(D133="","",(VLOOKUP($D133,KEY!$B$5:$D$74,3,FALSE)))</f>
        <v>Texas</v>
      </c>
      <c r="B133" s="221">
        <v>44896</v>
      </c>
      <c r="C133" s="221" t="str">
        <f>IFERROR(VLOOKUP($B133,KEY!$AE$19:$AH$60,2,FALSE),"")</f>
        <v>2022-Q4</v>
      </c>
      <c r="D133" s="222" t="s">
        <v>128</v>
      </c>
      <c r="E133" s="218">
        <v>18</v>
      </c>
    </row>
    <row r="134" spans="1:5" x14ac:dyDescent="0.35">
      <c r="A134" s="3" t="str">
        <f>IF(D134="","",(VLOOKUP($D134,KEY!$B$5:$D$74,3,FALSE)))</f>
        <v>Northern California</v>
      </c>
      <c r="B134" s="221">
        <v>44896</v>
      </c>
      <c r="C134" s="221" t="str">
        <f>IFERROR(VLOOKUP($B134,KEY!$AE$19:$AH$60,2,FALSE),"")</f>
        <v>2022-Q4</v>
      </c>
      <c r="D134" s="222" t="s">
        <v>129</v>
      </c>
      <c r="E134" s="218">
        <v>16</v>
      </c>
    </row>
    <row r="135" spans="1:5" x14ac:dyDescent="0.35">
      <c r="A135" s="3" t="str">
        <f>IF(D135="","",(VLOOKUP($D135,KEY!$B$5:$D$74,3,FALSE)))</f>
        <v>Southern California</v>
      </c>
      <c r="B135" s="221">
        <v>44896</v>
      </c>
      <c r="C135" s="221" t="str">
        <f>IFERROR(VLOOKUP($B135,KEY!$AE$19:$AH$60,2,FALSE),"")</f>
        <v>2022-Q4</v>
      </c>
      <c r="D135" s="222" t="s">
        <v>130</v>
      </c>
      <c r="E135" s="218">
        <v>6</v>
      </c>
    </row>
    <row r="136" spans="1:5" x14ac:dyDescent="0.35">
      <c r="A136" s="3">
        <f>IF(D136="","",(VLOOKUP($D136,KEY!$B$5:$D$74,3,FALSE)))</f>
        <v>0</v>
      </c>
      <c r="B136" s="221">
        <v>44896</v>
      </c>
      <c r="C136" s="221" t="str">
        <f>IFERROR(VLOOKUP($B136,KEY!$AE$19:$AH$60,2,FALSE),"")</f>
        <v>2022-Q4</v>
      </c>
      <c r="D136" s="222" t="s">
        <v>131</v>
      </c>
      <c r="E136" s="218">
        <v>15</v>
      </c>
    </row>
    <row r="137" spans="1:5" x14ac:dyDescent="0.35">
      <c r="A137" s="3" t="e">
        <f>IF(D137="","",(VLOOKUP($D137,KEY!$B$5:$D$74,3,FALSE)))</f>
        <v>#N/A</v>
      </c>
      <c r="B137" s="221">
        <v>44896</v>
      </c>
      <c r="C137" s="221" t="str">
        <f>IFERROR(VLOOKUP($B137,KEY!$AE$19:$AH$60,2,FALSE),"")</f>
        <v>2022-Q4</v>
      </c>
      <c r="D137" s="222" t="s">
        <v>134</v>
      </c>
      <c r="E137" s="218">
        <v>4</v>
      </c>
    </row>
    <row r="138" spans="1:5" x14ac:dyDescent="0.35">
      <c r="A138" s="3" t="str">
        <f>IF(D138="","",(VLOOKUP($D138,KEY!$B$5:$D$74,3,FALSE)))</f>
        <v>Southern California</v>
      </c>
      <c r="B138" s="221">
        <v>44896</v>
      </c>
      <c r="C138" s="221" t="str">
        <f>IFERROR(VLOOKUP($B138,KEY!$AE$19:$AH$60,2,FALSE),"")</f>
        <v>2022-Q4</v>
      </c>
      <c r="D138" s="222" t="s">
        <v>135</v>
      </c>
      <c r="E138" s="218">
        <v>18</v>
      </c>
    </row>
    <row r="139" spans="1:5" x14ac:dyDescent="0.35">
      <c r="A139" s="3" t="str">
        <f>IF(D139="","",(VLOOKUP($D139,KEY!$B$5:$D$74,3,FALSE)))</f>
        <v>Arizona</v>
      </c>
      <c r="B139" s="221">
        <v>44896</v>
      </c>
      <c r="C139" s="221" t="str">
        <f>IFERROR(VLOOKUP($B139,KEY!$AE$19:$AH$60,2,FALSE),"")</f>
        <v>2022-Q4</v>
      </c>
      <c r="D139" s="222" t="s">
        <v>196</v>
      </c>
      <c r="E139" s="218">
        <v>4</v>
      </c>
    </row>
    <row r="140" spans="1:5" x14ac:dyDescent="0.35">
      <c r="A140" s="3" t="str">
        <f>IF(D140="","",(VLOOKUP($D140,KEY!$B$5:$D$74,3,FALSE)))</f>
        <v>Arizona</v>
      </c>
      <c r="B140" s="221">
        <v>44896</v>
      </c>
      <c r="C140" s="221" t="str">
        <f>IFERROR(VLOOKUP($B140,KEY!$AE$19:$AH$60,2,FALSE),"")</f>
        <v>2022-Q4</v>
      </c>
      <c r="D140" s="222" t="s">
        <v>197</v>
      </c>
      <c r="E140" s="218">
        <v>10</v>
      </c>
    </row>
    <row r="141" spans="1:5" x14ac:dyDescent="0.35">
      <c r="A141" s="3" t="str">
        <f>IF(D141="","",(VLOOKUP($D141,KEY!$B$5:$D$74,3,FALSE)))</f>
        <v>Texas</v>
      </c>
      <c r="B141" s="221">
        <v>44896</v>
      </c>
      <c r="C141" s="221" t="str">
        <f>IFERROR(VLOOKUP($B141,KEY!$AE$19:$AH$60,2,FALSE),"")</f>
        <v>2022-Q4</v>
      </c>
      <c r="D141" s="222" t="s">
        <v>136</v>
      </c>
      <c r="E141" s="218">
        <v>15</v>
      </c>
    </row>
    <row r="142" spans="1:5" x14ac:dyDescent="0.35">
      <c r="A142" s="3" t="str">
        <f>IF(D142="","",(VLOOKUP($D142,KEY!$B$5:$D$74,3,FALSE)))</f>
        <v>Arizona</v>
      </c>
      <c r="B142" s="221">
        <v>44896</v>
      </c>
      <c r="C142" s="221" t="str">
        <f>IFERROR(VLOOKUP($B142,KEY!$AE$19:$AH$60,2,FALSE),"")</f>
        <v>2022-Q4</v>
      </c>
      <c r="D142" s="222" t="s">
        <v>137</v>
      </c>
      <c r="E142" s="218">
        <v>8</v>
      </c>
    </row>
    <row r="143" spans="1:5" x14ac:dyDescent="0.35">
      <c r="A143" s="3" t="str">
        <f>IF(D143="","",(VLOOKUP($D143,KEY!$B$5:$D$74,3,FALSE)))</f>
        <v>Texas</v>
      </c>
      <c r="B143" s="221">
        <v>44896</v>
      </c>
      <c r="C143" s="221" t="str">
        <f>IFERROR(VLOOKUP($B143,KEY!$AE$19:$AH$60,2,FALSE),"")</f>
        <v>2022-Q4</v>
      </c>
      <c r="D143" s="222" t="s">
        <v>138</v>
      </c>
      <c r="E143" s="218">
        <v>5</v>
      </c>
    </row>
    <row r="144" spans="1:5" x14ac:dyDescent="0.35">
      <c r="A144" s="3" t="str">
        <f>IF(D144="","",(VLOOKUP($D144,KEY!$B$5:$D$74,3,FALSE)))</f>
        <v>Southern California</v>
      </c>
      <c r="B144" s="221">
        <v>44896</v>
      </c>
      <c r="C144" s="221" t="str">
        <f>IFERROR(VLOOKUP($B144,KEY!$AE$19:$AH$60,2,FALSE),"")</f>
        <v>2022-Q4</v>
      </c>
      <c r="D144" s="222" t="s">
        <v>139</v>
      </c>
      <c r="E144" s="218">
        <v>15</v>
      </c>
    </row>
    <row r="145" spans="1:5" x14ac:dyDescent="0.35">
      <c r="A145" s="3" t="str">
        <f>IF(D145="","",(VLOOKUP($D145,KEY!$B$5:$D$74,3,FALSE)))</f>
        <v>Orange County</v>
      </c>
      <c r="B145" s="221">
        <v>44896</v>
      </c>
      <c r="C145" s="221" t="str">
        <f>IFERROR(VLOOKUP($B145,KEY!$AE$19:$AH$60,2,FALSE),"")</f>
        <v>2022-Q4</v>
      </c>
      <c r="D145" s="222" t="s">
        <v>140</v>
      </c>
      <c r="E145" s="218">
        <v>3</v>
      </c>
    </row>
    <row r="146" spans="1:5" x14ac:dyDescent="0.35">
      <c r="A146" s="3" t="str">
        <f>IF(D146="","",(VLOOKUP($D146,KEY!$B$5:$D$74,3,FALSE)))</f>
        <v>Southern California</v>
      </c>
      <c r="B146" s="221">
        <v>44896</v>
      </c>
      <c r="C146" s="221" t="str">
        <f>IFERROR(VLOOKUP($B146,KEY!$AE$19:$AH$60,2,FALSE),"")</f>
        <v>2022-Q4</v>
      </c>
      <c r="D146" s="222" t="s">
        <v>142</v>
      </c>
      <c r="E146" s="218">
        <v>6</v>
      </c>
    </row>
    <row r="147" spans="1:5" x14ac:dyDescent="0.35">
      <c r="A147" s="3" t="str">
        <f>IF(D147="","",(VLOOKUP($D147,KEY!$B$5:$D$74,3,FALSE)))</f>
        <v>Arizona</v>
      </c>
      <c r="B147" s="221">
        <v>44896</v>
      </c>
      <c r="C147" s="221" t="str">
        <f>IFERROR(VLOOKUP($B147,KEY!$AE$19:$AH$60,2,FALSE),"")</f>
        <v>2022-Q4</v>
      </c>
      <c r="D147" s="222" t="s">
        <v>143</v>
      </c>
      <c r="E147" s="218">
        <v>9</v>
      </c>
    </row>
    <row r="148" spans="1:5" x14ac:dyDescent="0.35">
      <c r="A148" s="3" t="str">
        <f>IF(D148="","",(VLOOKUP($D148,KEY!$B$5:$D$74,3,FALSE)))</f>
        <v>Arizona</v>
      </c>
      <c r="B148" s="221">
        <v>44896</v>
      </c>
      <c r="C148" s="221" t="str">
        <f>IFERROR(VLOOKUP($B148,KEY!$AE$19:$AH$60,2,FALSE),"")</f>
        <v>2022-Q4</v>
      </c>
      <c r="D148" s="222" t="s">
        <v>144</v>
      </c>
      <c r="E148" s="218">
        <v>18</v>
      </c>
    </row>
    <row r="149" spans="1:5" x14ac:dyDescent="0.35">
      <c r="A149" s="3" t="str">
        <f>IF(D149="","",(VLOOKUP($D149,KEY!$B$5:$D$74,3,FALSE)))</f>
        <v>Southern California</v>
      </c>
      <c r="B149" s="221">
        <v>44896</v>
      </c>
      <c r="C149" s="221" t="str">
        <f>IFERROR(VLOOKUP($B149,KEY!$AE$19:$AH$60,2,FALSE),"")</f>
        <v>2022-Q4</v>
      </c>
      <c r="D149" s="222" t="s">
        <v>145</v>
      </c>
      <c r="E149" s="218">
        <v>18</v>
      </c>
    </row>
    <row r="150" spans="1:5" x14ac:dyDescent="0.35">
      <c r="A150" s="3" t="str">
        <f>IF(D150="","",(VLOOKUP($D150,KEY!$B$5:$D$74,3,FALSE)))</f>
        <v>Arizona</v>
      </c>
      <c r="B150" s="221">
        <v>44896</v>
      </c>
      <c r="C150" s="221" t="str">
        <f>IFERROR(VLOOKUP($B150,KEY!$AE$19:$AH$60,2,FALSE),"")</f>
        <v>2022-Q4</v>
      </c>
      <c r="D150" s="222" t="s">
        <v>146</v>
      </c>
      <c r="E150" s="218">
        <v>4</v>
      </c>
    </row>
    <row r="151" spans="1:5" x14ac:dyDescent="0.35">
      <c r="A151" s="3" t="str">
        <f>IF(D151="","",(VLOOKUP($D151,KEY!$B$5:$D$74,3,FALSE)))</f>
        <v>Texas</v>
      </c>
      <c r="B151" s="221">
        <v>44896</v>
      </c>
      <c r="C151" s="221" t="str">
        <f>IFERROR(VLOOKUP($B151,KEY!$AE$19:$AH$60,2,FALSE),"")</f>
        <v>2022-Q4</v>
      </c>
      <c r="D151" s="222" t="s">
        <v>147</v>
      </c>
      <c r="E151" s="218">
        <v>5</v>
      </c>
    </row>
    <row r="152" spans="1:5" x14ac:dyDescent="0.35">
      <c r="A152" s="3" t="str">
        <f>IF(D152="","",(VLOOKUP($D152,KEY!$B$5:$D$74,3,FALSE)))</f>
        <v>Northern California</v>
      </c>
      <c r="B152" s="221">
        <v>44896</v>
      </c>
      <c r="C152" s="221" t="str">
        <f>IFERROR(VLOOKUP($B152,KEY!$AE$19:$AH$60,2,FALSE),"")</f>
        <v>2022-Q4</v>
      </c>
      <c r="D152" s="222" t="s">
        <v>148</v>
      </c>
      <c r="E152" s="218">
        <v>5</v>
      </c>
    </row>
    <row r="153" spans="1:5" x14ac:dyDescent="0.35">
      <c r="A153" s="3" t="str">
        <f>IF(D153="","",(VLOOKUP($D153,KEY!$B$5:$D$74,3,FALSE)))</f>
        <v>Orange County</v>
      </c>
      <c r="B153" s="221">
        <v>44896</v>
      </c>
      <c r="C153" s="221" t="str">
        <f>IFERROR(VLOOKUP($B153,KEY!$AE$19:$AH$60,2,FALSE),"")</f>
        <v>2022-Q4</v>
      </c>
      <c r="D153" s="222" t="s">
        <v>149</v>
      </c>
      <c r="E153" s="218">
        <v>2</v>
      </c>
    </row>
    <row r="154" spans="1:5" x14ac:dyDescent="0.35">
      <c r="A154" s="3" t="str">
        <f>IF(D154="","",(VLOOKUP($D154,KEY!$B$5:$D$74,3,FALSE)))</f>
        <v>Southern California</v>
      </c>
      <c r="B154" s="221">
        <v>44896</v>
      </c>
      <c r="C154" s="221" t="str">
        <f>IFERROR(VLOOKUP($B154,KEY!$AE$19:$AH$60,2,FALSE),"")</f>
        <v>2022-Q4</v>
      </c>
      <c r="D154" s="222" t="s">
        <v>150</v>
      </c>
      <c r="E154" s="218">
        <v>5</v>
      </c>
    </row>
    <row r="155" spans="1:5" x14ac:dyDescent="0.35">
      <c r="A155" s="3" t="str">
        <f>IF(D155="","",(VLOOKUP($D155,KEY!$B$5:$D$74,3,FALSE)))</f>
        <v>Arizona</v>
      </c>
      <c r="B155" s="221">
        <v>44896</v>
      </c>
      <c r="C155" s="221" t="str">
        <f>IFERROR(VLOOKUP($B155,KEY!$AE$19:$AH$60,2,FALSE),"")</f>
        <v>2022-Q4</v>
      </c>
      <c r="D155" s="222" t="s">
        <v>151</v>
      </c>
      <c r="E155" s="218">
        <v>2</v>
      </c>
    </row>
    <row r="156" spans="1:5" x14ac:dyDescent="0.35">
      <c r="A156" s="3" t="str">
        <f>IF(D156="","",(VLOOKUP($D156,KEY!$B$5:$D$74,3,FALSE)))</f>
        <v>Northern California</v>
      </c>
      <c r="B156" s="221">
        <v>44896</v>
      </c>
      <c r="C156" s="221" t="str">
        <f>IFERROR(VLOOKUP($B156,KEY!$AE$19:$AH$60,2,FALSE),"")</f>
        <v>2022-Q4</v>
      </c>
      <c r="D156" s="222" t="s">
        <v>152</v>
      </c>
      <c r="E156" s="218">
        <v>11</v>
      </c>
    </row>
    <row r="157" spans="1:5" x14ac:dyDescent="0.35">
      <c r="A157" s="3" t="str">
        <f>IF(D157="","",(VLOOKUP($D157,KEY!$B$5:$D$74,3,FALSE)))</f>
        <v>Arizona</v>
      </c>
      <c r="B157" s="221">
        <v>44896</v>
      </c>
      <c r="C157" s="221" t="str">
        <f>IFERROR(VLOOKUP($B157,KEY!$AE$19:$AH$60,2,FALSE),"")</f>
        <v>2022-Q4</v>
      </c>
      <c r="D157" s="222" t="s">
        <v>153</v>
      </c>
      <c r="E157" s="218">
        <v>12</v>
      </c>
    </row>
    <row r="158" spans="1:5" x14ac:dyDescent="0.35">
      <c r="A158" s="3" t="str">
        <f>IF(D158="","",(VLOOKUP($D158,KEY!$B$5:$D$74,3,FALSE)))</f>
        <v>Northern California</v>
      </c>
      <c r="B158" s="221">
        <v>44896</v>
      </c>
      <c r="C158" s="221" t="str">
        <f>IFERROR(VLOOKUP($B158,KEY!$AE$19:$AH$60,2,FALSE),"")</f>
        <v>2022-Q4</v>
      </c>
      <c r="D158" s="222" t="s">
        <v>154</v>
      </c>
      <c r="E158" s="218">
        <v>5</v>
      </c>
    </row>
    <row r="159" spans="1:5" x14ac:dyDescent="0.35">
      <c r="A159" s="3" t="str">
        <f>IF(D159="","",(VLOOKUP($D159,KEY!$B$5:$D$74,3,FALSE)))</f>
        <v>Texas</v>
      </c>
      <c r="B159" s="221">
        <v>44896</v>
      </c>
      <c r="C159" s="221" t="str">
        <f>IFERROR(VLOOKUP($B159,KEY!$AE$19:$AH$60,2,FALSE),"")</f>
        <v>2022-Q4</v>
      </c>
      <c r="D159" s="222" t="s">
        <v>155</v>
      </c>
      <c r="E159" s="218">
        <v>23</v>
      </c>
    </row>
    <row r="160" spans="1:5" x14ac:dyDescent="0.35">
      <c r="A160" s="3" t="str">
        <f>IF(D160="","",(VLOOKUP($D160,KEY!$B$5:$D$74,3,FALSE)))</f>
        <v>Texas</v>
      </c>
      <c r="B160" s="221">
        <v>44896</v>
      </c>
      <c r="C160" s="221" t="str">
        <f>IFERROR(VLOOKUP($B160,KEY!$AE$19:$AH$60,2,FALSE),"")</f>
        <v>2022-Q4</v>
      </c>
      <c r="D160" s="222" t="s">
        <v>156</v>
      </c>
      <c r="E160" s="218">
        <v>22</v>
      </c>
    </row>
    <row r="161" spans="1:5" x14ac:dyDescent="0.35">
      <c r="A161" s="3" t="str">
        <f>IF(D161="","",(VLOOKUP($D161,KEY!$B$5:$D$74,3,FALSE)))</f>
        <v>Texas</v>
      </c>
      <c r="B161" s="221">
        <v>44896</v>
      </c>
      <c r="C161" s="221" t="str">
        <f>IFERROR(VLOOKUP($B161,KEY!$AE$19:$AH$60,2,FALSE),"")</f>
        <v>2022-Q4</v>
      </c>
      <c r="D161" s="222" t="s">
        <v>157</v>
      </c>
      <c r="E161" s="218">
        <v>26</v>
      </c>
    </row>
    <row r="162" spans="1:5" x14ac:dyDescent="0.35">
      <c r="A162" s="3" t="str">
        <f>IF(D162="","",(VLOOKUP($D162,KEY!$B$5:$D$74,3,FALSE)))</f>
        <v>Arizona</v>
      </c>
      <c r="B162" s="221">
        <v>44896</v>
      </c>
      <c r="C162" s="221" t="str">
        <f>IFERROR(VLOOKUP($B162,KEY!$AE$19:$AH$60,2,FALSE),"")</f>
        <v>2022-Q4</v>
      </c>
      <c r="D162" s="222" t="s">
        <v>158</v>
      </c>
      <c r="E162" s="218">
        <v>5</v>
      </c>
    </row>
    <row r="163" spans="1:5" x14ac:dyDescent="0.35">
      <c r="A163" s="3" t="str">
        <f>IF(D163="","",(VLOOKUP($D163,KEY!$B$5:$D$74,3,FALSE)))</f>
        <v>Orange County</v>
      </c>
      <c r="B163" s="221">
        <v>44896</v>
      </c>
      <c r="C163" s="221" t="str">
        <f>IFERROR(VLOOKUP($B163,KEY!$AE$19:$AH$60,2,FALSE),"")</f>
        <v>2022-Q4</v>
      </c>
      <c r="D163" s="222" t="s">
        <v>159</v>
      </c>
      <c r="E163" s="218">
        <v>9</v>
      </c>
    </row>
    <row r="164" spans="1:5" x14ac:dyDescent="0.35">
      <c r="A164" s="3" t="str">
        <f>IF(D164="","",(VLOOKUP($D164,KEY!$B$5:$D$74,3,FALSE)))</f>
        <v>Arizona</v>
      </c>
      <c r="B164" s="221">
        <v>44896</v>
      </c>
      <c r="C164" s="221" t="str">
        <f>IFERROR(VLOOKUP($B164,KEY!$AE$19:$AH$60,2,FALSE),"")</f>
        <v>2022-Q4</v>
      </c>
      <c r="D164" s="222" t="s">
        <v>160</v>
      </c>
      <c r="E164" s="218">
        <v>20</v>
      </c>
    </row>
    <row r="165" spans="1:5" x14ac:dyDescent="0.35">
      <c r="A165" s="3" t="str">
        <f>IF(D165="","",(VLOOKUP($D165,KEY!$B$5:$D$74,3,FALSE)))</f>
        <v>Northern California</v>
      </c>
      <c r="B165" s="221">
        <v>44896</v>
      </c>
      <c r="C165" s="221" t="str">
        <f>IFERROR(VLOOKUP($B165,KEY!$AE$19:$AH$60,2,FALSE),"")</f>
        <v>2022-Q4</v>
      </c>
      <c r="D165" s="222" t="s">
        <v>161</v>
      </c>
      <c r="E165" s="218">
        <v>20</v>
      </c>
    </row>
    <row r="166" spans="1:5" x14ac:dyDescent="0.35">
      <c r="A166" s="3" t="e">
        <f>IF(D166="","",(VLOOKUP($D166,KEY!$B$5:$D$74,3,FALSE)))</f>
        <v>#N/A</v>
      </c>
      <c r="B166" s="221">
        <v>44896</v>
      </c>
      <c r="C166" s="221" t="str">
        <f>IFERROR(VLOOKUP($B166,KEY!$AE$19:$AH$60,2,FALSE),"")</f>
        <v>2022-Q4</v>
      </c>
      <c r="D166" s="222" t="s">
        <v>162</v>
      </c>
      <c r="E166" s="218">
        <v>32</v>
      </c>
    </row>
    <row r="167" spans="1:5" x14ac:dyDescent="0.35">
      <c r="A167" s="3" t="str">
        <f>IF(D167="","",(VLOOKUP($D167,KEY!$B$5:$D$74,3,FALSE)))</f>
        <v>Arizona</v>
      </c>
      <c r="B167" s="221">
        <v>44896</v>
      </c>
      <c r="C167" s="221" t="str">
        <f>IFERROR(VLOOKUP($B167,KEY!$AE$19:$AH$60,2,FALSE),"")</f>
        <v>2022-Q4</v>
      </c>
      <c r="D167" s="222" t="s">
        <v>163</v>
      </c>
      <c r="E167" s="218">
        <v>20</v>
      </c>
    </row>
    <row r="168" spans="1:5" x14ac:dyDescent="0.35">
      <c r="A168" s="3" t="str">
        <f>IF(D168="","",(VLOOKUP($D168,KEY!$B$5:$D$74,3,FALSE)))</f>
        <v>Arizona</v>
      </c>
      <c r="B168" s="221">
        <v>44896</v>
      </c>
      <c r="C168" s="221" t="str">
        <f>IFERROR(VLOOKUP($B168,KEY!$AE$19:$AH$60,2,FALSE),"")</f>
        <v>2022-Q4</v>
      </c>
      <c r="D168" s="222" t="s">
        <v>164</v>
      </c>
      <c r="E168" s="218">
        <v>8</v>
      </c>
    </row>
    <row r="169" spans="1:5" x14ac:dyDescent="0.35">
      <c r="A169" s="3" t="str">
        <f>IF(D169="","",(VLOOKUP($D169,KEY!$B$5:$D$74,3,FALSE)))</f>
        <v>Orange County</v>
      </c>
      <c r="B169" s="221">
        <v>44896</v>
      </c>
      <c r="C169" s="221" t="str">
        <f>IFERROR(VLOOKUP($B169,KEY!$AE$19:$AH$60,2,FALSE),"")</f>
        <v>2022-Q4</v>
      </c>
      <c r="D169" s="222" t="s">
        <v>165</v>
      </c>
      <c r="E169" s="218">
        <v>8</v>
      </c>
    </row>
    <row r="170" spans="1:5" x14ac:dyDescent="0.35">
      <c r="A170" s="3" t="str">
        <f>IF(D170="","",(VLOOKUP($D170,KEY!$B$5:$D$74,3,FALSE)))</f>
        <v>Arizona</v>
      </c>
      <c r="B170" s="221">
        <v>44927</v>
      </c>
      <c r="C170" s="221" t="str">
        <f>IFERROR(VLOOKUP($B170,KEY!$AE$19:$AH$60,2,FALSE),"")</f>
        <v>2023-Q1</v>
      </c>
      <c r="D170" s="222" t="s">
        <v>111</v>
      </c>
      <c r="E170" s="218">
        <v>7</v>
      </c>
    </row>
    <row r="171" spans="1:5" x14ac:dyDescent="0.35">
      <c r="A171" s="3" t="str">
        <f>IF(D171="","",(VLOOKUP($D171,KEY!$B$5:$D$74,3,FALSE)))</f>
        <v>Southern California</v>
      </c>
      <c r="B171" s="221">
        <v>44927</v>
      </c>
      <c r="C171" s="221" t="str">
        <f>IFERROR(VLOOKUP($B171,KEY!$AE$19:$AH$60,2,FALSE),"")</f>
        <v>2023-Q1</v>
      </c>
      <c r="D171" s="222" t="s">
        <v>112</v>
      </c>
      <c r="E171" s="218">
        <v>4</v>
      </c>
    </row>
    <row r="172" spans="1:5" x14ac:dyDescent="0.35">
      <c r="A172" s="3" t="str">
        <f>IF(D172="","",(VLOOKUP($D172,KEY!$B$5:$D$74,3,FALSE)))</f>
        <v>Arizona</v>
      </c>
      <c r="B172" s="221">
        <v>44927</v>
      </c>
      <c r="C172" s="221" t="str">
        <f>IFERROR(VLOOKUP($B172,KEY!$AE$19:$AH$60,2,FALSE),"")</f>
        <v>2023-Q1</v>
      </c>
      <c r="D172" s="222" t="s">
        <v>113</v>
      </c>
      <c r="E172" s="218">
        <v>8</v>
      </c>
    </row>
    <row r="173" spans="1:5" x14ac:dyDescent="0.35">
      <c r="A173" s="3" t="str">
        <f>IF(D173="","",(VLOOKUP($D173,KEY!$B$5:$D$74,3,FALSE)))</f>
        <v>Southern California</v>
      </c>
      <c r="B173" s="221">
        <v>44927</v>
      </c>
      <c r="C173" s="221" t="str">
        <f>IFERROR(VLOOKUP($B173,KEY!$AE$19:$AH$60,2,FALSE),"")</f>
        <v>2023-Q1</v>
      </c>
      <c r="D173" s="222" t="s">
        <v>114</v>
      </c>
      <c r="E173" s="218">
        <v>6</v>
      </c>
    </row>
    <row r="174" spans="1:5" x14ac:dyDescent="0.35">
      <c r="A174" s="3" t="str">
        <f>IF(D174="","",(VLOOKUP($D174,KEY!$B$5:$D$74,3,FALSE)))</f>
        <v>Orange County</v>
      </c>
      <c r="B174" s="221">
        <v>44927</v>
      </c>
      <c r="C174" s="221" t="str">
        <f>IFERROR(VLOOKUP($B174,KEY!$AE$19:$AH$60,2,FALSE),"")</f>
        <v>2023-Q1</v>
      </c>
      <c r="D174" s="222" t="s">
        <v>115</v>
      </c>
      <c r="E174" s="218">
        <v>6</v>
      </c>
    </row>
    <row r="175" spans="1:5" x14ac:dyDescent="0.35">
      <c r="A175" s="3" t="str">
        <f>IF(D175="","",(VLOOKUP($D175,KEY!$B$5:$D$74,3,FALSE)))</f>
        <v>Arizona</v>
      </c>
      <c r="B175" s="221">
        <v>44927</v>
      </c>
      <c r="C175" s="221" t="str">
        <f>IFERROR(VLOOKUP($B175,KEY!$AE$19:$AH$60,2,FALSE),"")</f>
        <v>2023-Q1</v>
      </c>
      <c r="D175" s="222" t="s">
        <v>116</v>
      </c>
      <c r="E175" s="218">
        <v>12</v>
      </c>
    </row>
    <row r="176" spans="1:5" x14ac:dyDescent="0.35">
      <c r="A176" s="3" t="str">
        <f>IF(D176="","",(VLOOKUP($D176,KEY!$B$5:$D$74,3,FALSE)))</f>
        <v>Orange County</v>
      </c>
      <c r="B176" s="221">
        <v>44927</v>
      </c>
      <c r="C176" s="221" t="str">
        <f>IFERROR(VLOOKUP($B176,KEY!$AE$19:$AH$60,2,FALSE),"")</f>
        <v>2023-Q1</v>
      </c>
      <c r="D176" s="222" t="s">
        <v>117</v>
      </c>
      <c r="E176" s="218">
        <v>14</v>
      </c>
    </row>
    <row r="177" spans="1:5" x14ac:dyDescent="0.35">
      <c r="A177" s="3" t="str">
        <f>IF(D177="","",(VLOOKUP($D177,KEY!$B$5:$D$74,3,FALSE)))</f>
        <v>Northern California</v>
      </c>
      <c r="B177" s="221">
        <v>44927</v>
      </c>
      <c r="C177" s="221" t="str">
        <f>IFERROR(VLOOKUP($B177,KEY!$AE$19:$AH$60,2,FALSE),"")</f>
        <v>2023-Q1</v>
      </c>
      <c r="D177" s="222" t="s">
        <v>118</v>
      </c>
      <c r="E177" s="218">
        <v>13</v>
      </c>
    </row>
    <row r="178" spans="1:5" x14ac:dyDescent="0.35">
      <c r="A178" s="3" t="str">
        <f>IF(D178="","",(VLOOKUP($D178,KEY!$B$5:$D$74,3,FALSE)))</f>
        <v>Arizona</v>
      </c>
      <c r="B178" s="221">
        <v>44927</v>
      </c>
      <c r="C178" s="221" t="str">
        <f>IFERROR(VLOOKUP($B178,KEY!$AE$19:$AH$60,2,FALSE),"")</f>
        <v>2023-Q1</v>
      </c>
      <c r="D178" s="222" t="s">
        <v>119</v>
      </c>
      <c r="E178" s="218">
        <v>4</v>
      </c>
    </row>
    <row r="179" spans="1:5" x14ac:dyDescent="0.35">
      <c r="A179" s="3" t="str">
        <f>IF(D179="","",(VLOOKUP($D179,KEY!$B$5:$D$74,3,FALSE)))</f>
        <v>Arizona</v>
      </c>
      <c r="B179" s="221">
        <v>44927</v>
      </c>
      <c r="C179" s="221" t="str">
        <f>IFERROR(VLOOKUP($B179,KEY!$AE$19:$AH$60,2,FALSE),"")</f>
        <v>2023-Q1</v>
      </c>
      <c r="D179" s="222" t="s">
        <v>120</v>
      </c>
      <c r="E179" s="218">
        <v>25</v>
      </c>
    </row>
    <row r="180" spans="1:5" x14ac:dyDescent="0.35">
      <c r="A180" s="3" t="str">
        <f>IF(D180="","",(VLOOKUP($D180,KEY!$B$5:$D$74,3,FALSE)))</f>
        <v>Texas</v>
      </c>
      <c r="B180" s="221">
        <v>44927</v>
      </c>
      <c r="C180" s="221" t="str">
        <f>IFERROR(VLOOKUP($B180,KEY!$AE$19:$AH$60,2,FALSE),"")</f>
        <v>2023-Q1</v>
      </c>
      <c r="D180" s="222" t="s">
        <v>121</v>
      </c>
      <c r="E180" s="218">
        <v>18</v>
      </c>
    </row>
    <row r="181" spans="1:5" x14ac:dyDescent="0.35">
      <c r="A181" s="3" t="str">
        <f>IF(D181="","",(VLOOKUP($D181,KEY!$B$5:$D$74,3,FALSE)))</f>
        <v>Southern California</v>
      </c>
      <c r="B181" s="221">
        <v>44927</v>
      </c>
      <c r="C181" s="221" t="str">
        <f>IFERROR(VLOOKUP($B181,KEY!$AE$19:$AH$60,2,FALSE),"")</f>
        <v>2023-Q1</v>
      </c>
      <c r="D181" s="222" t="s">
        <v>122</v>
      </c>
      <c r="E181" s="218">
        <v>11</v>
      </c>
    </row>
    <row r="182" spans="1:5" x14ac:dyDescent="0.35">
      <c r="A182" s="3" t="str">
        <f>IF(D182="","",(VLOOKUP($D182,KEY!$B$5:$D$74,3,FALSE)))</f>
        <v>Orange County</v>
      </c>
      <c r="B182" s="221">
        <v>44927</v>
      </c>
      <c r="C182" s="221" t="str">
        <f>IFERROR(VLOOKUP($B182,KEY!$AE$19:$AH$60,2,FALSE),"")</f>
        <v>2023-Q1</v>
      </c>
      <c r="D182" s="222" t="s">
        <v>123</v>
      </c>
      <c r="E182" s="218">
        <v>15</v>
      </c>
    </row>
    <row r="183" spans="1:5" x14ac:dyDescent="0.35">
      <c r="A183" s="3" t="str">
        <f>IF(D183="","",(VLOOKUP($D183,KEY!$B$5:$D$74,3,FALSE)))</f>
        <v>Southern California</v>
      </c>
      <c r="B183" s="221">
        <v>44927</v>
      </c>
      <c r="C183" s="221" t="str">
        <f>IFERROR(VLOOKUP($B183,KEY!$AE$19:$AH$60,2,FALSE),"")</f>
        <v>2023-Q1</v>
      </c>
      <c r="D183" s="222" t="s">
        <v>124</v>
      </c>
      <c r="E183" s="218">
        <v>22</v>
      </c>
    </row>
    <row r="184" spans="1:5" x14ac:dyDescent="0.35">
      <c r="A184" s="3" t="str">
        <f>IF(D184="","",(VLOOKUP($D184,KEY!$B$5:$D$74,3,FALSE)))</f>
        <v>Northern California</v>
      </c>
      <c r="B184" s="221">
        <v>44927</v>
      </c>
      <c r="C184" s="221" t="str">
        <f>IFERROR(VLOOKUP($B184,KEY!$AE$19:$AH$60,2,FALSE),"")</f>
        <v>2023-Q1</v>
      </c>
      <c r="D184" s="222" t="s">
        <v>195</v>
      </c>
      <c r="E184" s="218">
        <v>4</v>
      </c>
    </row>
    <row r="185" spans="1:5" x14ac:dyDescent="0.35">
      <c r="A185" s="3" t="str">
        <f>IF(D185="","",(VLOOKUP($D185,KEY!$B$5:$D$74,3,FALSE)))</f>
        <v>Northern California</v>
      </c>
      <c r="B185" s="221">
        <v>44927</v>
      </c>
      <c r="C185" s="221" t="str">
        <f>IFERROR(VLOOKUP($B185,KEY!$AE$19:$AH$60,2,FALSE),"")</f>
        <v>2023-Q1</v>
      </c>
      <c r="D185" s="222" t="s">
        <v>125</v>
      </c>
      <c r="E185" s="218">
        <v>19</v>
      </c>
    </row>
    <row r="186" spans="1:5" x14ac:dyDescent="0.35">
      <c r="A186" s="3" t="str">
        <f>IF(D186="","",(VLOOKUP($D186,KEY!$B$5:$D$74,3,FALSE)))</f>
        <v>Orange County</v>
      </c>
      <c r="B186" s="221">
        <v>44927</v>
      </c>
      <c r="C186" s="221" t="str">
        <f>IFERROR(VLOOKUP($B186,KEY!$AE$19:$AH$60,2,FALSE),"")</f>
        <v>2023-Q1</v>
      </c>
      <c r="D186" s="222" t="s">
        <v>126</v>
      </c>
      <c r="E186" s="218">
        <v>30</v>
      </c>
    </row>
    <row r="187" spans="1:5" x14ac:dyDescent="0.35">
      <c r="A187" s="3" t="str">
        <f>IF(D187="","",(VLOOKUP($D187,KEY!$B$5:$D$74,3,FALSE)))</f>
        <v>Orange County</v>
      </c>
      <c r="B187" s="221">
        <v>44927</v>
      </c>
      <c r="C187" s="221" t="str">
        <f>IFERROR(VLOOKUP($B187,KEY!$AE$19:$AH$60,2,FALSE),"")</f>
        <v>2023-Q1</v>
      </c>
      <c r="D187" s="222" t="s">
        <v>127</v>
      </c>
      <c r="E187" s="218">
        <v>4</v>
      </c>
    </row>
    <row r="188" spans="1:5" x14ac:dyDescent="0.35">
      <c r="A188" s="3" t="str">
        <f>IF(D188="","",(VLOOKUP($D188,KEY!$B$5:$D$74,3,FALSE)))</f>
        <v>Texas</v>
      </c>
      <c r="B188" s="221">
        <v>44927</v>
      </c>
      <c r="C188" s="221" t="str">
        <f>IFERROR(VLOOKUP($B188,KEY!$AE$19:$AH$60,2,FALSE),"")</f>
        <v>2023-Q1</v>
      </c>
      <c r="D188" s="222" t="s">
        <v>128</v>
      </c>
      <c r="E188" s="218">
        <v>17</v>
      </c>
    </row>
    <row r="189" spans="1:5" x14ac:dyDescent="0.35">
      <c r="A189" s="3" t="str">
        <f>IF(D189="","",(VLOOKUP($D189,KEY!$B$5:$D$74,3,FALSE)))</f>
        <v>Northern California</v>
      </c>
      <c r="B189" s="221">
        <v>44927</v>
      </c>
      <c r="C189" s="221" t="str">
        <f>IFERROR(VLOOKUP($B189,KEY!$AE$19:$AH$60,2,FALSE),"")</f>
        <v>2023-Q1</v>
      </c>
      <c r="D189" s="222" t="s">
        <v>129</v>
      </c>
      <c r="E189" s="218">
        <v>15</v>
      </c>
    </row>
    <row r="190" spans="1:5" x14ac:dyDescent="0.35">
      <c r="A190" s="3" t="str">
        <f>IF(D190="","",(VLOOKUP($D190,KEY!$B$5:$D$74,3,FALSE)))</f>
        <v>Southern California</v>
      </c>
      <c r="B190" s="221">
        <v>44927</v>
      </c>
      <c r="C190" s="221" t="str">
        <f>IFERROR(VLOOKUP($B190,KEY!$AE$19:$AH$60,2,FALSE),"")</f>
        <v>2023-Q1</v>
      </c>
      <c r="D190" s="222" t="s">
        <v>130</v>
      </c>
      <c r="E190" s="218">
        <v>6</v>
      </c>
    </row>
    <row r="191" spans="1:5" x14ac:dyDescent="0.35">
      <c r="A191" s="3">
        <f>IF(D191="","",(VLOOKUP($D191,KEY!$B$5:$D$74,3,FALSE)))</f>
        <v>0</v>
      </c>
      <c r="B191" s="221">
        <v>44927</v>
      </c>
      <c r="C191" s="221" t="str">
        <f>IFERROR(VLOOKUP($B191,KEY!$AE$19:$AH$60,2,FALSE),"")</f>
        <v>2023-Q1</v>
      </c>
      <c r="D191" s="222" t="s">
        <v>131</v>
      </c>
      <c r="E191" s="218">
        <v>15</v>
      </c>
    </row>
    <row r="192" spans="1:5" x14ac:dyDescent="0.35">
      <c r="A192" s="3" t="e">
        <f>IF(D192="","",(VLOOKUP($D192,KEY!$B$5:$D$74,3,FALSE)))</f>
        <v>#N/A</v>
      </c>
      <c r="B192" s="221">
        <v>44927</v>
      </c>
      <c r="C192" s="221" t="str">
        <f>IFERROR(VLOOKUP($B192,KEY!$AE$19:$AH$60,2,FALSE),"")</f>
        <v>2023-Q1</v>
      </c>
      <c r="D192" s="222" t="s">
        <v>134</v>
      </c>
      <c r="E192" s="218">
        <v>4</v>
      </c>
    </row>
    <row r="193" spans="1:5" x14ac:dyDescent="0.35">
      <c r="A193" s="3" t="str">
        <f>IF(D193="","",(VLOOKUP($D193,KEY!$B$5:$D$74,3,FALSE)))</f>
        <v>Southern California</v>
      </c>
      <c r="B193" s="221">
        <v>44927</v>
      </c>
      <c r="C193" s="221" t="str">
        <f>IFERROR(VLOOKUP($B193,KEY!$AE$19:$AH$60,2,FALSE),"")</f>
        <v>2023-Q1</v>
      </c>
      <c r="D193" s="222" t="s">
        <v>135</v>
      </c>
      <c r="E193" s="218">
        <v>18</v>
      </c>
    </row>
    <row r="194" spans="1:5" x14ac:dyDescent="0.35">
      <c r="A194" s="3" t="str">
        <f>IF(D194="","",(VLOOKUP($D194,KEY!$B$5:$D$74,3,FALSE)))</f>
        <v>Arizona</v>
      </c>
      <c r="B194" s="221">
        <v>44927</v>
      </c>
      <c r="C194" s="221" t="str">
        <f>IFERROR(VLOOKUP($B194,KEY!$AE$19:$AH$60,2,FALSE),"")</f>
        <v>2023-Q1</v>
      </c>
      <c r="D194" s="222" t="s">
        <v>196</v>
      </c>
      <c r="E194" s="218">
        <v>4</v>
      </c>
    </row>
    <row r="195" spans="1:5" x14ac:dyDescent="0.35">
      <c r="A195" s="3" t="str">
        <f>IF(D195="","",(VLOOKUP($D195,KEY!$B$5:$D$74,3,FALSE)))</f>
        <v>Arizona</v>
      </c>
      <c r="B195" s="221">
        <v>44927</v>
      </c>
      <c r="C195" s="221" t="str">
        <f>IFERROR(VLOOKUP($B195,KEY!$AE$19:$AH$60,2,FALSE),"")</f>
        <v>2023-Q1</v>
      </c>
      <c r="D195" s="222" t="s">
        <v>197</v>
      </c>
      <c r="E195" s="218">
        <v>8</v>
      </c>
    </row>
    <row r="196" spans="1:5" x14ac:dyDescent="0.35">
      <c r="A196" s="3" t="str">
        <f>IF(D196="","",(VLOOKUP($D196,KEY!$B$5:$D$74,3,FALSE)))</f>
        <v>Texas</v>
      </c>
      <c r="B196" s="221">
        <v>44927</v>
      </c>
      <c r="C196" s="221" t="str">
        <f>IFERROR(VLOOKUP($B196,KEY!$AE$19:$AH$60,2,FALSE),"")</f>
        <v>2023-Q1</v>
      </c>
      <c r="D196" s="222" t="s">
        <v>136</v>
      </c>
      <c r="E196" s="218">
        <v>14</v>
      </c>
    </row>
    <row r="197" spans="1:5" x14ac:dyDescent="0.35">
      <c r="A197" s="3" t="str">
        <f>IF(D197="","",(VLOOKUP($D197,KEY!$B$5:$D$74,3,FALSE)))</f>
        <v>Arizona</v>
      </c>
      <c r="B197" s="221">
        <v>44927</v>
      </c>
      <c r="C197" s="221" t="str">
        <f>IFERROR(VLOOKUP($B197,KEY!$AE$19:$AH$60,2,FALSE),"")</f>
        <v>2023-Q1</v>
      </c>
      <c r="D197" s="222" t="s">
        <v>137</v>
      </c>
      <c r="E197" s="218">
        <v>7</v>
      </c>
    </row>
    <row r="198" spans="1:5" x14ac:dyDescent="0.35">
      <c r="A198" s="3" t="str">
        <f>IF(D198="","",(VLOOKUP($D198,KEY!$B$5:$D$74,3,FALSE)))</f>
        <v>Texas</v>
      </c>
      <c r="B198" s="221">
        <v>44927</v>
      </c>
      <c r="C198" s="221" t="str">
        <f>IFERROR(VLOOKUP($B198,KEY!$AE$19:$AH$60,2,FALSE),"")</f>
        <v>2023-Q1</v>
      </c>
      <c r="D198" s="222" t="s">
        <v>138</v>
      </c>
      <c r="E198" s="218">
        <v>5</v>
      </c>
    </row>
    <row r="199" spans="1:5" x14ac:dyDescent="0.35">
      <c r="A199" s="3" t="str">
        <f>IF(D199="","",(VLOOKUP($D199,KEY!$B$5:$D$74,3,FALSE)))</f>
        <v>Southern California</v>
      </c>
      <c r="B199" s="221">
        <v>44927</v>
      </c>
      <c r="C199" s="221" t="str">
        <f>IFERROR(VLOOKUP($B199,KEY!$AE$19:$AH$60,2,FALSE),"")</f>
        <v>2023-Q1</v>
      </c>
      <c r="D199" s="222" t="s">
        <v>139</v>
      </c>
      <c r="E199" s="218">
        <v>15</v>
      </c>
    </row>
    <row r="200" spans="1:5" x14ac:dyDescent="0.35">
      <c r="A200" s="3" t="str">
        <f>IF(D200="","",(VLOOKUP($D200,KEY!$B$5:$D$74,3,FALSE)))</f>
        <v>Orange County</v>
      </c>
      <c r="B200" s="221">
        <v>44927</v>
      </c>
      <c r="C200" s="221" t="str">
        <f>IFERROR(VLOOKUP($B200,KEY!$AE$19:$AH$60,2,FALSE),"")</f>
        <v>2023-Q1</v>
      </c>
      <c r="D200" s="222" t="s">
        <v>140</v>
      </c>
      <c r="E200" s="218">
        <v>4</v>
      </c>
    </row>
    <row r="201" spans="1:5" x14ac:dyDescent="0.35">
      <c r="A201" s="3" t="str">
        <f>IF(D201="","",(VLOOKUP($D201,KEY!$B$5:$D$74,3,FALSE)))</f>
        <v>Southern California</v>
      </c>
      <c r="B201" s="221">
        <v>44927</v>
      </c>
      <c r="C201" s="221" t="str">
        <f>IFERROR(VLOOKUP($B201,KEY!$AE$19:$AH$60,2,FALSE),"")</f>
        <v>2023-Q1</v>
      </c>
      <c r="D201" s="222" t="s">
        <v>142</v>
      </c>
      <c r="E201" s="218">
        <v>5</v>
      </c>
    </row>
    <row r="202" spans="1:5" x14ac:dyDescent="0.35">
      <c r="A202" s="3" t="str">
        <f>IF(D202="","",(VLOOKUP($D202,KEY!$B$5:$D$74,3,FALSE)))</f>
        <v>Arizona</v>
      </c>
      <c r="B202" s="221">
        <v>44927</v>
      </c>
      <c r="C202" s="221" t="str">
        <f>IFERROR(VLOOKUP($B202,KEY!$AE$19:$AH$60,2,FALSE),"")</f>
        <v>2023-Q1</v>
      </c>
      <c r="D202" s="222" t="s">
        <v>143</v>
      </c>
      <c r="E202" s="218">
        <v>9</v>
      </c>
    </row>
    <row r="203" spans="1:5" x14ac:dyDescent="0.35">
      <c r="A203" s="3" t="str">
        <f>IF(D203="","",(VLOOKUP($D203,KEY!$B$5:$D$74,3,FALSE)))</f>
        <v>Arizona</v>
      </c>
      <c r="B203" s="221">
        <v>44927</v>
      </c>
      <c r="C203" s="221" t="str">
        <f>IFERROR(VLOOKUP($B203,KEY!$AE$19:$AH$60,2,FALSE),"")</f>
        <v>2023-Q1</v>
      </c>
      <c r="D203" s="222" t="s">
        <v>144</v>
      </c>
      <c r="E203" s="218">
        <v>16</v>
      </c>
    </row>
    <row r="204" spans="1:5" x14ac:dyDescent="0.35">
      <c r="A204" s="3" t="str">
        <f>IF(D204="","",(VLOOKUP($D204,KEY!$B$5:$D$74,3,FALSE)))</f>
        <v>Southern California</v>
      </c>
      <c r="B204" s="221">
        <v>44927</v>
      </c>
      <c r="C204" s="221" t="str">
        <f>IFERROR(VLOOKUP($B204,KEY!$AE$19:$AH$60,2,FALSE),"")</f>
        <v>2023-Q1</v>
      </c>
      <c r="D204" s="222" t="s">
        <v>145</v>
      </c>
      <c r="E204" s="218">
        <v>18</v>
      </c>
    </row>
    <row r="205" spans="1:5" x14ac:dyDescent="0.35">
      <c r="A205" s="3" t="str">
        <f>IF(D205="","",(VLOOKUP($D205,KEY!$B$5:$D$74,3,FALSE)))</f>
        <v>Arizona</v>
      </c>
      <c r="B205" s="221">
        <v>44927</v>
      </c>
      <c r="C205" s="221" t="str">
        <f>IFERROR(VLOOKUP($B205,KEY!$AE$19:$AH$60,2,FALSE),"")</f>
        <v>2023-Q1</v>
      </c>
      <c r="D205" s="222" t="s">
        <v>146</v>
      </c>
      <c r="E205" s="218">
        <v>4</v>
      </c>
    </row>
    <row r="206" spans="1:5" x14ac:dyDescent="0.35">
      <c r="A206" s="3" t="str">
        <f>IF(D206="","",(VLOOKUP($D206,KEY!$B$5:$D$74,3,FALSE)))</f>
        <v>Texas</v>
      </c>
      <c r="B206" s="221">
        <v>44927</v>
      </c>
      <c r="C206" s="221" t="str">
        <f>IFERROR(VLOOKUP($B206,KEY!$AE$19:$AH$60,2,FALSE),"")</f>
        <v>2023-Q1</v>
      </c>
      <c r="D206" s="222" t="s">
        <v>147</v>
      </c>
      <c r="E206" s="218">
        <v>5</v>
      </c>
    </row>
    <row r="207" spans="1:5" x14ac:dyDescent="0.35">
      <c r="A207" s="3" t="str">
        <f>IF(D207="","",(VLOOKUP($D207,KEY!$B$5:$D$74,3,FALSE)))</f>
        <v>Northern California</v>
      </c>
      <c r="B207" s="221">
        <v>44927</v>
      </c>
      <c r="C207" s="221" t="str">
        <f>IFERROR(VLOOKUP($B207,KEY!$AE$19:$AH$60,2,FALSE),"")</f>
        <v>2023-Q1</v>
      </c>
      <c r="D207" s="222" t="s">
        <v>148</v>
      </c>
      <c r="E207" s="218">
        <v>4</v>
      </c>
    </row>
    <row r="208" spans="1:5" x14ac:dyDescent="0.35">
      <c r="A208" s="3" t="str">
        <f>IF(D208="","",(VLOOKUP($D208,KEY!$B$5:$D$74,3,FALSE)))</f>
        <v>Orange County</v>
      </c>
      <c r="B208" s="221">
        <v>44927</v>
      </c>
      <c r="C208" s="221" t="str">
        <f>IFERROR(VLOOKUP($B208,KEY!$AE$19:$AH$60,2,FALSE),"")</f>
        <v>2023-Q1</v>
      </c>
      <c r="D208" s="222" t="s">
        <v>149</v>
      </c>
      <c r="E208" s="218">
        <v>2</v>
      </c>
    </row>
    <row r="209" spans="1:5" x14ac:dyDescent="0.35">
      <c r="A209" s="3" t="str">
        <f>IF(D209="","",(VLOOKUP($D209,KEY!$B$5:$D$74,3,FALSE)))</f>
        <v>Southern California</v>
      </c>
      <c r="B209" s="221">
        <v>44927</v>
      </c>
      <c r="C209" s="221" t="str">
        <f>IFERROR(VLOOKUP($B209,KEY!$AE$19:$AH$60,2,FALSE),"")</f>
        <v>2023-Q1</v>
      </c>
      <c r="D209" s="222" t="s">
        <v>150</v>
      </c>
      <c r="E209" s="218">
        <v>5</v>
      </c>
    </row>
    <row r="210" spans="1:5" x14ac:dyDescent="0.35">
      <c r="A210" s="3" t="str">
        <f>IF(D210="","",(VLOOKUP($D210,KEY!$B$5:$D$74,3,FALSE)))</f>
        <v>Arizona</v>
      </c>
      <c r="B210" s="221">
        <v>44927</v>
      </c>
      <c r="C210" s="221" t="str">
        <f>IFERROR(VLOOKUP($B210,KEY!$AE$19:$AH$60,2,FALSE),"")</f>
        <v>2023-Q1</v>
      </c>
      <c r="D210" s="222" t="s">
        <v>151</v>
      </c>
      <c r="E210" s="218">
        <v>3</v>
      </c>
    </row>
    <row r="211" spans="1:5" x14ac:dyDescent="0.35">
      <c r="A211" s="3" t="str">
        <f>IF(D211="","",(VLOOKUP($D211,KEY!$B$5:$D$74,3,FALSE)))</f>
        <v>Northern California</v>
      </c>
      <c r="B211" s="221">
        <v>44927</v>
      </c>
      <c r="C211" s="221" t="str">
        <f>IFERROR(VLOOKUP($B211,KEY!$AE$19:$AH$60,2,FALSE),"")</f>
        <v>2023-Q1</v>
      </c>
      <c r="D211" s="222" t="s">
        <v>152</v>
      </c>
      <c r="E211" s="218">
        <v>12</v>
      </c>
    </row>
    <row r="212" spans="1:5" x14ac:dyDescent="0.35">
      <c r="A212" s="3" t="str">
        <f>IF(D212="","",(VLOOKUP($D212,KEY!$B$5:$D$74,3,FALSE)))</f>
        <v>Arizona</v>
      </c>
      <c r="B212" s="221">
        <v>44927</v>
      </c>
      <c r="C212" s="221" t="str">
        <f>IFERROR(VLOOKUP($B212,KEY!$AE$19:$AH$60,2,FALSE),"")</f>
        <v>2023-Q1</v>
      </c>
      <c r="D212" s="222" t="s">
        <v>153</v>
      </c>
      <c r="E212" s="218">
        <v>12</v>
      </c>
    </row>
    <row r="213" spans="1:5" x14ac:dyDescent="0.35">
      <c r="A213" s="3" t="str">
        <f>IF(D213="","",(VLOOKUP($D213,KEY!$B$5:$D$74,3,FALSE)))</f>
        <v>Northern California</v>
      </c>
      <c r="B213" s="221">
        <v>44927</v>
      </c>
      <c r="C213" s="221" t="str">
        <f>IFERROR(VLOOKUP($B213,KEY!$AE$19:$AH$60,2,FALSE),"")</f>
        <v>2023-Q1</v>
      </c>
      <c r="D213" s="222" t="s">
        <v>154</v>
      </c>
      <c r="E213" s="218">
        <v>5</v>
      </c>
    </row>
    <row r="214" spans="1:5" x14ac:dyDescent="0.35">
      <c r="A214" s="3" t="str">
        <f>IF(D214="","",(VLOOKUP($D214,KEY!$B$5:$D$74,3,FALSE)))</f>
        <v>Texas</v>
      </c>
      <c r="B214" s="221">
        <v>44927</v>
      </c>
      <c r="C214" s="221" t="str">
        <f>IFERROR(VLOOKUP($B214,KEY!$AE$19:$AH$60,2,FALSE),"")</f>
        <v>2023-Q1</v>
      </c>
      <c r="D214" s="222" t="s">
        <v>155</v>
      </c>
      <c r="E214" s="218">
        <v>23</v>
      </c>
    </row>
    <row r="215" spans="1:5" x14ac:dyDescent="0.35">
      <c r="A215" s="3" t="str">
        <f>IF(D215="","",(VLOOKUP($D215,KEY!$B$5:$D$74,3,FALSE)))</f>
        <v>Texas</v>
      </c>
      <c r="B215" s="221">
        <v>44927</v>
      </c>
      <c r="C215" s="221" t="str">
        <f>IFERROR(VLOOKUP($B215,KEY!$AE$19:$AH$60,2,FALSE),"")</f>
        <v>2023-Q1</v>
      </c>
      <c r="D215" s="222" t="s">
        <v>156</v>
      </c>
      <c r="E215" s="218">
        <v>19</v>
      </c>
    </row>
    <row r="216" spans="1:5" x14ac:dyDescent="0.35">
      <c r="A216" s="3" t="str">
        <f>IF(D216="","",(VLOOKUP($D216,KEY!$B$5:$D$74,3,FALSE)))</f>
        <v>Texas</v>
      </c>
      <c r="B216" s="221">
        <v>44927</v>
      </c>
      <c r="C216" s="221" t="str">
        <f>IFERROR(VLOOKUP($B216,KEY!$AE$19:$AH$60,2,FALSE),"")</f>
        <v>2023-Q1</v>
      </c>
      <c r="D216" s="222" t="s">
        <v>157</v>
      </c>
      <c r="E216" s="218">
        <v>23</v>
      </c>
    </row>
    <row r="217" spans="1:5" x14ac:dyDescent="0.35">
      <c r="A217" s="3" t="str">
        <f>IF(D217="","",(VLOOKUP($D217,KEY!$B$5:$D$74,3,FALSE)))</f>
        <v>Arizona</v>
      </c>
      <c r="B217" s="221">
        <v>44927</v>
      </c>
      <c r="C217" s="221" t="str">
        <f>IFERROR(VLOOKUP($B217,KEY!$AE$19:$AH$60,2,FALSE),"")</f>
        <v>2023-Q1</v>
      </c>
      <c r="D217" s="222" t="s">
        <v>158</v>
      </c>
      <c r="E217" s="218">
        <v>5</v>
      </c>
    </row>
    <row r="218" spans="1:5" x14ac:dyDescent="0.35">
      <c r="A218" s="3" t="str">
        <f>IF(D218="","",(VLOOKUP($D218,KEY!$B$5:$D$74,3,FALSE)))</f>
        <v>Orange County</v>
      </c>
      <c r="B218" s="221">
        <v>44927</v>
      </c>
      <c r="C218" s="221" t="str">
        <f>IFERROR(VLOOKUP($B218,KEY!$AE$19:$AH$60,2,FALSE),"")</f>
        <v>2023-Q1</v>
      </c>
      <c r="D218" s="222" t="s">
        <v>159</v>
      </c>
      <c r="E218" s="218">
        <v>9</v>
      </c>
    </row>
    <row r="219" spans="1:5" x14ac:dyDescent="0.35">
      <c r="A219" s="3" t="str">
        <f>IF(D219="","",(VLOOKUP($D219,KEY!$B$5:$D$74,3,FALSE)))</f>
        <v>Arizona</v>
      </c>
      <c r="B219" s="221">
        <v>44927</v>
      </c>
      <c r="C219" s="221" t="str">
        <f>IFERROR(VLOOKUP($B219,KEY!$AE$19:$AH$60,2,FALSE),"")</f>
        <v>2023-Q1</v>
      </c>
      <c r="D219" s="222" t="s">
        <v>160</v>
      </c>
      <c r="E219" s="218">
        <v>20</v>
      </c>
    </row>
    <row r="220" spans="1:5" x14ac:dyDescent="0.35">
      <c r="A220" s="3" t="str">
        <f>IF(D220="","",(VLOOKUP($D220,KEY!$B$5:$D$74,3,FALSE)))</f>
        <v>Northern California</v>
      </c>
      <c r="B220" s="221">
        <v>44927</v>
      </c>
      <c r="C220" s="221" t="str">
        <f>IFERROR(VLOOKUP($B220,KEY!$AE$19:$AH$60,2,FALSE),"")</f>
        <v>2023-Q1</v>
      </c>
      <c r="D220" s="222" t="s">
        <v>161</v>
      </c>
      <c r="E220" s="218">
        <v>20</v>
      </c>
    </row>
    <row r="221" spans="1:5" x14ac:dyDescent="0.35">
      <c r="A221" s="3" t="e">
        <f>IF(D221="","",(VLOOKUP($D221,KEY!$B$5:$D$74,3,FALSE)))</f>
        <v>#N/A</v>
      </c>
      <c r="B221" s="221">
        <v>44927</v>
      </c>
      <c r="C221" s="221" t="str">
        <f>IFERROR(VLOOKUP($B221,KEY!$AE$19:$AH$60,2,FALSE),"")</f>
        <v>2023-Q1</v>
      </c>
      <c r="D221" s="222" t="s">
        <v>162</v>
      </c>
      <c r="E221" s="218">
        <v>33</v>
      </c>
    </row>
    <row r="222" spans="1:5" x14ac:dyDescent="0.35">
      <c r="A222" s="3" t="str">
        <f>IF(D222="","",(VLOOKUP($D222,KEY!$B$5:$D$74,3,FALSE)))</f>
        <v>Arizona</v>
      </c>
      <c r="B222" s="221">
        <v>44927</v>
      </c>
      <c r="C222" s="221" t="str">
        <f>IFERROR(VLOOKUP($B222,KEY!$AE$19:$AH$60,2,FALSE),"")</f>
        <v>2023-Q1</v>
      </c>
      <c r="D222" s="222" t="s">
        <v>163</v>
      </c>
      <c r="E222" s="218">
        <v>21</v>
      </c>
    </row>
    <row r="223" spans="1:5" x14ac:dyDescent="0.35">
      <c r="A223" s="3" t="str">
        <f>IF(D223="","",(VLOOKUP($D223,KEY!$B$5:$D$74,3,FALSE)))</f>
        <v>Arizona</v>
      </c>
      <c r="B223" s="221">
        <v>44927</v>
      </c>
      <c r="C223" s="221" t="str">
        <f>IFERROR(VLOOKUP($B223,KEY!$AE$19:$AH$60,2,FALSE),"")</f>
        <v>2023-Q1</v>
      </c>
      <c r="D223" s="222" t="s">
        <v>164</v>
      </c>
      <c r="E223" s="218">
        <v>8</v>
      </c>
    </row>
    <row r="224" spans="1:5" x14ac:dyDescent="0.35">
      <c r="A224" s="3" t="str">
        <f>IF(D224="","",(VLOOKUP($D224,KEY!$B$5:$D$74,3,FALSE)))</f>
        <v>Orange County</v>
      </c>
      <c r="B224" s="221">
        <v>44927</v>
      </c>
      <c r="C224" s="221" t="str">
        <f>IFERROR(VLOOKUP($B224,KEY!$AE$19:$AH$60,2,FALSE),"")</f>
        <v>2023-Q1</v>
      </c>
      <c r="D224" s="222" t="s">
        <v>165</v>
      </c>
      <c r="E224" s="218">
        <v>8</v>
      </c>
    </row>
    <row r="225" spans="1:5" x14ac:dyDescent="0.35">
      <c r="A225" s="3" t="str">
        <f>IF(D225="","",(VLOOKUP($D225,KEY!$B$5:$D$74,3,FALSE)))</f>
        <v>Arizona</v>
      </c>
      <c r="B225" s="221">
        <v>44958</v>
      </c>
      <c r="C225" s="221" t="str">
        <f>IFERROR(VLOOKUP($B225,KEY!$AE$19:$AH$60,2,FALSE),"")</f>
        <v>2023-Q1</v>
      </c>
      <c r="D225" s="222" t="s">
        <v>111</v>
      </c>
      <c r="E225" s="218">
        <v>8</v>
      </c>
    </row>
    <row r="226" spans="1:5" x14ac:dyDescent="0.35">
      <c r="A226" s="3" t="str">
        <f>IF(D226="","",(VLOOKUP($D226,KEY!$B$5:$D$74,3,FALSE)))</f>
        <v>Southern California</v>
      </c>
      <c r="B226" s="221">
        <v>44958</v>
      </c>
      <c r="C226" s="221" t="str">
        <f>IFERROR(VLOOKUP($B226,KEY!$AE$19:$AH$60,2,FALSE),"")</f>
        <v>2023-Q1</v>
      </c>
      <c r="D226" s="222" t="s">
        <v>112</v>
      </c>
      <c r="E226" s="218">
        <v>4</v>
      </c>
    </row>
    <row r="227" spans="1:5" x14ac:dyDescent="0.35">
      <c r="A227" s="3" t="str">
        <f>IF(D227="","",(VLOOKUP($D227,KEY!$B$5:$D$74,3,FALSE)))</f>
        <v>Arizona</v>
      </c>
      <c r="B227" s="221">
        <v>44958</v>
      </c>
      <c r="C227" s="221" t="str">
        <f>IFERROR(VLOOKUP($B227,KEY!$AE$19:$AH$60,2,FALSE),"")</f>
        <v>2023-Q1</v>
      </c>
      <c r="D227" s="222" t="s">
        <v>113</v>
      </c>
      <c r="E227" s="218">
        <v>8</v>
      </c>
    </row>
    <row r="228" spans="1:5" x14ac:dyDescent="0.35">
      <c r="A228" s="3" t="str">
        <f>IF(D228="","",(VLOOKUP($D228,KEY!$B$5:$D$74,3,FALSE)))</f>
        <v>Southern California</v>
      </c>
      <c r="B228" s="221">
        <v>44958</v>
      </c>
      <c r="C228" s="221" t="str">
        <f>IFERROR(VLOOKUP($B228,KEY!$AE$19:$AH$60,2,FALSE),"")</f>
        <v>2023-Q1</v>
      </c>
      <c r="D228" s="222" t="s">
        <v>114</v>
      </c>
      <c r="E228" s="218">
        <v>6</v>
      </c>
    </row>
    <row r="229" spans="1:5" x14ac:dyDescent="0.35">
      <c r="A229" s="3" t="str">
        <f>IF(D229="","",(VLOOKUP($D229,KEY!$B$5:$D$74,3,FALSE)))</f>
        <v>Orange County</v>
      </c>
      <c r="B229" s="221">
        <v>44958</v>
      </c>
      <c r="C229" s="221" t="str">
        <f>IFERROR(VLOOKUP($B229,KEY!$AE$19:$AH$60,2,FALSE),"")</f>
        <v>2023-Q1</v>
      </c>
      <c r="D229" s="222" t="s">
        <v>115</v>
      </c>
      <c r="E229" s="218">
        <v>5</v>
      </c>
    </row>
    <row r="230" spans="1:5" x14ac:dyDescent="0.35">
      <c r="A230" s="3" t="str">
        <f>IF(D230="","",(VLOOKUP($D230,KEY!$B$5:$D$74,3,FALSE)))</f>
        <v>Arizona</v>
      </c>
      <c r="B230" s="221">
        <v>44958</v>
      </c>
      <c r="C230" s="221" t="str">
        <f>IFERROR(VLOOKUP($B230,KEY!$AE$19:$AH$60,2,FALSE),"")</f>
        <v>2023-Q1</v>
      </c>
      <c r="D230" s="222" t="s">
        <v>116</v>
      </c>
      <c r="E230" s="218">
        <v>12</v>
      </c>
    </row>
    <row r="231" spans="1:5" x14ac:dyDescent="0.35">
      <c r="A231" s="3" t="str">
        <f>IF(D231="","",(VLOOKUP($D231,KEY!$B$5:$D$74,3,FALSE)))</f>
        <v>Orange County</v>
      </c>
      <c r="B231" s="221">
        <v>44958</v>
      </c>
      <c r="C231" s="221" t="str">
        <f>IFERROR(VLOOKUP($B231,KEY!$AE$19:$AH$60,2,FALSE),"")</f>
        <v>2023-Q1</v>
      </c>
      <c r="D231" s="222" t="s">
        <v>117</v>
      </c>
      <c r="E231" s="218">
        <v>14</v>
      </c>
    </row>
    <row r="232" spans="1:5" x14ac:dyDescent="0.35">
      <c r="A232" s="3" t="str">
        <f>IF(D232="","",(VLOOKUP($D232,KEY!$B$5:$D$74,3,FALSE)))</f>
        <v>Northern California</v>
      </c>
      <c r="B232" s="221">
        <v>44958</v>
      </c>
      <c r="C232" s="221" t="str">
        <f>IFERROR(VLOOKUP($B232,KEY!$AE$19:$AH$60,2,FALSE),"")</f>
        <v>2023-Q1</v>
      </c>
      <c r="D232" s="222" t="s">
        <v>118</v>
      </c>
      <c r="E232" s="218">
        <v>13</v>
      </c>
    </row>
    <row r="233" spans="1:5" x14ac:dyDescent="0.35">
      <c r="A233" s="3" t="str">
        <f>IF(D233="","",(VLOOKUP($D233,KEY!$B$5:$D$74,3,FALSE)))</f>
        <v>Arizona</v>
      </c>
      <c r="B233" s="221">
        <v>44958</v>
      </c>
      <c r="C233" s="221" t="str">
        <f>IFERROR(VLOOKUP($B233,KEY!$AE$19:$AH$60,2,FALSE),"")</f>
        <v>2023-Q1</v>
      </c>
      <c r="D233" s="222" t="s">
        <v>119</v>
      </c>
      <c r="E233" s="218">
        <v>4</v>
      </c>
    </row>
    <row r="234" spans="1:5" x14ac:dyDescent="0.35">
      <c r="A234" s="3" t="str">
        <f>IF(D234="","",(VLOOKUP($D234,KEY!$B$5:$D$74,3,FALSE)))</f>
        <v>Arizona</v>
      </c>
      <c r="B234" s="221">
        <v>44958</v>
      </c>
      <c r="C234" s="221" t="str">
        <f>IFERROR(VLOOKUP($B234,KEY!$AE$19:$AH$60,2,FALSE),"")</f>
        <v>2023-Q1</v>
      </c>
      <c r="D234" s="222" t="s">
        <v>120</v>
      </c>
      <c r="E234" s="218">
        <v>25</v>
      </c>
    </row>
    <row r="235" spans="1:5" x14ac:dyDescent="0.35">
      <c r="A235" s="3" t="str">
        <f>IF(D235="","",(VLOOKUP($D235,KEY!$B$5:$D$74,3,FALSE)))</f>
        <v>Texas</v>
      </c>
      <c r="B235" s="221">
        <v>44958</v>
      </c>
      <c r="C235" s="221" t="str">
        <f>IFERROR(VLOOKUP($B235,KEY!$AE$19:$AH$60,2,FALSE),"")</f>
        <v>2023-Q1</v>
      </c>
      <c r="D235" s="222" t="s">
        <v>121</v>
      </c>
      <c r="E235" s="218">
        <v>19</v>
      </c>
    </row>
    <row r="236" spans="1:5" x14ac:dyDescent="0.35">
      <c r="A236" s="3" t="str">
        <f>IF(D236="","",(VLOOKUP($D236,KEY!$B$5:$D$74,3,FALSE)))</f>
        <v>Southern California</v>
      </c>
      <c r="B236" s="221">
        <v>44958</v>
      </c>
      <c r="C236" s="221" t="str">
        <f>IFERROR(VLOOKUP($B236,KEY!$AE$19:$AH$60,2,FALSE),"")</f>
        <v>2023-Q1</v>
      </c>
      <c r="D236" s="222" t="s">
        <v>122</v>
      </c>
      <c r="E236" s="218">
        <v>10</v>
      </c>
    </row>
    <row r="237" spans="1:5" x14ac:dyDescent="0.35">
      <c r="A237" s="3" t="str">
        <f>IF(D237="","",(VLOOKUP($D237,KEY!$B$5:$D$74,3,FALSE)))</f>
        <v>Orange County</v>
      </c>
      <c r="B237" s="221">
        <v>44958</v>
      </c>
      <c r="C237" s="221" t="str">
        <f>IFERROR(VLOOKUP($B237,KEY!$AE$19:$AH$60,2,FALSE),"")</f>
        <v>2023-Q1</v>
      </c>
      <c r="D237" s="222" t="s">
        <v>123</v>
      </c>
      <c r="E237" s="218">
        <v>15</v>
      </c>
    </row>
    <row r="238" spans="1:5" x14ac:dyDescent="0.35">
      <c r="A238" s="3" t="str">
        <f>IF(D238="","",(VLOOKUP($D238,KEY!$B$5:$D$74,3,FALSE)))</f>
        <v>Southern California</v>
      </c>
      <c r="B238" s="221">
        <v>44958</v>
      </c>
      <c r="C238" s="221" t="str">
        <f>IFERROR(VLOOKUP($B238,KEY!$AE$19:$AH$60,2,FALSE),"")</f>
        <v>2023-Q1</v>
      </c>
      <c r="D238" s="222" t="s">
        <v>124</v>
      </c>
      <c r="E238" s="218">
        <v>21</v>
      </c>
    </row>
    <row r="239" spans="1:5" x14ac:dyDescent="0.35">
      <c r="A239" s="3" t="str">
        <f>IF(D239="","",(VLOOKUP($D239,KEY!$B$5:$D$74,3,FALSE)))</f>
        <v>Northern California</v>
      </c>
      <c r="B239" s="221">
        <v>44958</v>
      </c>
      <c r="C239" s="221" t="str">
        <f>IFERROR(VLOOKUP($B239,KEY!$AE$19:$AH$60,2,FALSE),"")</f>
        <v>2023-Q1</v>
      </c>
      <c r="D239" s="222" t="s">
        <v>195</v>
      </c>
      <c r="E239" s="218">
        <v>4</v>
      </c>
    </row>
    <row r="240" spans="1:5" x14ac:dyDescent="0.35">
      <c r="A240" s="3" t="str">
        <f>IF(D240="","",(VLOOKUP($D240,KEY!$B$5:$D$74,3,FALSE)))</f>
        <v>Northern California</v>
      </c>
      <c r="B240" s="221">
        <v>44958</v>
      </c>
      <c r="C240" s="221" t="str">
        <f>IFERROR(VLOOKUP($B240,KEY!$AE$19:$AH$60,2,FALSE),"")</f>
        <v>2023-Q1</v>
      </c>
      <c r="D240" s="222" t="s">
        <v>125</v>
      </c>
      <c r="E240" s="218">
        <v>18</v>
      </c>
    </row>
    <row r="241" spans="1:5" x14ac:dyDescent="0.35">
      <c r="A241" s="3" t="str">
        <f>IF(D241="","",(VLOOKUP($D241,KEY!$B$5:$D$74,3,FALSE)))</f>
        <v>Orange County</v>
      </c>
      <c r="B241" s="221">
        <v>44958</v>
      </c>
      <c r="C241" s="221" t="str">
        <f>IFERROR(VLOOKUP($B241,KEY!$AE$19:$AH$60,2,FALSE),"")</f>
        <v>2023-Q1</v>
      </c>
      <c r="D241" s="222" t="s">
        <v>126</v>
      </c>
      <c r="E241" s="218">
        <v>30</v>
      </c>
    </row>
    <row r="242" spans="1:5" x14ac:dyDescent="0.35">
      <c r="A242" s="3" t="str">
        <f>IF(D242="","",(VLOOKUP($D242,KEY!$B$5:$D$74,3,FALSE)))</f>
        <v>Orange County</v>
      </c>
      <c r="B242" s="221">
        <v>44958</v>
      </c>
      <c r="C242" s="221" t="str">
        <f>IFERROR(VLOOKUP($B242,KEY!$AE$19:$AH$60,2,FALSE),"")</f>
        <v>2023-Q1</v>
      </c>
      <c r="D242" s="222" t="s">
        <v>127</v>
      </c>
      <c r="E242" s="218">
        <v>4</v>
      </c>
    </row>
    <row r="243" spans="1:5" x14ac:dyDescent="0.35">
      <c r="A243" s="3" t="str">
        <f>IF(D243="","",(VLOOKUP($D243,KEY!$B$5:$D$74,3,FALSE)))</f>
        <v>Texas</v>
      </c>
      <c r="B243" s="221">
        <v>44958</v>
      </c>
      <c r="C243" s="221" t="str">
        <f>IFERROR(VLOOKUP($B243,KEY!$AE$19:$AH$60,2,FALSE),"")</f>
        <v>2023-Q1</v>
      </c>
      <c r="D243" s="222" t="s">
        <v>128</v>
      </c>
      <c r="E243" s="218">
        <v>14</v>
      </c>
    </row>
    <row r="244" spans="1:5" x14ac:dyDescent="0.35">
      <c r="A244" s="3" t="str">
        <f>IF(D244="","",(VLOOKUP($D244,KEY!$B$5:$D$74,3,FALSE)))</f>
        <v>Northern California</v>
      </c>
      <c r="B244" s="221">
        <v>44958</v>
      </c>
      <c r="C244" s="221" t="str">
        <f>IFERROR(VLOOKUP($B244,KEY!$AE$19:$AH$60,2,FALSE),"")</f>
        <v>2023-Q1</v>
      </c>
      <c r="D244" s="222" t="s">
        <v>129</v>
      </c>
      <c r="E244" s="218">
        <v>15</v>
      </c>
    </row>
    <row r="245" spans="1:5" x14ac:dyDescent="0.35">
      <c r="A245" s="3" t="str">
        <f>IF(D245="","",(VLOOKUP($D245,KEY!$B$5:$D$74,3,FALSE)))</f>
        <v>Southern California</v>
      </c>
      <c r="B245" s="221">
        <v>44958</v>
      </c>
      <c r="C245" s="221" t="str">
        <f>IFERROR(VLOOKUP($B245,KEY!$AE$19:$AH$60,2,FALSE),"")</f>
        <v>2023-Q1</v>
      </c>
      <c r="D245" s="222" t="s">
        <v>130</v>
      </c>
      <c r="E245" s="218">
        <v>6</v>
      </c>
    </row>
    <row r="246" spans="1:5" x14ac:dyDescent="0.35">
      <c r="A246" s="3">
        <f>IF(D246="","",(VLOOKUP($D246,KEY!$B$5:$D$74,3,FALSE)))</f>
        <v>0</v>
      </c>
      <c r="B246" s="221">
        <v>44958</v>
      </c>
      <c r="C246" s="221" t="str">
        <f>IFERROR(VLOOKUP($B246,KEY!$AE$19:$AH$60,2,FALSE),"")</f>
        <v>2023-Q1</v>
      </c>
      <c r="D246" s="222" t="s">
        <v>131</v>
      </c>
      <c r="E246" s="218">
        <v>13</v>
      </c>
    </row>
    <row r="247" spans="1:5" x14ac:dyDescent="0.35">
      <c r="A247" s="3" t="e">
        <f>IF(D247="","",(VLOOKUP($D247,KEY!$B$5:$D$74,3,FALSE)))</f>
        <v>#N/A</v>
      </c>
      <c r="B247" s="221">
        <v>44958</v>
      </c>
      <c r="C247" s="221" t="str">
        <f>IFERROR(VLOOKUP($B247,KEY!$AE$19:$AH$60,2,FALSE),"")</f>
        <v>2023-Q1</v>
      </c>
      <c r="D247" s="222" t="s">
        <v>134</v>
      </c>
      <c r="E247" s="218">
        <v>4</v>
      </c>
    </row>
    <row r="248" spans="1:5" x14ac:dyDescent="0.35">
      <c r="A248" s="3" t="str">
        <f>IF(D248="","",(VLOOKUP($D248,KEY!$B$5:$D$74,3,FALSE)))</f>
        <v>Southern California</v>
      </c>
      <c r="B248" s="221">
        <v>44958</v>
      </c>
      <c r="C248" s="221" t="str">
        <f>IFERROR(VLOOKUP($B248,KEY!$AE$19:$AH$60,2,FALSE),"")</f>
        <v>2023-Q1</v>
      </c>
      <c r="D248" s="222" t="s">
        <v>135</v>
      </c>
      <c r="E248" s="218">
        <v>16</v>
      </c>
    </row>
    <row r="249" spans="1:5" x14ac:dyDescent="0.35">
      <c r="A249" s="3" t="str">
        <f>IF(D249="","",(VLOOKUP($D249,KEY!$B$5:$D$74,3,FALSE)))</f>
        <v>Arizona</v>
      </c>
      <c r="B249" s="221">
        <v>44958</v>
      </c>
      <c r="C249" s="221" t="str">
        <f>IFERROR(VLOOKUP($B249,KEY!$AE$19:$AH$60,2,FALSE),"")</f>
        <v>2023-Q1</v>
      </c>
      <c r="D249" s="222" t="s">
        <v>196</v>
      </c>
      <c r="E249" s="218">
        <v>4</v>
      </c>
    </row>
    <row r="250" spans="1:5" x14ac:dyDescent="0.35">
      <c r="A250" s="3" t="str">
        <f>IF(D250="","",(VLOOKUP($D250,KEY!$B$5:$D$74,3,FALSE)))</f>
        <v>Arizona</v>
      </c>
      <c r="B250" s="221">
        <v>44958</v>
      </c>
      <c r="C250" s="221" t="str">
        <f>IFERROR(VLOOKUP($B250,KEY!$AE$19:$AH$60,2,FALSE),"")</f>
        <v>2023-Q1</v>
      </c>
      <c r="D250" s="222" t="s">
        <v>197</v>
      </c>
      <c r="E250" s="218">
        <v>8</v>
      </c>
    </row>
    <row r="251" spans="1:5" x14ac:dyDescent="0.35">
      <c r="A251" s="3" t="str">
        <f>IF(D251="","",(VLOOKUP($D251,KEY!$B$5:$D$74,3,FALSE)))</f>
        <v>Texas</v>
      </c>
      <c r="B251" s="221">
        <v>44958</v>
      </c>
      <c r="C251" s="221" t="str">
        <f>IFERROR(VLOOKUP($B251,KEY!$AE$19:$AH$60,2,FALSE),"")</f>
        <v>2023-Q1</v>
      </c>
      <c r="D251" s="222" t="s">
        <v>136</v>
      </c>
      <c r="E251" s="218">
        <v>14</v>
      </c>
    </row>
    <row r="252" spans="1:5" x14ac:dyDescent="0.35">
      <c r="A252" s="3" t="str">
        <f>IF(D252="","",(VLOOKUP($D252,KEY!$B$5:$D$74,3,FALSE)))</f>
        <v>Arizona</v>
      </c>
      <c r="B252" s="221">
        <v>44958</v>
      </c>
      <c r="C252" s="221" t="str">
        <f>IFERROR(VLOOKUP($B252,KEY!$AE$19:$AH$60,2,FALSE),"")</f>
        <v>2023-Q1</v>
      </c>
      <c r="D252" s="222" t="s">
        <v>137</v>
      </c>
      <c r="E252" s="218">
        <v>7</v>
      </c>
    </row>
    <row r="253" spans="1:5" x14ac:dyDescent="0.35">
      <c r="A253" s="3" t="str">
        <f>IF(D253="","",(VLOOKUP($D253,KEY!$B$5:$D$74,3,FALSE)))</f>
        <v>Texas</v>
      </c>
      <c r="B253" s="221">
        <v>44958</v>
      </c>
      <c r="C253" s="221" t="str">
        <f>IFERROR(VLOOKUP($B253,KEY!$AE$19:$AH$60,2,FALSE),"")</f>
        <v>2023-Q1</v>
      </c>
      <c r="D253" s="222" t="s">
        <v>138</v>
      </c>
      <c r="E253" s="218">
        <v>5</v>
      </c>
    </row>
    <row r="254" spans="1:5" x14ac:dyDescent="0.35">
      <c r="A254" s="3" t="str">
        <f>IF(D254="","",(VLOOKUP($D254,KEY!$B$5:$D$74,3,FALSE)))</f>
        <v>Southern California</v>
      </c>
      <c r="B254" s="221">
        <v>44958</v>
      </c>
      <c r="C254" s="221" t="str">
        <f>IFERROR(VLOOKUP($B254,KEY!$AE$19:$AH$60,2,FALSE),"")</f>
        <v>2023-Q1</v>
      </c>
      <c r="D254" s="222" t="s">
        <v>139</v>
      </c>
      <c r="E254" s="218">
        <v>13</v>
      </c>
    </row>
    <row r="255" spans="1:5" x14ac:dyDescent="0.35">
      <c r="A255" s="3" t="str">
        <f>IF(D255="","",(VLOOKUP($D255,KEY!$B$5:$D$74,3,FALSE)))</f>
        <v>Orange County</v>
      </c>
      <c r="B255" s="221">
        <v>44958</v>
      </c>
      <c r="C255" s="221" t="str">
        <f>IFERROR(VLOOKUP($B255,KEY!$AE$19:$AH$60,2,FALSE),"")</f>
        <v>2023-Q1</v>
      </c>
      <c r="D255" s="222" t="s">
        <v>140</v>
      </c>
      <c r="E255" s="218">
        <v>4</v>
      </c>
    </row>
    <row r="256" spans="1:5" x14ac:dyDescent="0.35">
      <c r="A256" s="3" t="str">
        <f>IF(D256="","",(VLOOKUP($D256,KEY!$B$5:$D$74,3,FALSE)))</f>
        <v>Southern California</v>
      </c>
      <c r="B256" s="221">
        <v>44958</v>
      </c>
      <c r="C256" s="221" t="str">
        <f>IFERROR(VLOOKUP($B256,KEY!$AE$19:$AH$60,2,FALSE),"")</f>
        <v>2023-Q1</v>
      </c>
      <c r="D256" s="222" t="s">
        <v>142</v>
      </c>
      <c r="E256" s="218">
        <v>4</v>
      </c>
    </row>
    <row r="257" spans="1:5" x14ac:dyDescent="0.35">
      <c r="A257" s="3" t="str">
        <f>IF(D257="","",(VLOOKUP($D257,KEY!$B$5:$D$74,3,FALSE)))</f>
        <v>Arizona</v>
      </c>
      <c r="B257" s="221">
        <v>44958</v>
      </c>
      <c r="C257" s="221" t="str">
        <f>IFERROR(VLOOKUP($B257,KEY!$AE$19:$AH$60,2,FALSE),"")</f>
        <v>2023-Q1</v>
      </c>
      <c r="D257" s="222" t="s">
        <v>143</v>
      </c>
      <c r="E257" s="218">
        <v>9</v>
      </c>
    </row>
    <row r="258" spans="1:5" x14ac:dyDescent="0.35">
      <c r="A258" s="3" t="str">
        <f>IF(D258="","",(VLOOKUP($D258,KEY!$B$5:$D$74,3,FALSE)))</f>
        <v>Arizona</v>
      </c>
      <c r="B258" s="221">
        <v>44958</v>
      </c>
      <c r="C258" s="221" t="str">
        <f>IFERROR(VLOOKUP($B258,KEY!$AE$19:$AH$60,2,FALSE),"")</f>
        <v>2023-Q1</v>
      </c>
      <c r="D258" s="222" t="s">
        <v>144</v>
      </c>
      <c r="E258" s="218">
        <v>16</v>
      </c>
    </row>
    <row r="259" spans="1:5" x14ac:dyDescent="0.35">
      <c r="A259" s="3" t="str">
        <f>IF(D259="","",(VLOOKUP($D259,KEY!$B$5:$D$74,3,FALSE)))</f>
        <v>Southern California</v>
      </c>
      <c r="B259" s="221">
        <v>44958</v>
      </c>
      <c r="C259" s="221" t="str">
        <f>IFERROR(VLOOKUP($B259,KEY!$AE$19:$AH$60,2,FALSE),"")</f>
        <v>2023-Q1</v>
      </c>
      <c r="D259" s="222" t="s">
        <v>145</v>
      </c>
      <c r="E259" s="218">
        <v>18</v>
      </c>
    </row>
    <row r="260" spans="1:5" x14ac:dyDescent="0.35">
      <c r="A260" s="3" t="str">
        <f>IF(D260="","",(VLOOKUP($D260,KEY!$B$5:$D$74,3,FALSE)))</f>
        <v>Arizona</v>
      </c>
      <c r="B260" s="221">
        <v>44958</v>
      </c>
      <c r="C260" s="221" t="str">
        <f>IFERROR(VLOOKUP($B260,KEY!$AE$19:$AH$60,2,FALSE),"")</f>
        <v>2023-Q1</v>
      </c>
      <c r="D260" s="222" t="s">
        <v>146</v>
      </c>
      <c r="E260" s="218">
        <v>4</v>
      </c>
    </row>
    <row r="261" spans="1:5" x14ac:dyDescent="0.35">
      <c r="A261" s="3" t="str">
        <f>IF(D261="","",(VLOOKUP($D261,KEY!$B$5:$D$74,3,FALSE)))</f>
        <v>Texas</v>
      </c>
      <c r="B261" s="221">
        <v>44958</v>
      </c>
      <c r="C261" s="221" t="str">
        <f>IFERROR(VLOOKUP($B261,KEY!$AE$19:$AH$60,2,FALSE),"")</f>
        <v>2023-Q1</v>
      </c>
      <c r="D261" s="222" t="s">
        <v>147</v>
      </c>
      <c r="E261" s="218">
        <v>5</v>
      </c>
    </row>
    <row r="262" spans="1:5" x14ac:dyDescent="0.35">
      <c r="A262" s="3" t="str">
        <f>IF(D262="","",(VLOOKUP($D262,KEY!$B$5:$D$74,3,FALSE)))</f>
        <v>Northern California</v>
      </c>
      <c r="B262" s="221">
        <v>44958</v>
      </c>
      <c r="C262" s="221" t="str">
        <f>IFERROR(VLOOKUP($B262,KEY!$AE$19:$AH$60,2,FALSE),"")</f>
        <v>2023-Q1</v>
      </c>
      <c r="D262" s="222" t="s">
        <v>148</v>
      </c>
      <c r="E262" s="218">
        <v>4</v>
      </c>
    </row>
    <row r="263" spans="1:5" x14ac:dyDescent="0.35">
      <c r="A263" s="3" t="str">
        <f>IF(D263="","",(VLOOKUP($D263,KEY!$B$5:$D$74,3,FALSE)))</f>
        <v>Orange County</v>
      </c>
      <c r="B263" s="221">
        <v>44958</v>
      </c>
      <c r="C263" s="221" t="str">
        <f>IFERROR(VLOOKUP($B263,KEY!$AE$19:$AH$60,2,FALSE),"")</f>
        <v>2023-Q1</v>
      </c>
      <c r="D263" s="222" t="s">
        <v>149</v>
      </c>
      <c r="E263" s="218">
        <v>2</v>
      </c>
    </row>
    <row r="264" spans="1:5" x14ac:dyDescent="0.35">
      <c r="A264" s="3" t="str">
        <f>IF(D264="","",(VLOOKUP($D264,KEY!$B$5:$D$74,3,FALSE)))</f>
        <v>Southern California</v>
      </c>
      <c r="B264" s="221">
        <v>44958</v>
      </c>
      <c r="C264" s="221" t="str">
        <f>IFERROR(VLOOKUP($B264,KEY!$AE$19:$AH$60,2,FALSE),"")</f>
        <v>2023-Q1</v>
      </c>
      <c r="D264" s="222" t="s">
        <v>150</v>
      </c>
      <c r="E264" s="218">
        <v>5</v>
      </c>
    </row>
    <row r="265" spans="1:5" x14ac:dyDescent="0.35">
      <c r="A265" s="3" t="str">
        <f>IF(D265="","",(VLOOKUP($D265,KEY!$B$5:$D$74,3,FALSE)))</f>
        <v>Arizona</v>
      </c>
      <c r="B265" s="221">
        <v>44958</v>
      </c>
      <c r="C265" s="221" t="str">
        <f>IFERROR(VLOOKUP($B265,KEY!$AE$19:$AH$60,2,FALSE),"")</f>
        <v>2023-Q1</v>
      </c>
      <c r="D265" s="222" t="s">
        <v>151</v>
      </c>
      <c r="E265" s="218">
        <v>3</v>
      </c>
    </row>
    <row r="266" spans="1:5" x14ac:dyDescent="0.35">
      <c r="A266" s="3" t="str">
        <f>IF(D266="","",(VLOOKUP($D266,KEY!$B$5:$D$74,3,FALSE)))</f>
        <v>Northern California</v>
      </c>
      <c r="B266" s="221">
        <v>44958</v>
      </c>
      <c r="C266" s="221" t="str">
        <f>IFERROR(VLOOKUP($B266,KEY!$AE$19:$AH$60,2,FALSE),"")</f>
        <v>2023-Q1</v>
      </c>
      <c r="D266" s="222" t="s">
        <v>152</v>
      </c>
      <c r="E266" s="218">
        <v>13</v>
      </c>
    </row>
    <row r="267" spans="1:5" x14ac:dyDescent="0.35">
      <c r="A267" s="3" t="str">
        <f>IF(D267="","",(VLOOKUP($D267,KEY!$B$5:$D$74,3,FALSE)))</f>
        <v>Arizona</v>
      </c>
      <c r="B267" s="221">
        <v>44958</v>
      </c>
      <c r="C267" s="221" t="str">
        <f>IFERROR(VLOOKUP($B267,KEY!$AE$19:$AH$60,2,FALSE),"")</f>
        <v>2023-Q1</v>
      </c>
      <c r="D267" s="222" t="s">
        <v>153</v>
      </c>
      <c r="E267" s="218">
        <v>12</v>
      </c>
    </row>
    <row r="268" spans="1:5" x14ac:dyDescent="0.35">
      <c r="A268" s="3" t="str">
        <f>IF(D268="","",(VLOOKUP($D268,KEY!$B$5:$D$74,3,FALSE)))</f>
        <v>Northern California</v>
      </c>
      <c r="B268" s="221">
        <v>44958</v>
      </c>
      <c r="C268" s="221" t="str">
        <f>IFERROR(VLOOKUP($B268,KEY!$AE$19:$AH$60,2,FALSE),"")</f>
        <v>2023-Q1</v>
      </c>
      <c r="D268" s="222" t="s">
        <v>154</v>
      </c>
      <c r="E268" s="218">
        <v>5</v>
      </c>
    </row>
    <row r="269" spans="1:5" x14ac:dyDescent="0.35">
      <c r="A269" s="3" t="str">
        <f>IF(D269="","",(VLOOKUP($D269,KEY!$B$5:$D$74,3,FALSE)))</f>
        <v>Texas</v>
      </c>
      <c r="B269" s="221">
        <v>44958</v>
      </c>
      <c r="C269" s="221" t="str">
        <f>IFERROR(VLOOKUP($B269,KEY!$AE$19:$AH$60,2,FALSE),"")</f>
        <v>2023-Q1</v>
      </c>
      <c r="D269" s="222" t="s">
        <v>155</v>
      </c>
      <c r="E269" s="218">
        <v>23</v>
      </c>
    </row>
    <row r="270" spans="1:5" x14ac:dyDescent="0.35">
      <c r="A270" s="3" t="str">
        <f>IF(D270="","",(VLOOKUP($D270,KEY!$B$5:$D$74,3,FALSE)))</f>
        <v>Texas</v>
      </c>
      <c r="B270" s="221">
        <v>44958</v>
      </c>
      <c r="C270" s="221" t="str">
        <f>IFERROR(VLOOKUP($B270,KEY!$AE$19:$AH$60,2,FALSE),"")</f>
        <v>2023-Q1</v>
      </c>
      <c r="D270" s="222" t="s">
        <v>156</v>
      </c>
      <c r="E270" s="218">
        <v>19</v>
      </c>
    </row>
    <row r="271" spans="1:5" x14ac:dyDescent="0.35">
      <c r="A271" s="3" t="str">
        <f>IF(D271="","",(VLOOKUP($D271,KEY!$B$5:$D$74,3,FALSE)))</f>
        <v>Texas</v>
      </c>
      <c r="B271" s="221">
        <v>44958</v>
      </c>
      <c r="C271" s="221" t="str">
        <f>IFERROR(VLOOKUP($B271,KEY!$AE$19:$AH$60,2,FALSE),"")</f>
        <v>2023-Q1</v>
      </c>
      <c r="D271" s="222" t="s">
        <v>157</v>
      </c>
      <c r="E271" s="218">
        <v>18</v>
      </c>
    </row>
    <row r="272" spans="1:5" x14ac:dyDescent="0.35">
      <c r="A272" s="3" t="str">
        <f>IF(D272="","",(VLOOKUP($D272,KEY!$B$5:$D$74,3,FALSE)))</f>
        <v>Arizona</v>
      </c>
      <c r="B272" s="221">
        <v>44958</v>
      </c>
      <c r="C272" s="221" t="str">
        <f>IFERROR(VLOOKUP($B272,KEY!$AE$19:$AH$60,2,FALSE),"")</f>
        <v>2023-Q1</v>
      </c>
      <c r="D272" s="222" t="s">
        <v>158</v>
      </c>
      <c r="E272" s="218">
        <v>5</v>
      </c>
    </row>
    <row r="273" spans="1:5" x14ac:dyDescent="0.35">
      <c r="A273" s="3" t="str">
        <f>IF(D273="","",(VLOOKUP($D273,KEY!$B$5:$D$74,3,FALSE)))</f>
        <v>Orange County</v>
      </c>
      <c r="B273" s="221">
        <v>44958</v>
      </c>
      <c r="C273" s="221" t="str">
        <f>IFERROR(VLOOKUP($B273,KEY!$AE$19:$AH$60,2,FALSE),"")</f>
        <v>2023-Q1</v>
      </c>
      <c r="D273" s="222" t="s">
        <v>159</v>
      </c>
      <c r="E273" s="218">
        <v>9</v>
      </c>
    </row>
    <row r="274" spans="1:5" x14ac:dyDescent="0.35">
      <c r="A274" s="3" t="str">
        <f>IF(D274="","",(VLOOKUP($D274,KEY!$B$5:$D$74,3,FALSE)))</f>
        <v>Arizona</v>
      </c>
      <c r="B274" s="221">
        <v>44958</v>
      </c>
      <c r="C274" s="221" t="str">
        <f>IFERROR(VLOOKUP($B274,KEY!$AE$19:$AH$60,2,FALSE),"")</f>
        <v>2023-Q1</v>
      </c>
      <c r="D274" s="222" t="s">
        <v>160</v>
      </c>
      <c r="E274" s="218">
        <v>21</v>
      </c>
    </row>
    <row r="275" spans="1:5" x14ac:dyDescent="0.35">
      <c r="A275" s="3" t="str">
        <f>IF(D275="","",(VLOOKUP($D275,KEY!$B$5:$D$74,3,FALSE)))</f>
        <v>Northern California</v>
      </c>
      <c r="B275" s="221">
        <v>44958</v>
      </c>
      <c r="C275" s="221" t="str">
        <f>IFERROR(VLOOKUP($B275,KEY!$AE$19:$AH$60,2,FALSE),"")</f>
        <v>2023-Q1</v>
      </c>
      <c r="D275" s="222" t="s">
        <v>161</v>
      </c>
      <c r="E275" s="218">
        <v>20</v>
      </c>
    </row>
    <row r="276" spans="1:5" x14ac:dyDescent="0.35">
      <c r="A276" s="3" t="e">
        <f>IF(D276="","",(VLOOKUP($D276,KEY!$B$5:$D$74,3,FALSE)))</f>
        <v>#N/A</v>
      </c>
      <c r="B276" s="221">
        <v>44958</v>
      </c>
      <c r="C276" s="221" t="str">
        <f>IFERROR(VLOOKUP($B276,KEY!$AE$19:$AH$60,2,FALSE),"")</f>
        <v>2023-Q1</v>
      </c>
      <c r="D276" s="222" t="s">
        <v>162</v>
      </c>
      <c r="E276" s="218">
        <v>33</v>
      </c>
    </row>
    <row r="277" spans="1:5" x14ac:dyDescent="0.35">
      <c r="A277" s="3" t="str">
        <f>IF(D277="","",(VLOOKUP($D277,KEY!$B$5:$D$74,3,FALSE)))</f>
        <v>Arizona</v>
      </c>
      <c r="B277" s="221">
        <v>44958</v>
      </c>
      <c r="C277" s="221" t="str">
        <f>IFERROR(VLOOKUP($B277,KEY!$AE$19:$AH$60,2,FALSE),"")</f>
        <v>2023-Q1</v>
      </c>
      <c r="D277" s="222" t="s">
        <v>163</v>
      </c>
      <c r="E277" s="218">
        <v>20</v>
      </c>
    </row>
    <row r="278" spans="1:5" x14ac:dyDescent="0.35">
      <c r="A278" s="3" t="str">
        <f>IF(D278="","",(VLOOKUP($D278,KEY!$B$5:$D$74,3,FALSE)))</f>
        <v>Arizona</v>
      </c>
      <c r="B278" s="221">
        <v>44958</v>
      </c>
      <c r="C278" s="221" t="str">
        <f>IFERROR(VLOOKUP($B278,KEY!$AE$19:$AH$60,2,FALSE),"")</f>
        <v>2023-Q1</v>
      </c>
      <c r="D278" s="222" t="s">
        <v>164</v>
      </c>
      <c r="E278" s="218">
        <v>8</v>
      </c>
    </row>
    <row r="279" spans="1:5" x14ac:dyDescent="0.35">
      <c r="A279" s="3" t="str">
        <f>IF(D279="","",(VLOOKUP($D279,KEY!$B$5:$D$74,3,FALSE)))</f>
        <v>Orange County</v>
      </c>
      <c r="B279" s="221">
        <v>44958</v>
      </c>
      <c r="C279" s="221" t="str">
        <f>IFERROR(VLOOKUP($B279,KEY!$AE$19:$AH$60,2,FALSE),"")</f>
        <v>2023-Q1</v>
      </c>
      <c r="D279" s="222" t="s">
        <v>165</v>
      </c>
      <c r="E279" s="218">
        <v>8</v>
      </c>
    </row>
    <row r="280" spans="1:5" x14ac:dyDescent="0.35">
      <c r="A280" s="3" t="str">
        <f>IF(D280="","",(VLOOKUP($D280,KEY!$B$5:$D$74,3,FALSE)))</f>
        <v>Arizona</v>
      </c>
      <c r="B280" s="221">
        <v>44986</v>
      </c>
      <c r="C280" s="221" t="str">
        <f>IFERROR(VLOOKUP($B280,KEY!$AE$19:$AH$60,2,FALSE),"")</f>
        <v>2023-Q1</v>
      </c>
      <c r="D280" s="222" t="s">
        <v>111</v>
      </c>
      <c r="E280" s="218">
        <v>7</v>
      </c>
    </row>
    <row r="281" spans="1:5" x14ac:dyDescent="0.35">
      <c r="A281" s="3" t="str">
        <f>IF(D281="","",(VLOOKUP($D281,KEY!$B$5:$D$74,3,FALSE)))</f>
        <v>Southern California</v>
      </c>
      <c r="B281" s="221">
        <v>44986</v>
      </c>
      <c r="C281" s="221" t="str">
        <f>IFERROR(VLOOKUP($B281,KEY!$AE$19:$AH$60,2,FALSE),"")</f>
        <v>2023-Q1</v>
      </c>
      <c r="D281" s="222" t="s">
        <v>112</v>
      </c>
      <c r="E281" s="218">
        <v>4</v>
      </c>
    </row>
    <row r="282" spans="1:5" x14ac:dyDescent="0.35">
      <c r="A282" s="3" t="str">
        <f>IF(D282="","",(VLOOKUP($D282,KEY!$B$5:$D$74,3,FALSE)))</f>
        <v>Arizona</v>
      </c>
      <c r="B282" s="221">
        <v>44986</v>
      </c>
      <c r="C282" s="221" t="str">
        <f>IFERROR(VLOOKUP($B282,KEY!$AE$19:$AH$60,2,FALSE),"")</f>
        <v>2023-Q1</v>
      </c>
      <c r="D282" s="222" t="s">
        <v>113</v>
      </c>
      <c r="E282" s="218">
        <v>9</v>
      </c>
    </row>
    <row r="283" spans="1:5" x14ac:dyDescent="0.35">
      <c r="A283" s="3" t="str">
        <f>IF(D283="","",(VLOOKUP($D283,KEY!$B$5:$D$74,3,FALSE)))</f>
        <v>Southern California</v>
      </c>
      <c r="B283" s="221">
        <v>44986</v>
      </c>
      <c r="C283" s="221" t="str">
        <f>IFERROR(VLOOKUP($B283,KEY!$AE$19:$AH$60,2,FALSE),"")</f>
        <v>2023-Q1</v>
      </c>
      <c r="D283" s="222" t="s">
        <v>114</v>
      </c>
      <c r="E283" s="218">
        <v>7</v>
      </c>
    </row>
    <row r="284" spans="1:5" x14ac:dyDescent="0.35">
      <c r="A284" s="3" t="str">
        <f>IF(D284="","",(VLOOKUP($D284,KEY!$B$5:$D$74,3,FALSE)))</f>
        <v>Orange County</v>
      </c>
      <c r="B284" s="221">
        <v>44986</v>
      </c>
      <c r="C284" s="221" t="str">
        <f>IFERROR(VLOOKUP($B284,KEY!$AE$19:$AH$60,2,FALSE),"")</f>
        <v>2023-Q1</v>
      </c>
      <c r="D284" s="222" t="s">
        <v>115</v>
      </c>
      <c r="E284" s="218">
        <v>5</v>
      </c>
    </row>
    <row r="285" spans="1:5" x14ac:dyDescent="0.35">
      <c r="A285" s="3" t="str">
        <f>IF(D285="","",(VLOOKUP($D285,KEY!$B$5:$D$74,3,FALSE)))</f>
        <v>Arizona</v>
      </c>
      <c r="B285" s="221">
        <v>44986</v>
      </c>
      <c r="C285" s="221" t="str">
        <f>IFERROR(VLOOKUP($B285,KEY!$AE$19:$AH$60,2,FALSE),"")</f>
        <v>2023-Q1</v>
      </c>
      <c r="D285" s="222" t="s">
        <v>116</v>
      </c>
      <c r="E285" s="218">
        <v>13</v>
      </c>
    </row>
    <row r="286" spans="1:5" x14ac:dyDescent="0.35">
      <c r="A286" s="3" t="str">
        <f>IF(D286="","",(VLOOKUP($D286,KEY!$B$5:$D$74,3,FALSE)))</f>
        <v>Orange County</v>
      </c>
      <c r="B286" s="221">
        <v>44986</v>
      </c>
      <c r="C286" s="221" t="str">
        <f>IFERROR(VLOOKUP($B286,KEY!$AE$19:$AH$60,2,FALSE),"")</f>
        <v>2023-Q1</v>
      </c>
      <c r="D286" s="222" t="s">
        <v>117</v>
      </c>
      <c r="E286" s="218">
        <v>13</v>
      </c>
    </row>
    <row r="287" spans="1:5" x14ac:dyDescent="0.35">
      <c r="A287" s="3" t="str">
        <f>IF(D287="","",(VLOOKUP($D287,KEY!$B$5:$D$74,3,FALSE)))</f>
        <v>Northern California</v>
      </c>
      <c r="B287" s="221">
        <v>44986</v>
      </c>
      <c r="C287" s="221" t="str">
        <f>IFERROR(VLOOKUP($B287,KEY!$AE$19:$AH$60,2,FALSE),"")</f>
        <v>2023-Q1</v>
      </c>
      <c r="D287" s="222" t="s">
        <v>118</v>
      </c>
      <c r="E287" s="218">
        <v>13</v>
      </c>
    </row>
    <row r="288" spans="1:5" x14ac:dyDescent="0.35">
      <c r="A288" s="3" t="str">
        <f>IF(D288="","",(VLOOKUP($D288,KEY!$B$5:$D$74,3,FALSE)))</f>
        <v>Arizona</v>
      </c>
      <c r="B288" s="221">
        <v>44986</v>
      </c>
      <c r="C288" s="221" t="str">
        <f>IFERROR(VLOOKUP($B288,KEY!$AE$19:$AH$60,2,FALSE),"")</f>
        <v>2023-Q1</v>
      </c>
      <c r="D288" s="222" t="s">
        <v>119</v>
      </c>
      <c r="E288" s="218">
        <v>4</v>
      </c>
    </row>
    <row r="289" spans="1:5" x14ac:dyDescent="0.35">
      <c r="A289" s="3" t="str">
        <f>IF(D289="","",(VLOOKUP($D289,KEY!$B$5:$D$74,3,FALSE)))</f>
        <v>Arizona</v>
      </c>
      <c r="B289" s="221">
        <v>44986</v>
      </c>
      <c r="C289" s="221" t="str">
        <f>IFERROR(VLOOKUP($B289,KEY!$AE$19:$AH$60,2,FALSE),"")</f>
        <v>2023-Q1</v>
      </c>
      <c r="D289" s="222" t="s">
        <v>120</v>
      </c>
      <c r="E289" s="218">
        <v>26</v>
      </c>
    </row>
    <row r="290" spans="1:5" x14ac:dyDescent="0.35">
      <c r="A290" s="3" t="str">
        <f>IF(D290="","",(VLOOKUP($D290,KEY!$B$5:$D$74,3,FALSE)))</f>
        <v>Texas</v>
      </c>
      <c r="B290" s="221">
        <v>44986</v>
      </c>
      <c r="C290" s="221" t="str">
        <f>IFERROR(VLOOKUP($B290,KEY!$AE$19:$AH$60,2,FALSE),"")</f>
        <v>2023-Q1</v>
      </c>
      <c r="D290" s="222" t="s">
        <v>121</v>
      </c>
      <c r="E290" s="218">
        <v>19</v>
      </c>
    </row>
    <row r="291" spans="1:5" x14ac:dyDescent="0.35">
      <c r="A291" s="3" t="str">
        <f>IF(D291="","",(VLOOKUP($D291,KEY!$B$5:$D$74,3,FALSE)))</f>
        <v>Southern California</v>
      </c>
      <c r="B291" s="221">
        <v>44986</v>
      </c>
      <c r="C291" s="221" t="str">
        <f>IFERROR(VLOOKUP($B291,KEY!$AE$19:$AH$60,2,FALSE),"")</f>
        <v>2023-Q1</v>
      </c>
      <c r="D291" s="222" t="s">
        <v>122</v>
      </c>
      <c r="E291" s="218">
        <v>6</v>
      </c>
    </row>
    <row r="292" spans="1:5" x14ac:dyDescent="0.35">
      <c r="A292" s="3" t="str">
        <f>IF(D292="","",(VLOOKUP($D292,KEY!$B$5:$D$74,3,FALSE)))</f>
        <v>Orange County</v>
      </c>
      <c r="B292" s="221">
        <v>44986</v>
      </c>
      <c r="C292" s="221" t="str">
        <f>IFERROR(VLOOKUP($B292,KEY!$AE$19:$AH$60,2,FALSE),"")</f>
        <v>2023-Q1</v>
      </c>
      <c r="D292" s="222" t="s">
        <v>123</v>
      </c>
      <c r="E292" s="218">
        <v>15</v>
      </c>
    </row>
    <row r="293" spans="1:5" x14ac:dyDescent="0.35">
      <c r="A293" s="3" t="str">
        <f>IF(D293="","",(VLOOKUP($D293,KEY!$B$5:$D$74,3,FALSE)))</f>
        <v>Southern California</v>
      </c>
      <c r="B293" s="221">
        <v>44986</v>
      </c>
      <c r="C293" s="221" t="str">
        <f>IFERROR(VLOOKUP($B293,KEY!$AE$19:$AH$60,2,FALSE),"")</f>
        <v>2023-Q1</v>
      </c>
      <c r="D293" s="222" t="s">
        <v>124</v>
      </c>
      <c r="E293" s="218">
        <v>21</v>
      </c>
    </row>
    <row r="294" spans="1:5" x14ac:dyDescent="0.35">
      <c r="A294" s="3" t="str">
        <f>IF(D294="","",(VLOOKUP($D294,KEY!$B$5:$D$74,3,FALSE)))</f>
        <v>Northern California</v>
      </c>
      <c r="B294" s="221">
        <v>44986</v>
      </c>
      <c r="C294" s="221" t="str">
        <f>IFERROR(VLOOKUP($B294,KEY!$AE$19:$AH$60,2,FALSE),"")</f>
        <v>2023-Q1</v>
      </c>
      <c r="D294" s="222" t="s">
        <v>195</v>
      </c>
      <c r="E294" s="218">
        <v>4</v>
      </c>
    </row>
    <row r="295" spans="1:5" x14ac:dyDescent="0.35">
      <c r="A295" s="3" t="str">
        <f>IF(D295="","",(VLOOKUP($D295,KEY!$B$5:$D$74,3,FALSE)))</f>
        <v>Northern California</v>
      </c>
      <c r="B295" s="221">
        <v>44986</v>
      </c>
      <c r="C295" s="221" t="str">
        <f>IFERROR(VLOOKUP($B295,KEY!$AE$19:$AH$60,2,FALSE),"")</f>
        <v>2023-Q1</v>
      </c>
      <c r="D295" s="222" t="s">
        <v>125</v>
      </c>
      <c r="E295" s="218">
        <v>18</v>
      </c>
    </row>
    <row r="296" spans="1:5" x14ac:dyDescent="0.35">
      <c r="A296" s="3" t="str">
        <f>IF(D296="","",(VLOOKUP($D296,KEY!$B$5:$D$74,3,FALSE)))</f>
        <v>Orange County</v>
      </c>
      <c r="B296" s="221">
        <v>44986</v>
      </c>
      <c r="C296" s="221" t="str">
        <f>IFERROR(VLOOKUP($B296,KEY!$AE$19:$AH$60,2,FALSE),"")</f>
        <v>2023-Q1</v>
      </c>
      <c r="D296" s="222" t="s">
        <v>126</v>
      </c>
      <c r="E296" s="218">
        <v>37</v>
      </c>
    </row>
    <row r="297" spans="1:5" x14ac:dyDescent="0.35">
      <c r="A297" s="3" t="str">
        <f>IF(D297="","",(VLOOKUP($D297,KEY!$B$5:$D$74,3,FALSE)))</f>
        <v>Orange County</v>
      </c>
      <c r="B297" s="221">
        <v>44986</v>
      </c>
      <c r="C297" s="221" t="str">
        <f>IFERROR(VLOOKUP($B297,KEY!$AE$19:$AH$60,2,FALSE),"")</f>
        <v>2023-Q1</v>
      </c>
      <c r="D297" s="222" t="s">
        <v>127</v>
      </c>
      <c r="E297" s="218">
        <v>4</v>
      </c>
    </row>
    <row r="298" spans="1:5" x14ac:dyDescent="0.35">
      <c r="A298" s="3" t="str">
        <f>IF(D298="","",(VLOOKUP($D298,KEY!$B$5:$D$74,3,FALSE)))</f>
        <v>Texas</v>
      </c>
      <c r="B298" s="221">
        <v>44986</v>
      </c>
      <c r="C298" s="221" t="str">
        <f>IFERROR(VLOOKUP($B298,KEY!$AE$19:$AH$60,2,FALSE),"")</f>
        <v>2023-Q1</v>
      </c>
      <c r="D298" s="222" t="s">
        <v>128</v>
      </c>
      <c r="E298" s="218">
        <v>14</v>
      </c>
    </row>
    <row r="299" spans="1:5" x14ac:dyDescent="0.35">
      <c r="A299" s="3" t="str">
        <f>IF(D299="","",(VLOOKUP($D299,KEY!$B$5:$D$74,3,FALSE)))</f>
        <v>Northern California</v>
      </c>
      <c r="B299" s="221">
        <v>44986</v>
      </c>
      <c r="C299" s="221" t="str">
        <f>IFERROR(VLOOKUP($B299,KEY!$AE$19:$AH$60,2,FALSE),"")</f>
        <v>2023-Q1</v>
      </c>
      <c r="D299" s="222" t="s">
        <v>129</v>
      </c>
      <c r="E299" s="218">
        <v>13</v>
      </c>
    </row>
    <row r="300" spans="1:5" x14ac:dyDescent="0.35">
      <c r="A300" s="3" t="str">
        <f>IF(D300="","",(VLOOKUP($D300,KEY!$B$5:$D$74,3,FALSE)))</f>
        <v>Southern California</v>
      </c>
      <c r="B300" s="221">
        <v>44986</v>
      </c>
      <c r="C300" s="221" t="str">
        <f>IFERROR(VLOOKUP($B300,KEY!$AE$19:$AH$60,2,FALSE),"")</f>
        <v>2023-Q1</v>
      </c>
      <c r="D300" s="222" t="s">
        <v>130</v>
      </c>
      <c r="E300" s="218">
        <v>6</v>
      </c>
    </row>
    <row r="301" spans="1:5" x14ac:dyDescent="0.35">
      <c r="A301" s="3">
        <f>IF(D301="","",(VLOOKUP($D301,KEY!$B$5:$D$74,3,FALSE)))</f>
        <v>0</v>
      </c>
      <c r="B301" s="221">
        <v>44986</v>
      </c>
      <c r="C301" s="221" t="str">
        <f>IFERROR(VLOOKUP($B301,KEY!$AE$19:$AH$60,2,FALSE),"")</f>
        <v>2023-Q1</v>
      </c>
      <c r="D301" s="222" t="s">
        <v>131</v>
      </c>
      <c r="E301" s="218">
        <v>13</v>
      </c>
    </row>
    <row r="302" spans="1:5" x14ac:dyDescent="0.35">
      <c r="A302" s="3" t="e">
        <f>IF(D302="","",(VLOOKUP($D302,KEY!$B$5:$D$74,3,FALSE)))</f>
        <v>#N/A</v>
      </c>
      <c r="B302" s="221">
        <v>44986</v>
      </c>
      <c r="C302" s="221" t="str">
        <f>IFERROR(VLOOKUP($B302,KEY!$AE$19:$AH$60,2,FALSE),"")</f>
        <v>2023-Q1</v>
      </c>
      <c r="D302" s="222" t="s">
        <v>134</v>
      </c>
      <c r="E302" s="218">
        <v>4</v>
      </c>
    </row>
    <row r="303" spans="1:5" x14ac:dyDescent="0.35">
      <c r="A303" s="3" t="str">
        <f>IF(D303="","",(VLOOKUP($D303,KEY!$B$5:$D$74,3,FALSE)))</f>
        <v>Southern California</v>
      </c>
      <c r="B303" s="221">
        <v>44986</v>
      </c>
      <c r="C303" s="221" t="str">
        <f>IFERROR(VLOOKUP($B303,KEY!$AE$19:$AH$60,2,FALSE),"")</f>
        <v>2023-Q1</v>
      </c>
      <c r="D303" s="222" t="s">
        <v>135</v>
      </c>
      <c r="E303" s="218">
        <v>14</v>
      </c>
    </row>
    <row r="304" spans="1:5" x14ac:dyDescent="0.35">
      <c r="A304" s="3" t="str">
        <f>IF(D304="","",(VLOOKUP($D304,KEY!$B$5:$D$74,3,FALSE)))</f>
        <v>Arizona</v>
      </c>
      <c r="B304" s="221">
        <v>44986</v>
      </c>
      <c r="C304" s="221" t="str">
        <f>IFERROR(VLOOKUP($B304,KEY!$AE$19:$AH$60,2,FALSE),"")</f>
        <v>2023-Q1</v>
      </c>
      <c r="D304" s="222" t="s">
        <v>196</v>
      </c>
      <c r="E304" s="218">
        <v>4</v>
      </c>
    </row>
    <row r="305" spans="1:5" x14ac:dyDescent="0.35">
      <c r="A305" s="3" t="str">
        <f>IF(D305="","",(VLOOKUP($D305,KEY!$B$5:$D$74,3,FALSE)))</f>
        <v>Arizona</v>
      </c>
      <c r="B305" s="221">
        <v>44986</v>
      </c>
      <c r="C305" s="221" t="str">
        <f>IFERROR(VLOOKUP($B305,KEY!$AE$19:$AH$60,2,FALSE),"")</f>
        <v>2023-Q1</v>
      </c>
      <c r="D305" s="222" t="s">
        <v>197</v>
      </c>
      <c r="E305" s="218">
        <v>8</v>
      </c>
    </row>
    <row r="306" spans="1:5" x14ac:dyDescent="0.35">
      <c r="A306" s="3" t="str">
        <f>IF(D306="","",(VLOOKUP($D306,KEY!$B$5:$D$74,3,FALSE)))</f>
        <v>Texas</v>
      </c>
      <c r="B306" s="221">
        <v>44986</v>
      </c>
      <c r="C306" s="221" t="str">
        <f>IFERROR(VLOOKUP($B306,KEY!$AE$19:$AH$60,2,FALSE),"")</f>
        <v>2023-Q1</v>
      </c>
      <c r="D306" s="222" t="s">
        <v>136</v>
      </c>
      <c r="E306" s="218">
        <v>14</v>
      </c>
    </row>
    <row r="307" spans="1:5" x14ac:dyDescent="0.35">
      <c r="A307" s="3" t="str">
        <f>IF(D307="","",(VLOOKUP($D307,KEY!$B$5:$D$74,3,FALSE)))</f>
        <v>Arizona</v>
      </c>
      <c r="B307" s="221">
        <v>44986</v>
      </c>
      <c r="C307" s="221" t="str">
        <f>IFERROR(VLOOKUP($B307,KEY!$AE$19:$AH$60,2,FALSE),"")</f>
        <v>2023-Q1</v>
      </c>
      <c r="D307" s="222" t="s">
        <v>137</v>
      </c>
      <c r="E307" s="218">
        <v>7</v>
      </c>
    </row>
    <row r="308" spans="1:5" x14ac:dyDescent="0.35">
      <c r="A308" s="3" t="str">
        <f>IF(D308="","",(VLOOKUP($D308,KEY!$B$5:$D$74,3,FALSE)))</f>
        <v>Texas</v>
      </c>
      <c r="B308" s="221">
        <v>44986</v>
      </c>
      <c r="C308" s="221" t="str">
        <f>IFERROR(VLOOKUP($B308,KEY!$AE$19:$AH$60,2,FALSE),"")</f>
        <v>2023-Q1</v>
      </c>
      <c r="D308" s="222" t="s">
        <v>138</v>
      </c>
      <c r="E308" s="218">
        <v>5</v>
      </c>
    </row>
    <row r="309" spans="1:5" x14ac:dyDescent="0.35">
      <c r="A309" s="3" t="str">
        <f>IF(D309="","",(VLOOKUP($D309,KEY!$B$5:$D$74,3,FALSE)))</f>
        <v>Southern California</v>
      </c>
      <c r="B309" s="221">
        <v>44986</v>
      </c>
      <c r="C309" s="221" t="str">
        <f>IFERROR(VLOOKUP($B309,KEY!$AE$19:$AH$60,2,FALSE),"")</f>
        <v>2023-Q1</v>
      </c>
      <c r="D309" s="222" t="s">
        <v>139</v>
      </c>
      <c r="E309" s="218">
        <v>13</v>
      </c>
    </row>
    <row r="310" spans="1:5" x14ac:dyDescent="0.35">
      <c r="A310" s="3" t="str">
        <f>IF(D310="","",(VLOOKUP($D310,KEY!$B$5:$D$74,3,FALSE)))</f>
        <v>Orange County</v>
      </c>
      <c r="B310" s="221">
        <v>44986</v>
      </c>
      <c r="C310" s="221" t="str">
        <f>IFERROR(VLOOKUP($B310,KEY!$AE$19:$AH$60,2,FALSE),"")</f>
        <v>2023-Q1</v>
      </c>
      <c r="D310" s="222" t="s">
        <v>140</v>
      </c>
      <c r="E310" s="218">
        <v>3</v>
      </c>
    </row>
    <row r="311" spans="1:5" x14ac:dyDescent="0.35">
      <c r="A311" s="3" t="str">
        <f>IF(D311="","",(VLOOKUP($D311,KEY!$B$5:$D$74,3,FALSE)))</f>
        <v>Southern California</v>
      </c>
      <c r="B311" s="221">
        <v>44986</v>
      </c>
      <c r="C311" s="221" t="str">
        <f>IFERROR(VLOOKUP($B311,KEY!$AE$19:$AH$60,2,FALSE),"")</f>
        <v>2023-Q1</v>
      </c>
      <c r="D311" s="222" t="s">
        <v>142</v>
      </c>
      <c r="E311" s="218">
        <v>4</v>
      </c>
    </row>
    <row r="312" spans="1:5" x14ac:dyDescent="0.35">
      <c r="A312" s="3" t="str">
        <f>IF(D312="","",(VLOOKUP($D312,KEY!$B$5:$D$74,3,FALSE)))</f>
        <v>Arizona</v>
      </c>
      <c r="B312" s="221">
        <v>44986</v>
      </c>
      <c r="C312" s="221" t="str">
        <f>IFERROR(VLOOKUP($B312,KEY!$AE$19:$AH$60,2,FALSE),"")</f>
        <v>2023-Q1</v>
      </c>
      <c r="D312" s="222" t="s">
        <v>143</v>
      </c>
      <c r="E312" s="218">
        <v>9</v>
      </c>
    </row>
    <row r="313" spans="1:5" x14ac:dyDescent="0.35">
      <c r="A313" s="3" t="str">
        <f>IF(D313="","",(VLOOKUP($D313,KEY!$B$5:$D$74,3,FALSE)))</f>
        <v>Arizona</v>
      </c>
      <c r="B313" s="221">
        <v>44986</v>
      </c>
      <c r="C313" s="221" t="str">
        <f>IFERROR(VLOOKUP($B313,KEY!$AE$19:$AH$60,2,FALSE),"")</f>
        <v>2023-Q1</v>
      </c>
      <c r="D313" s="222" t="s">
        <v>144</v>
      </c>
      <c r="E313" s="218">
        <v>17</v>
      </c>
    </row>
    <row r="314" spans="1:5" x14ac:dyDescent="0.35">
      <c r="A314" s="3" t="str">
        <f>IF(D314="","",(VLOOKUP($D314,KEY!$B$5:$D$74,3,FALSE)))</f>
        <v>Southern California</v>
      </c>
      <c r="B314" s="221">
        <v>44986</v>
      </c>
      <c r="C314" s="221" t="str">
        <f>IFERROR(VLOOKUP($B314,KEY!$AE$19:$AH$60,2,FALSE),"")</f>
        <v>2023-Q1</v>
      </c>
      <c r="D314" s="222" t="s">
        <v>145</v>
      </c>
      <c r="E314" s="218">
        <v>17</v>
      </c>
    </row>
    <row r="315" spans="1:5" x14ac:dyDescent="0.35">
      <c r="A315" s="3" t="str">
        <f>IF(D315="","",(VLOOKUP($D315,KEY!$B$5:$D$74,3,FALSE)))</f>
        <v>Arizona</v>
      </c>
      <c r="B315" s="221">
        <v>44986</v>
      </c>
      <c r="C315" s="221" t="str">
        <f>IFERROR(VLOOKUP($B315,KEY!$AE$19:$AH$60,2,FALSE),"")</f>
        <v>2023-Q1</v>
      </c>
      <c r="D315" s="222" t="s">
        <v>146</v>
      </c>
      <c r="E315" s="218">
        <v>5</v>
      </c>
    </row>
    <row r="316" spans="1:5" x14ac:dyDescent="0.35">
      <c r="A316" s="3" t="str">
        <f>IF(D316="","",(VLOOKUP($D316,KEY!$B$5:$D$74,3,FALSE)))</f>
        <v>Texas</v>
      </c>
      <c r="B316" s="221">
        <v>44986</v>
      </c>
      <c r="C316" s="221" t="str">
        <f>IFERROR(VLOOKUP($B316,KEY!$AE$19:$AH$60,2,FALSE),"")</f>
        <v>2023-Q1</v>
      </c>
      <c r="D316" s="222" t="s">
        <v>147</v>
      </c>
      <c r="E316" s="218">
        <v>4</v>
      </c>
    </row>
    <row r="317" spans="1:5" x14ac:dyDescent="0.35">
      <c r="A317" s="3" t="str">
        <f>IF(D317="","",(VLOOKUP($D317,KEY!$B$5:$D$74,3,FALSE)))</f>
        <v>Northern California</v>
      </c>
      <c r="B317" s="221">
        <v>44986</v>
      </c>
      <c r="C317" s="221" t="str">
        <f>IFERROR(VLOOKUP($B317,KEY!$AE$19:$AH$60,2,FALSE),"")</f>
        <v>2023-Q1</v>
      </c>
      <c r="D317" s="222" t="s">
        <v>148</v>
      </c>
      <c r="E317" s="218">
        <v>4</v>
      </c>
    </row>
    <row r="318" spans="1:5" x14ac:dyDescent="0.35">
      <c r="A318" s="3" t="str">
        <f>IF(D318="","",(VLOOKUP($D318,KEY!$B$5:$D$74,3,FALSE)))</f>
        <v>Orange County</v>
      </c>
      <c r="B318" s="221">
        <v>44986</v>
      </c>
      <c r="C318" s="221" t="str">
        <f>IFERROR(VLOOKUP($B318,KEY!$AE$19:$AH$60,2,FALSE),"")</f>
        <v>2023-Q1</v>
      </c>
      <c r="D318" s="222" t="s">
        <v>149</v>
      </c>
      <c r="E318" s="218">
        <v>2</v>
      </c>
    </row>
    <row r="319" spans="1:5" x14ac:dyDescent="0.35">
      <c r="A319" s="3" t="str">
        <f>IF(D319="","",(VLOOKUP($D319,KEY!$B$5:$D$74,3,FALSE)))</f>
        <v>Southern California</v>
      </c>
      <c r="B319" s="221">
        <v>44986</v>
      </c>
      <c r="C319" s="221" t="str">
        <f>IFERROR(VLOOKUP($B319,KEY!$AE$19:$AH$60,2,FALSE),"")</f>
        <v>2023-Q1</v>
      </c>
      <c r="D319" s="222" t="s">
        <v>150</v>
      </c>
      <c r="E319" s="218">
        <v>5</v>
      </c>
    </row>
    <row r="320" spans="1:5" x14ac:dyDescent="0.35">
      <c r="A320" s="3" t="str">
        <f>IF(D320="","",(VLOOKUP($D320,KEY!$B$5:$D$74,3,FALSE)))</f>
        <v>Arizona</v>
      </c>
      <c r="B320" s="221">
        <v>44986</v>
      </c>
      <c r="C320" s="221" t="str">
        <f>IFERROR(VLOOKUP($B320,KEY!$AE$19:$AH$60,2,FALSE),"")</f>
        <v>2023-Q1</v>
      </c>
      <c r="D320" s="222" t="s">
        <v>151</v>
      </c>
      <c r="E320" s="218">
        <v>4</v>
      </c>
    </row>
    <row r="321" spans="1:5" x14ac:dyDescent="0.35">
      <c r="A321" s="3" t="str">
        <f>IF(D321="","",(VLOOKUP($D321,KEY!$B$5:$D$74,3,FALSE)))</f>
        <v>Northern California</v>
      </c>
      <c r="B321" s="221">
        <v>44986</v>
      </c>
      <c r="C321" s="221" t="str">
        <f>IFERROR(VLOOKUP($B321,KEY!$AE$19:$AH$60,2,FALSE),"")</f>
        <v>2023-Q1</v>
      </c>
      <c r="D321" s="222" t="s">
        <v>152</v>
      </c>
      <c r="E321" s="218">
        <v>11</v>
      </c>
    </row>
    <row r="322" spans="1:5" x14ac:dyDescent="0.35">
      <c r="A322" s="3" t="str">
        <f>IF(D322="","",(VLOOKUP($D322,KEY!$B$5:$D$74,3,FALSE)))</f>
        <v>Arizona</v>
      </c>
      <c r="B322" s="221">
        <v>44986</v>
      </c>
      <c r="C322" s="221" t="str">
        <f>IFERROR(VLOOKUP($B322,KEY!$AE$19:$AH$60,2,FALSE),"")</f>
        <v>2023-Q1</v>
      </c>
      <c r="D322" s="222" t="s">
        <v>153</v>
      </c>
      <c r="E322" s="218">
        <v>12</v>
      </c>
    </row>
    <row r="323" spans="1:5" x14ac:dyDescent="0.35">
      <c r="A323" s="3" t="str">
        <f>IF(D323="","",(VLOOKUP($D323,KEY!$B$5:$D$74,3,FALSE)))</f>
        <v>Northern California</v>
      </c>
      <c r="B323" s="221">
        <v>44986</v>
      </c>
      <c r="C323" s="221" t="str">
        <f>IFERROR(VLOOKUP($B323,KEY!$AE$19:$AH$60,2,FALSE),"")</f>
        <v>2023-Q1</v>
      </c>
      <c r="D323" s="222" t="s">
        <v>154</v>
      </c>
      <c r="E323" s="218">
        <v>6</v>
      </c>
    </row>
    <row r="324" spans="1:5" x14ac:dyDescent="0.35">
      <c r="A324" s="3" t="str">
        <f>IF(D324="","",(VLOOKUP($D324,KEY!$B$5:$D$74,3,FALSE)))</f>
        <v>Texas</v>
      </c>
      <c r="B324" s="221">
        <v>44986</v>
      </c>
      <c r="C324" s="221" t="str">
        <f>IFERROR(VLOOKUP($B324,KEY!$AE$19:$AH$60,2,FALSE),"")</f>
        <v>2023-Q1</v>
      </c>
      <c r="D324" s="222" t="s">
        <v>155</v>
      </c>
      <c r="E324" s="218">
        <v>21</v>
      </c>
    </row>
    <row r="325" spans="1:5" x14ac:dyDescent="0.35">
      <c r="A325" s="3" t="str">
        <f>IF(D325="","",(VLOOKUP($D325,KEY!$B$5:$D$74,3,FALSE)))</f>
        <v>Texas</v>
      </c>
      <c r="B325" s="221">
        <v>44986</v>
      </c>
      <c r="C325" s="221" t="str">
        <f>IFERROR(VLOOKUP($B325,KEY!$AE$19:$AH$60,2,FALSE),"")</f>
        <v>2023-Q1</v>
      </c>
      <c r="D325" s="222" t="s">
        <v>156</v>
      </c>
      <c r="E325" s="218">
        <v>21</v>
      </c>
    </row>
    <row r="326" spans="1:5" x14ac:dyDescent="0.35">
      <c r="A326" s="3" t="str">
        <f>IF(D326="","",(VLOOKUP($D326,KEY!$B$5:$D$74,3,FALSE)))</f>
        <v>Texas</v>
      </c>
      <c r="B326" s="221">
        <v>44986</v>
      </c>
      <c r="C326" s="221" t="str">
        <f>IFERROR(VLOOKUP($B326,KEY!$AE$19:$AH$60,2,FALSE),"")</f>
        <v>2023-Q1</v>
      </c>
      <c r="D326" s="222" t="s">
        <v>157</v>
      </c>
      <c r="E326" s="218">
        <v>13</v>
      </c>
    </row>
    <row r="327" spans="1:5" x14ac:dyDescent="0.35">
      <c r="A327" s="3" t="str">
        <f>IF(D327="","",(VLOOKUP($D327,KEY!$B$5:$D$74,3,FALSE)))</f>
        <v>Arizona</v>
      </c>
      <c r="B327" s="221">
        <v>44986</v>
      </c>
      <c r="C327" s="221" t="str">
        <f>IFERROR(VLOOKUP($B327,KEY!$AE$19:$AH$60,2,FALSE),"")</f>
        <v>2023-Q1</v>
      </c>
      <c r="D327" s="222" t="s">
        <v>158</v>
      </c>
      <c r="E327" s="218">
        <v>5</v>
      </c>
    </row>
    <row r="328" spans="1:5" x14ac:dyDescent="0.35">
      <c r="A328" s="3" t="str">
        <f>IF(D328="","",(VLOOKUP($D328,KEY!$B$5:$D$74,3,FALSE)))</f>
        <v>Orange County</v>
      </c>
      <c r="B328" s="221">
        <v>44986</v>
      </c>
      <c r="C328" s="221" t="str">
        <f>IFERROR(VLOOKUP($B328,KEY!$AE$19:$AH$60,2,FALSE),"")</f>
        <v>2023-Q1</v>
      </c>
      <c r="D328" s="222" t="s">
        <v>159</v>
      </c>
      <c r="E328" s="218">
        <v>8</v>
      </c>
    </row>
    <row r="329" spans="1:5" x14ac:dyDescent="0.35">
      <c r="A329" s="3" t="str">
        <f>IF(D329="","",(VLOOKUP($D329,KEY!$B$5:$D$74,3,FALSE)))</f>
        <v>Arizona</v>
      </c>
      <c r="B329" s="221">
        <v>44986</v>
      </c>
      <c r="C329" s="221" t="str">
        <f>IFERROR(VLOOKUP($B329,KEY!$AE$19:$AH$60,2,FALSE),"")</f>
        <v>2023-Q1</v>
      </c>
      <c r="D329" s="222" t="s">
        <v>160</v>
      </c>
      <c r="E329" s="218">
        <v>22</v>
      </c>
    </row>
    <row r="330" spans="1:5" x14ac:dyDescent="0.35">
      <c r="A330" s="3" t="str">
        <f>IF(D330="","",(VLOOKUP($D330,KEY!$B$5:$D$74,3,FALSE)))</f>
        <v>Northern California</v>
      </c>
      <c r="B330" s="221">
        <v>44986</v>
      </c>
      <c r="C330" s="221" t="str">
        <f>IFERROR(VLOOKUP($B330,KEY!$AE$19:$AH$60,2,FALSE),"")</f>
        <v>2023-Q1</v>
      </c>
      <c r="D330" s="222" t="s">
        <v>161</v>
      </c>
      <c r="E330" s="218">
        <v>20</v>
      </c>
    </row>
    <row r="331" spans="1:5" x14ac:dyDescent="0.35">
      <c r="A331" s="3" t="e">
        <f>IF(D331="","",(VLOOKUP($D331,KEY!$B$5:$D$74,3,FALSE)))</f>
        <v>#N/A</v>
      </c>
      <c r="B331" s="221">
        <v>44986</v>
      </c>
      <c r="C331" s="221" t="str">
        <f>IFERROR(VLOOKUP($B331,KEY!$AE$19:$AH$60,2,FALSE),"")</f>
        <v>2023-Q1</v>
      </c>
      <c r="D331" s="222" t="s">
        <v>162</v>
      </c>
      <c r="E331" s="218">
        <v>33</v>
      </c>
    </row>
    <row r="332" spans="1:5" x14ac:dyDescent="0.35">
      <c r="A332" s="3" t="str">
        <f>IF(D332="","",(VLOOKUP($D332,KEY!$B$5:$D$74,3,FALSE)))</f>
        <v>Arizona</v>
      </c>
      <c r="B332" s="221">
        <v>44986</v>
      </c>
      <c r="C332" s="221" t="str">
        <f>IFERROR(VLOOKUP($B332,KEY!$AE$19:$AH$60,2,FALSE),"")</f>
        <v>2023-Q1</v>
      </c>
      <c r="D332" s="222" t="s">
        <v>163</v>
      </c>
      <c r="E332" s="218">
        <v>20</v>
      </c>
    </row>
    <row r="333" spans="1:5" x14ac:dyDescent="0.35">
      <c r="A333" s="3" t="str">
        <f>IF(D333="","",(VLOOKUP($D333,KEY!$B$5:$D$74,3,FALSE)))</f>
        <v>Arizona</v>
      </c>
      <c r="B333" s="221">
        <v>44986</v>
      </c>
      <c r="C333" s="221" t="str">
        <f>IFERROR(VLOOKUP($B333,KEY!$AE$19:$AH$60,2,FALSE),"")</f>
        <v>2023-Q1</v>
      </c>
      <c r="D333" s="222" t="s">
        <v>164</v>
      </c>
      <c r="E333" s="218">
        <v>8</v>
      </c>
    </row>
    <row r="334" spans="1:5" x14ac:dyDescent="0.35">
      <c r="A334" s="3" t="str">
        <f>IF(D334="","",(VLOOKUP($D334,KEY!$B$5:$D$74,3,FALSE)))</f>
        <v>Orange County</v>
      </c>
      <c r="B334" s="221">
        <v>44986</v>
      </c>
      <c r="C334" s="221" t="str">
        <f>IFERROR(VLOOKUP($B334,KEY!$AE$19:$AH$60,2,FALSE),"")</f>
        <v>2023-Q1</v>
      </c>
      <c r="D334" s="222" t="s">
        <v>165</v>
      </c>
      <c r="E334" s="218">
        <v>7</v>
      </c>
    </row>
    <row r="335" spans="1:5" x14ac:dyDescent="0.35">
      <c r="A335" s="3" t="str">
        <f>IF(D335="","",(VLOOKUP($D335,KEY!$B$5:$D$74,3,FALSE)))</f>
        <v>Arizona</v>
      </c>
      <c r="B335" s="221">
        <v>45017</v>
      </c>
      <c r="C335" s="221" t="str">
        <f>IFERROR(VLOOKUP($B335,KEY!$AE$19:$AH$60,2,FALSE),"")</f>
        <v>2023-Q2</v>
      </c>
      <c r="D335" s="222" t="s">
        <v>111</v>
      </c>
      <c r="E335" s="218">
        <v>7</v>
      </c>
    </row>
    <row r="336" spans="1:5" x14ac:dyDescent="0.35">
      <c r="A336" s="3" t="str">
        <f>IF(D336="","",(VLOOKUP($D336,KEY!$B$5:$D$74,3,FALSE)))</f>
        <v>Southern California</v>
      </c>
      <c r="B336" s="221">
        <v>45017</v>
      </c>
      <c r="C336" s="221" t="str">
        <f>IFERROR(VLOOKUP($B336,KEY!$AE$19:$AH$60,2,FALSE),"")</f>
        <v>2023-Q2</v>
      </c>
      <c r="D336" s="222" t="s">
        <v>112</v>
      </c>
      <c r="E336" s="218">
        <v>4</v>
      </c>
    </row>
    <row r="337" spans="1:5" x14ac:dyDescent="0.35">
      <c r="A337" s="3" t="str">
        <f>IF(D337="","",(VLOOKUP($D337,KEY!$B$5:$D$74,3,FALSE)))</f>
        <v>Arizona</v>
      </c>
      <c r="B337" s="221">
        <v>45017</v>
      </c>
      <c r="C337" s="221" t="str">
        <f>IFERROR(VLOOKUP($B337,KEY!$AE$19:$AH$60,2,FALSE),"")</f>
        <v>2023-Q2</v>
      </c>
      <c r="D337" s="222" t="s">
        <v>113</v>
      </c>
      <c r="E337" s="218">
        <v>7</v>
      </c>
    </row>
    <row r="338" spans="1:5" x14ac:dyDescent="0.35">
      <c r="A338" s="3" t="str">
        <f>IF(D338="","",(VLOOKUP($D338,KEY!$B$5:$D$74,3,FALSE)))</f>
        <v>Southern California</v>
      </c>
      <c r="B338" s="221">
        <v>45017</v>
      </c>
      <c r="C338" s="221" t="str">
        <f>IFERROR(VLOOKUP($B338,KEY!$AE$19:$AH$60,2,FALSE),"")</f>
        <v>2023-Q2</v>
      </c>
      <c r="D338" s="222" t="s">
        <v>114</v>
      </c>
      <c r="E338" s="218">
        <v>7</v>
      </c>
    </row>
    <row r="339" spans="1:5" x14ac:dyDescent="0.35">
      <c r="A339" s="3" t="str">
        <f>IF(D339="","",(VLOOKUP($D339,KEY!$B$5:$D$74,3,FALSE)))</f>
        <v>Orange County</v>
      </c>
      <c r="B339" s="221">
        <v>45017</v>
      </c>
      <c r="C339" s="221" t="str">
        <f>IFERROR(VLOOKUP($B339,KEY!$AE$19:$AH$60,2,FALSE),"")</f>
        <v>2023-Q2</v>
      </c>
      <c r="D339" s="222" t="s">
        <v>115</v>
      </c>
      <c r="E339" s="218">
        <v>5</v>
      </c>
    </row>
    <row r="340" spans="1:5" x14ac:dyDescent="0.35">
      <c r="A340" s="3" t="str">
        <f>IF(D340="","",(VLOOKUP($D340,KEY!$B$5:$D$74,3,FALSE)))</f>
        <v>Arizona</v>
      </c>
      <c r="B340" s="221">
        <v>45017</v>
      </c>
      <c r="C340" s="221" t="str">
        <f>IFERROR(VLOOKUP($B340,KEY!$AE$19:$AH$60,2,FALSE),"")</f>
        <v>2023-Q2</v>
      </c>
      <c r="D340" s="222" t="s">
        <v>116</v>
      </c>
      <c r="E340" s="218">
        <v>12</v>
      </c>
    </row>
    <row r="341" spans="1:5" x14ac:dyDescent="0.35">
      <c r="A341" s="3" t="str">
        <f>IF(D341="","",(VLOOKUP($D341,KEY!$B$5:$D$74,3,FALSE)))</f>
        <v>Orange County</v>
      </c>
      <c r="B341" s="221">
        <v>45017</v>
      </c>
      <c r="C341" s="221" t="str">
        <f>IFERROR(VLOOKUP($B341,KEY!$AE$19:$AH$60,2,FALSE),"")</f>
        <v>2023-Q2</v>
      </c>
      <c r="D341" s="222" t="s">
        <v>117</v>
      </c>
      <c r="E341" s="218">
        <v>13</v>
      </c>
    </row>
    <row r="342" spans="1:5" x14ac:dyDescent="0.35">
      <c r="A342" s="3" t="str">
        <f>IF(D342="","",(VLOOKUP($D342,KEY!$B$5:$D$74,3,FALSE)))</f>
        <v>Northern California</v>
      </c>
      <c r="B342" s="221">
        <v>45017</v>
      </c>
      <c r="C342" s="221" t="str">
        <f>IFERROR(VLOOKUP($B342,KEY!$AE$19:$AH$60,2,FALSE),"")</f>
        <v>2023-Q2</v>
      </c>
      <c r="D342" s="222" t="s">
        <v>118</v>
      </c>
      <c r="E342" s="218">
        <v>13</v>
      </c>
    </row>
    <row r="343" spans="1:5" x14ac:dyDescent="0.35">
      <c r="A343" s="3" t="str">
        <f>IF(D343="","",(VLOOKUP($D343,KEY!$B$5:$D$74,3,FALSE)))</f>
        <v>Arizona</v>
      </c>
      <c r="B343" s="221">
        <v>45017</v>
      </c>
      <c r="C343" s="221" t="str">
        <f>IFERROR(VLOOKUP($B343,KEY!$AE$19:$AH$60,2,FALSE),"")</f>
        <v>2023-Q2</v>
      </c>
      <c r="D343" s="222" t="s">
        <v>119</v>
      </c>
      <c r="E343" s="218">
        <v>4</v>
      </c>
    </row>
    <row r="344" spans="1:5" x14ac:dyDescent="0.35">
      <c r="A344" s="3" t="str">
        <f>IF(D344="","",(VLOOKUP($D344,KEY!$B$5:$D$74,3,FALSE)))</f>
        <v>Arizona</v>
      </c>
      <c r="B344" s="221">
        <v>45017</v>
      </c>
      <c r="C344" s="221" t="str">
        <f>IFERROR(VLOOKUP($B344,KEY!$AE$19:$AH$60,2,FALSE),"")</f>
        <v>2023-Q2</v>
      </c>
      <c r="D344" s="222" t="s">
        <v>120</v>
      </c>
      <c r="E344" s="218">
        <v>26</v>
      </c>
    </row>
    <row r="345" spans="1:5" x14ac:dyDescent="0.35">
      <c r="A345" s="3" t="str">
        <f>IF(D345="","",(VLOOKUP($D345,KEY!$B$5:$D$74,3,FALSE)))</f>
        <v>Texas</v>
      </c>
      <c r="B345" s="221">
        <v>45017</v>
      </c>
      <c r="C345" s="221" t="str">
        <f>IFERROR(VLOOKUP($B345,KEY!$AE$19:$AH$60,2,FALSE),"")</f>
        <v>2023-Q2</v>
      </c>
      <c r="D345" s="222" t="s">
        <v>121</v>
      </c>
      <c r="E345" s="218">
        <v>19</v>
      </c>
    </row>
    <row r="346" spans="1:5" x14ac:dyDescent="0.35">
      <c r="A346" s="3" t="str">
        <f>IF(D346="","",(VLOOKUP($D346,KEY!$B$5:$D$74,3,FALSE)))</f>
        <v>Southern California</v>
      </c>
      <c r="B346" s="221">
        <v>45017</v>
      </c>
      <c r="C346" s="221" t="str">
        <f>IFERROR(VLOOKUP($B346,KEY!$AE$19:$AH$60,2,FALSE),"")</f>
        <v>2023-Q2</v>
      </c>
      <c r="D346" s="222" t="s">
        <v>122</v>
      </c>
      <c r="E346" s="218">
        <v>6</v>
      </c>
    </row>
    <row r="347" spans="1:5" x14ac:dyDescent="0.35">
      <c r="A347" s="3" t="str">
        <f>IF(D347="","",(VLOOKUP($D347,KEY!$B$5:$D$74,3,FALSE)))</f>
        <v>Orange County</v>
      </c>
      <c r="B347" s="221">
        <v>45017</v>
      </c>
      <c r="C347" s="221" t="str">
        <f>IFERROR(VLOOKUP($B347,KEY!$AE$19:$AH$60,2,FALSE),"")</f>
        <v>2023-Q2</v>
      </c>
      <c r="D347" s="222" t="s">
        <v>123</v>
      </c>
      <c r="E347" s="218">
        <v>15</v>
      </c>
    </row>
    <row r="348" spans="1:5" x14ac:dyDescent="0.35">
      <c r="A348" s="3" t="str">
        <f>IF(D348="","",(VLOOKUP($D348,KEY!$B$5:$D$74,3,FALSE)))</f>
        <v>Southern California</v>
      </c>
      <c r="B348" s="221">
        <v>45017</v>
      </c>
      <c r="C348" s="221" t="str">
        <f>IFERROR(VLOOKUP($B348,KEY!$AE$19:$AH$60,2,FALSE),"")</f>
        <v>2023-Q2</v>
      </c>
      <c r="D348" s="222" t="s">
        <v>124</v>
      </c>
      <c r="E348" s="218">
        <v>20</v>
      </c>
    </row>
    <row r="349" spans="1:5" x14ac:dyDescent="0.35">
      <c r="A349" s="3" t="str">
        <f>IF(D349="","",(VLOOKUP($D349,KEY!$B$5:$D$74,3,FALSE)))</f>
        <v>Northern California</v>
      </c>
      <c r="B349" s="221">
        <v>45017</v>
      </c>
      <c r="C349" s="221" t="str">
        <f>IFERROR(VLOOKUP($B349,KEY!$AE$19:$AH$60,2,FALSE),"")</f>
        <v>2023-Q2</v>
      </c>
      <c r="D349" s="222" t="s">
        <v>195</v>
      </c>
      <c r="E349" s="218">
        <v>4</v>
      </c>
    </row>
    <row r="350" spans="1:5" x14ac:dyDescent="0.35">
      <c r="A350" s="3" t="str">
        <f>IF(D350="","",(VLOOKUP($D350,KEY!$B$5:$D$74,3,FALSE)))</f>
        <v>Northern California</v>
      </c>
      <c r="B350" s="221">
        <v>45017</v>
      </c>
      <c r="C350" s="221" t="str">
        <f>IFERROR(VLOOKUP($B350,KEY!$AE$19:$AH$60,2,FALSE),"")</f>
        <v>2023-Q2</v>
      </c>
      <c r="D350" s="222" t="s">
        <v>125</v>
      </c>
      <c r="E350" s="218">
        <v>18</v>
      </c>
    </row>
    <row r="351" spans="1:5" x14ac:dyDescent="0.35">
      <c r="A351" s="3" t="str">
        <f>IF(D351="","",(VLOOKUP($D351,KEY!$B$5:$D$74,3,FALSE)))</f>
        <v>Orange County</v>
      </c>
      <c r="B351" s="221">
        <v>45017</v>
      </c>
      <c r="C351" s="221" t="str">
        <f>IFERROR(VLOOKUP($B351,KEY!$AE$19:$AH$60,2,FALSE),"")</f>
        <v>2023-Q2</v>
      </c>
      <c r="D351" s="222" t="s">
        <v>126</v>
      </c>
      <c r="E351" s="218">
        <v>35</v>
      </c>
    </row>
    <row r="352" spans="1:5" x14ac:dyDescent="0.35">
      <c r="A352" s="3" t="str">
        <f>IF(D352="","",(VLOOKUP($D352,KEY!$B$5:$D$74,3,FALSE)))</f>
        <v>Orange County</v>
      </c>
      <c r="B352" s="221">
        <v>45017</v>
      </c>
      <c r="C352" s="221" t="str">
        <f>IFERROR(VLOOKUP($B352,KEY!$AE$19:$AH$60,2,FALSE),"")</f>
        <v>2023-Q2</v>
      </c>
      <c r="D352" s="222" t="s">
        <v>127</v>
      </c>
      <c r="E352" s="218">
        <v>4</v>
      </c>
    </row>
    <row r="353" spans="1:5" x14ac:dyDescent="0.35">
      <c r="A353" s="3" t="str">
        <f>IF(D353="","",(VLOOKUP($D353,KEY!$B$5:$D$74,3,FALSE)))</f>
        <v>Texas</v>
      </c>
      <c r="B353" s="221">
        <v>45017</v>
      </c>
      <c r="C353" s="221" t="str">
        <f>IFERROR(VLOOKUP($B353,KEY!$AE$19:$AH$60,2,FALSE),"")</f>
        <v>2023-Q2</v>
      </c>
      <c r="D353" s="222" t="s">
        <v>128</v>
      </c>
      <c r="E353" s="218">
        <v>12</v>
      </c>
    </row>
    <row r="354" spans="1:5" x14ac:dyDescent="0.35">
      <c r="A354" s="3" t="str">
        <f>IF(D354="","",(VLOOKUP($D354,KEY!$B$5:$D$74,3,FALSE)))</f>
        <v>Northern California</v>
      </c>
      <c r="B354" s="221">
        <v>45017</v>
      </c>
      <c r="C354" s="221" t="str">
        <f>IFERROR(VLOOKUP($B354,KEY!$AE$19:$AH$60,2,FALSE),"")</f>
        <v>2023-Q2</v>
      </c>
      <c r="D354" s="222" t="s">
        <v>129</v>
      </c>
      <c r="E354" s="218">
        <v>13</v>
      </c>
    </row>
    <row r="355" spans="1:5" x14ac:dyDescent="0.35">
      <c r="A355" s="3" t="str">
        <f>IF(D355="","",(VLOOKUP($D355,KEY!$B$5:$D$74,3,FALSE)))</f>
        <v>Southern California</v>
      </c>
      <c r="B355" s="221">
        <v>45017</v>
      </c>
      <c r="C355" s="221" t="str">
        <f>IFERROR(VLOOKUP($B355,KEY!$AE$19:$AH$60,2,FALSE),"")</f>
        <v>2023-Q2</v>
      </c>
      <c r="D355" s="222" t="s">
        <v>130</v>
      </c>
      <c r="E355" s="218">
        <v>6</v>
      </c>
    </row>
    <row r="356" spans="1:5" x14ac:dyDescent="0.35">
      <c r="A356" s="3">
        <f>IF(D356="","",(VLOOKUP($D356,KEY!$B$5:$D$74,3,FALSE)))</f>
        <v>0</v>
      </c>
      <c r="B356" s="221">
        <v>45017</v>
      </c>
      <c r="C356" s="221" t="str">
        <f>IFERROR(VLOOKUP($B356,KEY!$AE$19:$AH$60,2,FALSE),"")</f>
        <v>2023-Q2</v>
      </c>
      <c r="D356" s="222" t="s">
        <v>131</v>
      </c>
      <c r="E356" s="218">
        <v>12</v>
      </c>
    </row>
    <row r="357" spans="1:5" x14ac:dyDescent="0.35">
      <c r="A357" s="3" t="e">
        <f>IF(D357="","",(VLOOKUP($D357,KEY!$B$5:$D$74,3,FALSE)))</f>
        <v>#N/A</v>
      </c>
      <c r="B357" s="221">
        <v>45017</v>
      </c>
      <c r="C357" s="221" t="str">
        <f>IFERROR(VLOOKUP($B357,KEY!$AE$19:$AH$60,2,FALSE),"")</f>
        <v>2023-Q2</v>
      </c>
      <c r="D357" s="222" t="s">
        <v>134</v>
      </c>
      <c r="E357" s="218">
        <v>4</v>
      </c>
    </row>
    <row r="358" spans="1:5" x14ac:dyDescent="0.35">
      <c r="A358" s="3" t="str">
        <f>IF(D358="","",(VLOOKUP($D358,KEY!$B$5:$D$74,3,FALSE)))</f>
        <v>Southern California</v>
      </c>
      <c r="B358" s="221">
        <v>45017</v>
      </c>
      <c r="C358" s="221" t="str">
        <f>IFERROR(VLOOKUP($B358,KEY!$AE$19:$AH$60,2,FALSE),"")</f>
        <v>2023-Q2</v>
      </c>
      <c r="D358" s="222" t="s">
        <v>135</v>
      </c>
      <c r="E358" s="218">
        <v>12</v>
      </c>
    </row>
    <row r="359" spans="1:5" x14ac:dyDescent="0.35">
      <c r="A359" s="3" t="str">
        <f>IF(D359="","",(VLOOKUP($D359,KEY!$B$5:$D$74,3,FALSE)))</f>
        <v>Arizona</v>
      </c>
      <c r="B359" s="221">
        <v>45017</v>
      </c>
      <c r="C359" s="221" t="str">
        <f>IFERROR(VLOOKUP($B359,KEY!$AE$19:$AH$60,2,FALSE),"")</f>
        <v>2023-Q2</v>
      </c>
      <c r="D359" s="222" t="s">
        <v>196</v>
      </c>
      <c r="E359" s="218">
        <v>5</v>
      </c>
    </row>
    <row r="360" spans="1:5" x14ac:dyDescent="0.35">
      <c r="A360" s="3" t="str">
        <f>IF(D360="","",(VLOOKUP($D360,KEY!$B$5:$D$74,3,FALSE)))</f>
        <v>Arizona</v>
      </c>
      <c r="B360" s="221">
        <v>45017</v>
      </c>
      <c r="C360" s="221" t="str">
        <f>IFERROR(VLOOKUP($B360,KEY!$AE$19:$AH$60,2,FALSE),"")</f>
        <v>2023-Q2</v>
      </c>
      <c r="D360" s="222" t="s">
        <v>197</v>
      </c>
      <c r="E360" s="218">
        <v>8</v>
      </c>
    </row>
    <row r="361" spans="1:5" x14ac:dyDescent="0.35">
      <c r="A361" s="3" t="str">
        <f>IF(D361="","",(VLOOKUP($D361,KEY!$B$5:$D$74,3,FALSE)))</f>
        <v>Texas</v>
      </c>
      <c r="B361" s="221">
        <v>45017</v>
      </c>
      <c r="C361" s="221" t="str">
        <f>IFERROR(VLOOKUP($B361,KEY!$AE$19:$AH$60,2,FALSE),"")</f>
        <v>2023-Q2</v>
      </c>
      <c r="D361" s="222" t="s">
        <v>136</v>
      </c>
      <c r="E361" s="218">
        <v>15</v>
      </c>
    </row>
    <row r="362" spans="1:5" x14ac:dyDescent="0.35">
      <c r="A362" s="3" t="str">
        <f>IF(D362="","",(VLOOKUP($D362,KEY!$B$5:$D$74,3,FALSE)))</f>
        <v>Arizona</v>
      </c>
      <c r="B362" s="221">
        <v>45017</v>
      </c>
      <c r="C362" s="221" t="str">
        <f>IFERROR(VLOOKUP($B362,KEY!$AE$19:$AH$60,2,FALSE),"")</f>
        <v>2023-Q2</v>
      </c>
      <c r="D362" s="222" t="s">
        <v>137</v>
      </c>
      <c r="E362" s="218">
        <v>7</v>
      </c>
    </row>
    <row r="363" spans="1:5" x14ac:dyDescent="0.35">
      <c r="A363" s="3" t="str">
        <f>IF(D363="","",(VLOOKUP($D363,KEY!$B$5:$D$74,3,FALSE)))</f>
        <v>Texas</v>
      </c>
      <c r="B363" s="221">
        <v>45017</v>
      </c>
      <c r="C363" s="221" t="str">
        <f>IFERROR(VLOOKUP($B363,KEY!$AE$19:$AH$60,2,FALSE),"")</f>
        <v>2023-Q2</v>
      </c>
      <c r="D363" s="222" t="s">
        <v>138</v>
      </c>
      <c r="E363" s="218">
        <v>5</v>
      </c>
    </row>
    <row r="364" spans="1:5" x14ac:dyDescent="0.35">
      <c r="A364" s="3" t="str">
        <f>IF(D364="","",(VLOOKUP($D364,KEY!$B$5:$D$74,3,FALSE)))</f>
        <v>Southern California</v>
      </c>
      <c r="B364" s="221">
        <v>45017</v>
      </c>
      <c r="C364" s="221" t="str">
        <f>IFERROR(VLOOKUP($B364,KEY!$AE$19:$AH$60,2,FALSE),"")</f>
        <v>2023-Q2</v>
      </c>
      <c r="D364" s="222" t="s">
        <v>139</v>
      </c>
      <c r="E364" s="218">
        <v>13</v>
      </c>
    </row>
    <row r="365" spans="1:5" x14ac:dyDescent="0.35">
      <c r="A365" s="3" t="str">
        <f>IF(D365="","",(VLOOKUP($D365,KEY!$B$5:$D$74,3,FALSE)))</f>
        <v>Orange County</v>
      </c>
      <c r="B365" s="221">
        <v>45017</v>
      </c>
      <c r="C365" s="221" t="str">
        <f>IFERROR(VLOOKUP($B365,KEY!$AE$19:$AH$60,2,FALSE),"")</f>
        <v>2023-Q2</v>
      </c>
      <c r="D365" s="222" t="s">
        <v>140</v>
      </c>
      <c r="E365" s="218">
        <v>3</v>
      </c>
    </row>
    <row r="366" spans="1:5" x14ac:dyDescent="0.35">
      <c r="A366" s="3" t="str">
        <f>IF(D366="","",(VLOOKUP($D366,KEY!$B$5:$D$74,3,FALSE)))</f>
        <v>Southern California</v>
      </c>
      <c r="B366" s="221">
        <v>45017</v>
      </c>
      <c r="C366" s="221" t="str">
        <f>IFERROR(VLOOKUP($B366,KEY!$AE$19:$AH$60,2,FALSE),"")</f>
        <v>2023-Q2</v>
      </c>
      <c r="D366" s="222" t="s">
        <v>142</v>
      </c>
      <c r="E366" s="218">
        <v>4</v>
      </c>
    </row>
    <row r="367" spans="1:5" x14ac:dyDescent="0.35">
      <c r="A367" s="3" t="str">
        <f>IF(D367="","",(VLOOKUP($D367,KEY!$B$5:$D$74,3,FALSE)))</f>
        <v>Arizona</v>
      </c>
      <c r="B367" s="221">
        <v>45017</v>
      </c>
      <c r="C367" s="221" t="str">
        <f>IFERROR(VLOOKUP($B367,KEY!$AE$19:$AH$60,2,FALSE),"")</f>
        <v>2023-Q2</v>
      </c>
      <c r="D367" s="222" t="s">
        <v>143</v>
      </c>
      <c r="E367" s="218">
        <v>9</v>
      </c>
    </row>
    <row r="368" spans="1:5" x14ac:dyDescent="0.35">
      <c r="A368" s="3" t="str">
        <f>IF(D368="","",(VLOOKUP($D368,KEY!$B$5:$D$74,3,FALSE)))</f>
        <v>Arizona</v>
      </c>
      <c r="B368" s="221">
        <v>45017</v>
      </c>
      <c r="C368" s="221" t="str">
        <f>IFERROR(VLOOKUP($B368,KEY!$AE$19:$AH$60,2,FALSE),"")</f>
        <v>2023-Q2</v>
      </c>
      <c r="D368" s="222" t="s">
        <v>144</v>
      </c>
      <c r="E368" s="218">
        <v>18</v>
      </c>
    </row>
    <row r="369" spans="1:5" x14ac:dyDescent="0.35">
      <c r="A369" s="3" t="str">
        <f>IF(D369="","",(VLOOKUP($D369,KEY!$B$5:$D$74,3,FALSE)))</f>
        <v>Southern California</v>
      </c>
      <c r="B369" s="221">
        <v>45017</v>
      </c>
      <c r="C369" s="221" t="str">
        <f>IFERROR(VLOOKUP($B369,KEY!$AE$19:$AH$60,2,FALSE),"")</f>
        <v>2023-Q2</v>
      </c>
      <c r="D369" s="222" t="s">
        <v>145</v>
      </c>
      <c r="E369" s="218">
        <v>16</v>
      </c>
    </row>
    <row r="370" spans="1:5" x14ac:dyDescent="0.35">
      <c r="A370" s="3" t="str">
        <f>IF(D370="","",(VLOOKUP($D370,KEY!$B$5:$D$74,3,FALSE)))</f>
        <v>Arizona</v>
      </c>
      <c r="B370" s="221">
        <v>45017</v>
      </c>
      <c r="C370" s="221" t="str">
        <f>IFERROR(VLOOKUP($B370,KEY!$AE$19:$AH$60,2,FALSE),"")</f>
        <v>2023-Q2</v>
      </c>
      <c r="D370" s="222" t="s">
        <v>146</v>
      </c>
      <c r="E370" s="218">
        <v>5</v>
      </c>
    </row>
    <row r="371" spans="1:5" x14ac:dyDescent="0.35">
      <c r="A371" s="3" t="str">
        <f>IF(D371="","",(VLOOKUP($D371,KEY!$B$5:$D$74,3,FALSE)))</f>
        <v>Texas</v>
      </c>
      <c r="B371" s="221">
        <v>45017</v>
      </c>
      <c r="C371" s="221" t="str">
        <f>IFERROR(VLOOKUP($B371,KEY!$AE$19:$AH$60,2,FALSE),"")</f>
        <v>2023-Q2</v>
      </c>
      <c r="D371" s="222" t="s">
        <v>147</v>
      </c>
      <c r="E371" s="218">
        <v>4</v>
      </c>
    </row>
    <row r="372" spans="1:5" x14ac:dyDescent="0.35">
      <c r="A372" s="3" t="str">
        <f>IF(D372="","",(VLOOKUP($D372,KEY!$B$5:$D$74,3,FALSE)))</f>
        <v>Northern California</v>
      </c>
      <c r="B372" s="221">
        <v>45017</v>
      </c>
      <c r="C372" s="221" t="str">
        <f>IFERROR(VLOOKUP($B372,KEY!$AE$19:$AH$60,2,FALSE),"")</f>
        <v>2023-Q2</v>
      </c>
      <c r="D372" s="222" t="s">
        <v>148</v>
      </c>
      <c r="E372" s="218">
        <v>4</v>
      </c>
    </row>
    <row r="373" spans="1:5" x14ac:dyDescent="0.35">
      <c r="A373" s="3" t="str">
        <f>IF(D373="","",(VLOOKUP($D373,KEY!$B$5:$D$74,3,FALSE)))</f>
        <v>Orange County</v>
      </c>
      <c r="B373" s="221">
        <v>45017</v>
      </c>
      <c r="C373" s="221" t="str">
        <f>IFERROR(VLOOKUP($B373,KEY!$AE$19:$AH$60,2,FALSE),"")</f>
        <v>2023-Q2</v>
      </c>
      <c r="D373" s="222" t="s">
        <v>149</v>
      </c>
      <c r="E373" s="218">
        <v>2</v>
      </c>
    </row>
    <row r="374" spans="1:5" x14ac:dyDescent="0.35">
      <c r="A374" s="3" t="str">
        <f>IF(D374="","",(VLOOKUP($D374,KEY!$B$5:$D$74,3,FALSE)))</f>
        <v>Southern California</v>
      </c>
      <c r="B374" s="221">
        <v>45017</v>
      </c>
      <c r="C374" s="221" t="str">
        <f>IFERROR(VLOOKUP($B374,KEY!$AE$19:$AH$60,2,FALSE),"")</f>
        <v>2023-Q2</v>
      </c>
      <c r="D374" s="222" t="s">
        <v>150</v>
      </c>
      <c r="E374" s="218">
        <v>5</v>
      </c>
    </row>
    <row r="375" spans="1:5" x14ac:dyDescent="0.35">
      <c r="A375" s="3" t="str">
        <f>IF(D375="","",(VLOOKUP($D375,KEY!$B$5:$D$74,3,FALSE)))</f>
        <v>Arizona</v>
      </c>
      <c r="B375" s="221">
        <v>45017</v>
      </c>
      <c r="C375" s="221" t="str">
        <f>IFERROR(VLOOKUP($B375,KEY!$AE$19:$AH$60,2,FALSE),"")</f>
        <v>2023-Q2</v>
      </c>
      <c r="D375" s="222" t="s">
        <v>151</v>
      </c>
      <c r="E375" s="218">
        <v>3</v>
      </c>
    </row>
    <row r="376" spans="1:5" x14ac:dyDescent="0.35">
      <c r="A376" s="3" t="str">
        <f>IF(D376="","",(VLOOKUP($D376,KEY!$B$5:$D$74,3,FALSE)))</f>
        <v>Northern California</v>
      </c>
      <c r="B376" s="221">
        <v>45017</v>
      </c>
      <c r="C376" s="221" t="str">
        <f>IFERROR(VLOOKUP($B376,KEY!$AE$19:$AH$60,2,FALSE),"")</f>
        <v>2023-Q2</v>
      </c>
      <c r="D376" s="222" t="s">
        <v>152</v>
      </c>
      <c r="E376" s="218">
        <v>11</v>
      </c>
    </row>
    <row r="377" spans="1:5" x14ac:dyDescent="0.35">
      <c r="A377" s="3" t="str">
        <f>IF(D377="","",(VLOOKUP($D377,KEY!$B$5:$D$74,3,FALSE)))</f>
        <v>Arizona</v>
      </c>
      <c r="B377" s="221">
        <v>45017</v>
      </c>
      <c r="C377" s="221" t="str">
        <f>IFERROR(VLOOKUP($B377,KEY!$AE$19:$AH$60,2,FALSE),"")</f>
        <v>2023-Q2</v>
      </c>
      <c r="D377" s="222" t="s">
        <v>153</v>
      </c>
      <c r="E377" s="218">
        <v>12</v>
      </c>
    </row>
    <row r="378" spans="1:5" x14ac:dyDescent="0.35">
      <c r="A378" s="3" t="str">
        <f>IF(D378="","",(VLOOKUP($D378,KEY!$B$5:$D$74,3,FALSE)))</f>
        <v>Northern California</v>
      </c>
      <c r="B378" s="221">
        <v>45017</v>
      </c>
      <c r="C378" s="221" t="str">
        <f>IFERROR(VLOOKUP($B378,KEY!$AE$19:$AH$60,2,FALSE),"")</f>
        <v>2023-Q2</v>
      </c>
      <c r="D378" s="222" t="s">
        <v>154</v>
      </c>
      <c r="E378" s="218">
        <v>6</v>
      </c>
    </row>
    <row r="379" spans="1:5" x14ac:dyDescent="0.35">
      <c r="A379" s="3" t="str">
        <f>IF(D379="","",(VLOOKUP($D379,KEY!$B$5:$D$74,3,FALSE)))</f>
        <v>Texas</v>
      </c>
      <c r="B379" s="221">
        <v>45017</v>
      </c>
      <c r="C379" s="221" t="str">
        <f>IFERROR(VLOOKUP($B379,KEY!$AE$19:$AH$60,2,FALSE),"")</f>
        <v>2023-Q2</v>
      </c>
      <c r="D379" s="222" t="s">
        <v>155</v>
      </c>
      <c r="E379" s="218">
        <v>21</v>
      </c>
    </row>
    <row r="380" spans="1:5" x14ac:dyDescent="0.35">
      <c r="A380" s="3" t="str">
        <f>IF(D380="","",(VLOOKUP($D380,KEY!$B$5:$D$74,3,FALSE)))</f>
        <v>Texas</v>
      </c>
      <c r="B380" s="221">
        <v>45017</v>
      </c>
      <c r="C380" s="221" t="str">
        <f>IFERROR(VLOOKUP($B380,KEY!$AE$19:$AH$60,2,FALSE),"")</f>
        <v>2023-Q2</v>
      </c>
      <c r="D380" s="222" t="s">
        <v>156</v>
      </c>
      <c r="E380" s="218">
        <v>20</v>
      </c>
    </row>
    <row r="381" spans="1:5" x14ac:dyDescent="0.35">
      <c r="A381" s="3" t="str">
        <f>IF(D381="","",(VLOOKUP($D381,KEY!$B$5:$D$74,3,FALSE)))</f>
        <v>Texas</v>
      </c>
      <c r="B381" s="221">
        <v>45017</v>
      </c>
      <c r="C381" s="221" t="str">
        <f>IFERROR(VLOOKUP($B381,KEY!$AE$19:$AH$60,2,FALSE),"")</f>
        <v>2023-Q2</v>
      </c>
      <c r="D381" s="222" t="s">
        <v>157</v>
      </c>
      <c r="E381" s="218">
        <v>13</v>
      </c>
    </row>
    <row r="382" spans="1:5" x14ac:dyDescent="0.35">
      <c r="A382" s="3" t="str">
        <f>IF(D382="","",(VLOOKUP($D382,KEY!$B$5:$D$74,3,FALSE)))</f>
        <v>Arizona</v>
      </c>
      <c r="B382" s="221">
        <v>45017</v>
      </c>
      <c r="C382" s="221" t="str">
        <f>IFERROR(VLOOKUP($B382,KEY!$AE$19:$AH$60,2,FALSE),"")</f>
        <v>2023-Q2</v>
      </c>
      <c r="D382" s="222" t="s">
        <v>158</v>
      </c>
      <c r="E382" s="218">
        <v>5</v>
      </c>
    </row>
    <row r="383" spans="1:5" x14ac:dyDescent="0.35">
      <c r="A383" s="3" t="str">
        <f>IF(D383="","",(VLOOKUP($D383,KEY!$B$5:$D$74,3,FALSE)))</f>
        <v>Orange County</v>
      </c>
      <c r="B383" s="221">
        <v>45017</v>
      </c>
      <c r="C383" s="221" t="str">
        <f>IFERROR(VLOOKUP($B383,KEY!$AE$19:$AH$60,2,FALSE),"")</f>
        <v>2023-Q2</v>
      </c>
      <c r="D383" s="222" t="s">
        <v>159</v>
      </c>
      <c r="E383" s="218">
        <v>8</v>
      </c>
    </row>
    <row r="384" spans="1:5" x14ac:dyDescent="0.35">
      <c r="A384" s="3" t="str">
        <f>IF(D384="","",(VLOOKUP($D384,KEY!$B$5:$D$74,3,FALSE)))</f>
        <v>Arizona</v>
      </c>
      <c r="B384" s="221">
        <v>45017</v>
      </c>
      <c r="C384" s="221" t="str">
        <f>IFERROR(VLOOKUP($B384,KEY!$AE$19:$AH$60,2,FALSE),"")</f>
        <v>2023-Q2</v>
      </c>
      <c r="D384" s="222" t="s">
        <v>160</v>
      </c>
      <c r="E384" s="218">
        <v>23</v>
      </c>
    </row>
    <row r="385" spans="1:5" x14ac:dyDescent="0.35">
      <c r="A385" s="3" t="str">
        <f>IF(D385="","",(VLOOKUP($D385,KEY!$B$5:$D$74,3,FALSE)))</f>
        <v>Northern California</v>
      </c>
      <c r="B385" s="221">
        <v>45017</v>
      </c>
      <c r="C385" s="221" t="str">
        <f>IFERROR(VLOOKUP($B385,KEY!$AE$19:$AH$60,2,FALSE),"")</f>
        <v>2023-Q2</v>
      </c>
      <c r="D385" s="222" t="s">
        <v>161</v>
      </c>
      <c r="E385" s="218">
        <v>20</v>
      </c>
    </row>
    <row r="386" spans="1:5" x14ac:dyDescent="0.35">
      <c r="A386" s="3" t="e">
        <f>IF(D386="","",(VLOOKUP($D386,KEY!$B$5:$D$74,3,FALSE)))</f>
        <v>#N/A</v>
      </c>
      <c r="B386" s="221">
        <v>45017</v>
      </c>
      <c r="C386" s="221" t="str">
        <f>IFERROR(VLOOKUP($B386,KEY!$AE$19:$AH$60,2,FALSE),"")</f>
        <v>2023-Q2</v>
      </c>
      <c r="D386" s="222" t="s">
        <v>162</v>
      </c>
      <c r="E386" s="218">
        <v>32</v>
      </c>
    </row>
    <row r="387" spans="1:5" x14ac:dyDescent="0.35">
      <c r="A387" s="3" t="str">
        <f>IF(D387="","",(VLOOKUP($D387,KEY!$B$5:$D$74,3,FALSE)))</f>
        <v>Arizona</v>
      </c>
      <c r="B387" s="221">
        <v>45017</v>
      </c>
      <c r="C387" s="221" t="str">
        <f>IFERROR(VLOOKUP($B387,KEY!$AE$19:$AH$60,2,FALSE),"")</f>
        <v>2023-Q2</v>
      </c>
      <c r="D387" s="222" t="s">
        <v>163</v>
      </c>
      <c r="E387" s="218">
        <v>20</v>
      </c>
    </row>
    <row r="388" spans="1:5" x14ac:dyDescent="0.35">
      <c r="A388" s="3" t="str">
        <f>IF(D388="","",(VLOOKUP($D388,KEY!$B$5:$D$74,3,FALSE)))</f>
        <v>Arizona</v>
      </c>
      <c r="B388" s="221">
        <v>45017</v>
      </c>
      <c r="C388" s="221" t="str">
        <f>IFERROR(VLOOKUP($B388,KEY!$AE$19:$AH$60,2,FALSE),"")</f>
        <v>2023-Q2</v>
      </c>
      <c r="D388" s="222" t="s">
        <v>164</v>
      </c>
      <c r="E388" s="218">
        <v>7</v>
      </c>
    </row>
    <row r="389" spans="1:5" x14ac:dyDescent="0.35">
      <c r="A389" s="3" t="str">
        <f>IF(D389="","",(VLOOKUP($D389,KEY!$B$5:$D$74,3,FALSE)))</f>
        <v>Orange County</v>
      </c>
      <c r="B389" s="221">
        <v>45017</v>
      </c>
      <c r="C389" s="221" t="str">
        <f>IFERROR(VLOOKUP($B389,KEY!$AE$19:$AH$60,2,FALSE),"")</f>
        <v>2023-Q2</v>
      </c>
      <c r="D389" s="222" t="s">
        <v>165</v>
      </c>
      <c r="E389" s="218">
        <v>7</v>
      </c>
    </row>
    <row r="390" spans="1:5" x14ac:dyDescent="0.35">
      <c r="A390" s="3" t="str">
        <f>IF(D390="","",(VLOOKUP($D390,KEY!$B$5:$D$74,3,FALSE)))</f>
        <v>Arizona</v>
      </c>
      <c r="B390" s="221">
        <v>45047</v>
      </c>
      <c r="C390" s="221" t="str">
        <f>IFERROR(VLOOKUP($B390,KEY!$AE$19:$AH$60,2,FALSE),"")</f>
        <v>2023-Q2</v>
      </c>
      <c r="D390" s="222" t="s">
        <v>111</v>
      </c>
      <c r="E390" s="218">
        <v>8</v>
      </c>
    </row>
    <row r="391" spans="1:5" x14ac:dyDescent="0.35">
      <c r="A391" s="3" t="str">
        <f>IF(D391="","",(VLOOKUP($D391,KEY!$B$5:$D$74,3,FALSE)))</f>
        <v>Southern California</v>
      </c>
      <c r="B391" s="221">
        <v>45047</v>
      </c>
      <c r="C391" s="221" t="str">
        <f>IFERROR(VLOOKUP($B391,KEY!$AE$19:$AH$60,2,FALSE),"")</f>
        <v>2023-Q2</v>
      </c>
      <c r="D391" s="222" t="s">
        <v>112</v>
      </c>
      <c r="E391" s="218">
        <v>4</v>
      </c>
    </row>
    <row r="392" spans="1:5" x14ac:dyDescent="0.35">
      <c r="A392" s="3" t="str">
        <f>IF(D392="","",(VLOOKUP($D392,KEY!$B$5:$D$74,3,FALSE)))</f>
        <v>Arizona</v>
      </c>
      <c r="B392" s="221">
        <v>45047</v>
      </c>
      <c r="C392" s="221" t="str">
        <f>IFERROR(VLOOKUP($B392,KEY!$AE$19:$AH$60,2,FALSE),"")</f>
        <v>2023-Q2</v>
      </c>
      <c r="D392" s="222" t="s">
        <v>113</v>
      </c>
      <c r="E392" s="218">
        <v>7</v>
      </c>
    </row>
    <row r="393" spans="1:5" x14ac:dyDescent="0.35">
      <c r="A393" s="3" t="str">
        <f>IF(D393="","",(VLOOKUP($D393,KEY!$B$5:$D$74,3,FALSE)))</f>
        <v>Southern California</v>
      </c>
      <c r="B393" s="221">
        <v>45047</v>
      </c>
      <c r="C393" s="221" t="str">
        <f>IFERROR(VLOOKUP($B393,KEY!$AE$19:$AH$60,2,FALSE),"")</f>
        <v>2023-Q2</v>
      </c>
      <c r="D393" s="222" t="s">
        <v>114</v>
      </c>
      <c r="E393" s="218">
        <v>7</v>
      </c>
    </row>
    <row r="394" spans="1:5" x14ac:dyDescent="0.35">
      <c r="A394" s="3" t="str">
        <f>IF(D394="","",(VLOOKUP($D394,KEY!$B$5:$D$74,3,FALSE)))</f>
        <v>Orange County</v>
      </c>
      <c r="B394" s="221">
        <v>45047</v>
      </c>
      <c r="C394" s="221" t="str">
        <f>IFERROR(VLOOKUP($B394,KEY!$AE$19:$AH$60,2,FALSE),"")</f>
        <v>2023-Q2</v>
      </c>
      <c r="D394" s="222" t="s">
        <v>115</v>
      </c>
      <c r="E394" s="218">
        <v>5</v>
      </c>
    </row>
    <row r="395" spans="1:5" x14ac:dyDescent="0.35">
      <c r="A395" s="3" t="str">
        <f>IF(D395="","",(VLOOKUP($D395,KEY!$B$5:$D$74,3,FALSE)))</f>
        <v>Arizona</v>
      </c>
      <c r="B395" s="221">
        <v>45047</v>
      </c>
      <c r="C395" s="221" t="str">
        <f>IFERROR(VLOOKUP($B395,KEY!$AE$19:$AH$60,2,FALSE),"")</f>
        <v>2023-Q2</v>
      </c>
      <c r="D395" s="222" t="s">
        <v>116</v>
      </c>
      <c r="E395" s="218">
        <v>12</v>
      </c>
    </row>
    <row r="396" spans="1:5" x14ac:dyDescent="0.35">
      <c r="A396" s="3" t="str">
        <f>IF(D396="","",(VLOOKUP($D396,KEY!$B$5:$D$74,3,FALSE)))</f>
        <v>Orange County</v>
      </c>
      <c r="B396" s="221">
        <v>45047</v>
      </c>
      <c r="C396" s="221" t="str">
        <f>IFERROR(VLOOKUP($B396,KEY!$AE$19:$AH$60,2,FALSE),"")</f>
        <v>2023-Q2</v>
      </c>
      <c r="D396" s="222" t="s">
        <v>117</v>
      </c>
      <c r="E396" s="218">
        <v>14</v>
      </c>
    </row>
    <row r="397" spans="1:5" x14ac:dyDescent="0.35">
      <c r="A397" s="3" t="str">
        <f>IF(D397="","",(VLOOKUP($D397,KEY!$B$5:$D$74,3,FALSE)))</f>
        <v>Northern California</v>
      </c>
      <c r="B397" s="221">
        <v>45047</v>
      </c>
      <c r="C397" s="221" t="str">
        <f>IFERROR(VLOOKUP($B397,KEY!$AE$19:$AH$60,2,FALSE),"")</f>
        <v>2023-Q2</v>
      </c>
      <c r="D397" s="222" t="s">
        <v>118</v>
      </c>
      <c r="E397" s="218">
        <v>13</v>
      </c>
    </row>
    <row r="398" spans="1:5" x14ac:dyDescent="0.35">
      <c r="A398" s="3" t="str">
        <f>IF(D398="","",(VLOOKUP($D398,KEY!$B$5:$D$74,3,FALSE)))</f>
        <v>Arizona</v>
      </c>
      <c r="B398" s="221">
        <v>45047</v>
      </c>
      <c r="C398" s="221" t="str">
        <f>IFERROR(VLOOKUP($B398,KEY!$AE$19:$AH$60,2,FALSE),"")</f>
        <v>2023-Q2</v>
      </c>
      <c r="D398" s="222" t="s">
        <v>119</v>
      </c>
      <c r="E398" s="218">
        <v>4</v>
      </c>
    </row>
    <row r="399" spans="1:5" x14ac:dyDescent="0.35">
      <c r="A399" s="3" t="str">
        <f>IF(D399="","",(VLOOKUP($D399,KEY!$B$5:$D$74,3,FALSE)))</f>
        <v>Arizona</v>
      </c>
      <c r="B399" s="221">
        <v>45047</v>
      </c>
      <c r="C399" s="221" t="str">
        <f>IFERROR(VLOOKUP($B399,KEY!$AE$19:$AH$60,2,FALSE),"")</f>
        <v>2023-Q2</v>
      </c>
      <c r="D399" s="222" t="s">
        <v>120</v>
      </c>
      <c r="E399" s="218">
        <v>26</v>
      </c>
    </row>
    <row r="400" spans="1:5" x14ac:dyDescent="0.35">
      <c r="A400" s="3" t="str">
        <f>IF(D400="","",(VLOOKUP($D400,KEY!$B$5:$D$74,3,FALSE)))</f>
        <v>Texas</v>
      </c>
      <c r="B400" s="221">
        <v>45047</v>
      </c>
      <c r="C400" s="221" t="str">
        <f>IFERROR(VLOOKUP($B400,KEY!$AE$19:$AH$60,2,FALSE),"")</f>
        <v>2023-Q2</v>
      </c>
      <c r="D400" s="222" t="s">
        <v>121</v>
      </c>
      <c r="E400" s="218">
        <v>21</v>
      </c>
    </row>
    <row r="401" spans="1:5" x14ac:dyDescent="0.35">
      <c r="A401" s="3" t="str">
        <f>IF(D401="","",(VLOOKUP($D401,KEY!$B$5:$D$74,3,FALSE)))</f>
        <v>Southern California</v>
      </c>
      <c r="B401" s="221">
        <v>45047</v>
      </c>
      <c r="C401" s="221" t="str">
        <f>IFERROR(VLOOKUP($B401,KEY!$AE$19:$AH$60,2,FALSE),"")</f>
        <v>2023-Q2</v>
      </c>
      <c r="D401" s="222" t="s">
        <v>122</v>
      </c>
      <c r="E401" s="218">
        <v>7</v>
      </c>
    </row>
    <row r="402" spans="1:5" x14ac:dyDescent="0.35">
      <c r="A402" s="3" t="str">
        <f>IF(D402="","",(VLOOKUP($D402,KEY!$B$5:$D$74,3,FALSE)))</f>
        <v>Orange County</v>
      </c>
      <c r="B402" s="221">
        <v>45047</v>
      </c>
      <c r="C402" s="221" t="str">
        <f>IFERROR(VLOOKUP($B402,KEY!$AE$19:$AH$60,2,FALSE),"")</f>
        <v>2023-Q2</v>
      </c>
      <c r="D402" s="222" t="s">
        <v>123</v>
      </c>
      <c r="E402" s="218">
        <v>17</v>
      </c>
    </row>
    <row r="403" spans="1:5" x14ac:dyDescent="0.35">
      <c r="A403" s="3" t="str">
        <f>IF(D403="","",(VLOOKUP($D403,KEY!$B$5:$D$74,3,FALSE)))</f>
        <v>Southern California</v>
      </c>
      <c r="B403" s="221">
        <v>45047</v>
      </c>
      <c r="C403" s="221" t="str">
        <f>IFERROR(VLOOKUP($B403,KEY!$AE$19:$AH$60,2,FALSE),"")</f>
        <v>2023-Q2</v>
      </c>
      <c r="D403" s="222" t="s">
        <v>124</v>
      </c>
      <c r="E403" s="218">
        <v>19</v>
      </c>
    </row>
    <row r="404" spans="1:5" x14ac:dyDescent="0.35">
      <c r="A404" s="3" t="str">
        <f>IF(D404="","",(VLOOKUP($D404,KEY!$B$5:$D$74,3,FALSE)))</f>
        <v>Northern California</v>
      </c>
      <c r="B404" s="221">
        <v>45047</v>
      </c>
      <c r="C404" s="221" t="str">
        <f>IFERROR(VLOOKUP($B404,KEY!$AE$19:$AH$60,2,FALSE),"")</f>
        <v>2023-Q2</v>
      </c>
      <c r="D404" s="222" t="s">
        <v>195</v>
      </c>
      <c r="E404" s="218">
        <v>4</v>
      </c>
    </row>
    <row r="405" spans="1:5" x14ac:dyDescent="0.35">
      <c r="A405" s="3" t="str">
        <f>IF(D405="","",(VLOOKUP($D405,KEY!$B$5:$D$74,3,FALSE)))</f>
        <v>Northern California</v>
      </c>
      <c r="B405" s="221">
        <v>45047</v>
      </c>
      <c r="C405" s="221" t="str">
        <f>IFERROR(VLOOKUP($B405,KEY!$AE$19:$AH$60,2,FALSE),"")</f>
        <v>2023-Q2</v>
      </c>
      <c r="D405" s="222" t="s">
        <v>125</v>
      </c>
      <c r="E405" s="218">
        <v>16</v>
      </c>
    </row>
    <row r="406" spans="1:5" x14ac:dyDescent="0.35">
      <c r="A406" s="3" t="str">
        <f>IF(D406="","",(VLOOKUP($D406,KEY!$B$5:$D$74,3,FALSE)))</f>
        <v>Orange County</v>
      </c>
      <c r="B406" s="221">
        <v>45047</v>
      </c>
      <c r="C406" s="221" t="str">
        <f>IFERROR(VLOOKUP($B406,KEY!$AE$19:$AH$60,2,FALSE),"")</f>
        <v>2023-Q2</v>
      </c>
      <c r="D406" s="222" t="s">
        <v>126</v>
      </c>
      <c r="E406" s="218">
        <v>35</v>
      </c>
    </row>
    <row r="407" spans="1:5" x14ac:dyDescent="0.35">
      <c r="A407" s="3" t="str">
        <f>IF(D407="","",(VLOOKUP($D407,KEY!$B$5:$D$74,3,FALSE)))</f>
        <v>Orange County</v>
      </c>
      <c r="B407" s="221">
        <v>45047</v>
      </c>
      <c r="C407" s="221" t="str">
        <f>IFERROR(VLOOKUP($B407,KEY!$AE$19:$AH$60,2,FALSE),"")</f>
        <v>2023-Q2</v>
      </c>
      <c r="D407" s="222" t="s">
        <v>127</v>
      </c>
      <c r="E407" s="218">
        <v>4</v>
      </c>
    </row>
    <row r="408" spans="1:5" x14ac:dyDescent="0.35">
      <c r="A408" s="3" t="str">
        <f>IF(D408="","",(VLOOKUP($D408,KEY!$B$5:$D$74,3,FALSE)))</f>
        <v>Texas</v>
      </c>
      <c r="B408" s="221">
        <v>45047</v>
      </c>
      <c r="C408" s="221" t="str">
        <f>IFERROR(VLOOKUP($B408,KEY!$AE$19:$AH$60,2,FALSE),"")</f>
        <v>2023-Q2</v>
      </c>
      <c r="D408" s="222" t="s">
        <v>128</v>
      </c>
      <c r="E408" s="218">
        <v>12</v>
      </c>
    </row>
    <row r="409" spans="1:5" x14ac:dyDescent="0.35">
      <c r="A409" s="3" t="str">
        <f>IF(D409="","",(VLOOKUP($D409,KEY!$B$5:$D$74,3,FALSE)))</f>
        <v>Northern California</v>
      </c>
      <c r="B409" s="221">
        <v>45047</v>
      </c>
      <c r="C409" s="221" t="str">
        <f>IFERROR(VLOOKUP($B409,KEY!$AE$19:$AH$60,2,FALSE),"")</f>
        <v>2023-Q2</v>
      </c>
      <c r="D409" s="222" t="s">
        <v>129</v>
      </c>
      <c r="E409" s="218">
        <v>14</v>
      </c>
    </row>
    <row r="410" spans="1:5" x14ac:dyDescent="0.35">
      <c r="A410" s="3" t="str">
        <f>IF(D410="","",(VLOOKUP($D410,KEY!$B$5:$D$74,3,FALSE)))</f>
        <v>Southern California</v>
      </c>
      <c r="B410" s="221">
        <v>45047</v>
      </c>
      <c r="C410" s="221" t="str">
        <f>IFERROR(VLOOKUP($B410,KEY!$AE$19:$AH$60,2,FALSE),"")</f>
        <v>2023-Q2</v>
      </c>
      <c r="D410" s="222" t="s">
        <v>130</v>
      </c>
      <c r="E410" s="218">
        <v>7</v>
      </c>
    </row>
    <row r="411" spans="1:5" x14ac:dyDescent="0.35">
      <c r="A411" s="3">
        <f>IF(D411="","",(VLOOKUP($D411,KEY!$B$5:$D$74,3,FALSE)))</f>
        <v>0</v>
      </c>
      <c r="B411" s="221">
        <v>45047</v>
      </c>
      <c r="C411" s="221" t="str">
        <f>IFERROR(VLOOKUP($B411,KEY!$AE$19:$AH$60,2,FALSE),"")</f>
        <v>2023-Q2</v>
      </c>
      <c r="D411" s="222" t="s">
        <v>131</v>
      </c>
      <c r="E411" s="218">
        <v>12</v>
      </c>
    </row>
    <row r="412" spans="1:5" x14ac:dyDescent="0.35">
      <c r="A412" s="3" t="e">
        <f>IF(D412="","",(VLOOKUP($D412,KEY!$B$5:$D$74,3,FALSE)))</f>
        <v>#N/A</v>
      </c>
      <c r="B412" s="221">
        <v>45047</v>
      </c>
      <c r="C412" s="221" t="str">
        <f>IFERROR(VLOOKUP($B412,KEY!$AE$19:$AH$60,2,FALSE),"")</f>
        <v>2023-Q2</v>
      </c>
      <c r="D412" s="222" t="s">
        <v>134</v>
      </c>
      <c r="E412" s="218">
        <v>4</v>
      </c>
    </row>
    <row r="413" spans="1:5" x14ac:dyDescent="0.35">
      <c r="A413" s="3" t="str">
        <f>IF(D413="","",(VLOOKUP($D413,KEY!$B$5:$D$74,3,FALSE)))</f>
        <v>Southern California</v>
      </c>
      <c r="B413" s="221">
        <v>45047</v>
      </c>
      <c r="C413" s="221" t="str">
        <f>IFERROR(VLOOKUP($B413,KEY!$AE$19:$AH$60,2,FALSE),"")</f>
        <v>2023-Q2</v>
      </c>
      <c r="D413" s="222" t="s">
        <v>135</v>
      </c>
      <c r="E413" s="218">
        <v>12</v>
      </c>
    </row>
    <row r="414" spans="1:5" x14ac:dyDescent="0.35">
      <c r="A414" s="3" t="str">
        <f>IF(D414="","",(VLOOKUP($D414,KEY!$B$5:$D$74,3,FALSE)))</f>
        <v>Arizona</v>
      </c>
      <c r="B414" s="221">
        <v>45047</v>
      </c>
      <c r="C414" s="221" t="str">
        <f>IFERROR(VLOOKUP($B414,KEY!$AE$19:$AH$60,2,FALSE),"")</f>
        <v>2023-Q2</v>
      </c>
      <c r="D414" s="222" t="s">
        <v>196</v>
      </c>
      <c r="E414" s="218">
        <v>5</v>
      </c>
    </row>
    <row r="415" spans="1:5" x14ac:dyDescent="0.35">
      <c r="A415" s="3" t="str">
        <f>IF(D415="","",(VLOOKUP($D415,KEY!$B$5:$D$74,3,FALSE)))</f>
        <v>Arizona</v>
      </c>
      <c r="B415" s="221">
        <v>45047</v>
      </c>
      <c r="C415" s="221" t="str">
        <f>IFERROR(VLOOKUP($B415,KEY!$AE$19:$AH$60,2,FALSE),"")</f>
        <v>2023-Q2</v>
      </c>
      <c r="D415" s="222" t="s">
        <v>197</v>
      </c>
      <c r="E415" s="218">
        <v>8</v>
      </c>
    </row>
    <row r="416" spans="1:5" x14ac:dyDescent="0.35">
      <c r="A416" s="3" t="str">
        <f>IF(D416="","",(VLOOKUP($D416,KEY!$B$5:$D$74,3,FALSE)))</f>
        <v>Texas</v>
      </c>
      <c r="B416" s="221">
        <v>45047</v>
      </c>
      <c r="C416" s="221" t="str">
        <f>IFERROR(VLOOKUP($B416,KEY!$AE$19:$AH$60,2,FALSE),"")</f>
        <v>2023-Q2</v>
      </c>
      <c r="D416" s="222" t="s">
        <v>136</v>
      </c>
      <c r="E416" s="218">
        <v>15</v>
      </c>
    </row>
    <row r="417" spans="1:5" x14ac:dyDescent="0.35">
      <c r="A417" s="3" t="str">
        <f>IF(D417="","",(VLOOKUP($D417,KEY!$B$5:$D$74,3,FALSE)))</f>
        <v>Arizona</v>
      </c>
      <c r="B417" s="221">
        <v>45047</v>
      </c>
      <c r="C417" s="221" t="str">
        <f>IFERROR(VLOOKUP($B417,KEY!$AE$19:$AH$60,2,FALSE),"")</f>
        <v>2023-Q2</v>
      </c>
      <c r="D417" s="222" t="s">
        <v>137</v>
      </c>
      <c r="E417" s="218">
        <v>8</v>
      </c>
    </row>
    <row r="418" spans="1:5" x14ac:dyDescent="0.35">
      <c r="A418" s="3" t="str">
        <f>IF(D418="","",(VLOOKUP($D418,KEY!$B$5:$D$74,3,FALSE)))</f>
        <v>Texas</v>
      </c>
      <c r="B418" s="221">
        <v>45047</v>
      </c>
      <c r="C418" s="221" t="str">
        <f>IFERROR(VLOOKUP($B418,KEY!$AE$19:$AH$60,2,FALSE),"")</f>
        <v>2023-Q2</v>
      </c>
      <c r="D418" s="222" t="s">
        <v>138</v>
      </c>
      <c r="E418" s="218">
        <v>7</v>
      </c>
    </row>
    <row r="419" spans="1:5" x14ac:dyDescent="0.35">
      <c r="A419" s="3" t="str">
        <f>IF(D419="","",(VLOOKUP($D419,KEY!$B$5:$D$74,3,FALSE)))</f>
        <v>Southern California</v>
      </c>
      <c r="B419" s="221">
        <v>45047</v>
      </c>
      <c r="C419" s="221" t="str">
        <f>IFERROR(VLOOKUP($B419,KEY!$AE$19:$AH$60,2,FALSE),"")</f>
        <v>2023-Q2</v>
      </c>
      <c r="D419" s="222" t="s">
        <v>139</v>
      </c>
      <c r="E419" s="218">
        <v>13</v>
      </c>
    </row>
    <row r="420" spans="1:5" x14ac:dyDescent="0.35">
      <c r="A420" s="3" t="str">
        <f>IF(D420="","",(VLOOKUP($D420,KEY!$B$5:$D$74,3,FALSE)))</f>
        <v>Orange County</v>
      </c>
      <c r="B420" s="221">
        <v>45047</v>
      </c>
      <c r="C420" s="221" t="str">
        <f>IFERROR(VLOOKUP($B420,KEY!$AE$19:$AH$60,2,FALSE),"")</f>
        <v>2023-Q2</v>
      </c>
      <c r="D420" s="222" t="s">
        <v>140</v>
      </c>
      <c r="E420" s="218">
        <v>3</v>
      </c>
    </row>
    <row r="421" spans="1:5" x14ac:dyDescent="0.35">
      <c r="A421" s="3" t="str">
        <f>IF(D421="","",(VLOOKUP($D421,KEY!$B$5:$D$74,3,FALSE)))</f>
        <v>Southern California</v>
      </c>
      <c r="B421" s="221">
        <v>45047</v>
      </c>
      <c r="C421" s="221" t="str">
        <f>IFERROR(VLOOKUP($B421,KEY!$AE$19:$AH$60,2,FALSE),"")</f>
        <v>2023-Q2</v>
      </c>
      <c r="D421" s="222" t="s">
        <v>142</v>
      </c>
      <c r="E421" s="218">
        <v>5</v>
      </c>
    </row>
    <row r="422" spans="1:5" x14ac:dyDescent="0.35">
      <c r="A422" s="3" t="str">
        <f>IF(D422="","",(VLOOKUP($D422,KEY!$B$5:$D$74,3,FALSE)))</f>
        <v>Arizona</v>
      </c>
      <c r="B422" s="221">
        <v>45047</v>
      </c>
      <c r="C422" s="221" t="str">
        <f>IFERROR(VLOOKUP($B422,KEY!$AE$19:$AH$60,2,FALSE),"")</f>
        <v>2023-Q2</v>
      </c>
      <c r="D422" s="222" t="s">
        <v>143</v>
      </c>
      <c r="E422" s="218">
        <v>9</v>
      </c>
    </row>
    <row r="423" spans="1:5" x14ac:dyDescent="0.35">
      <c r="A423" s="3" t="str">
        <f>IF(D423="","",(VLOOKUP($D423,KEY!$B$5:$D$74,3,FALSE)))</f>
        <v>Arizona</v>
      </c>
      <c r="B423" s="221">
        <v>45047</v>
      </c>
      <c r="C423" s="221" t="str">
        <f>IFERROR(VLOOKUP($B423,KEY!$AE$19:$AH$60,2,FALSE),"")</f>
        <v>2023-Q2</v>
      </c>
      <c r="D423" s="222" t="s">
        <v>144</v>
      </c>
      <c r="E423" s="218">
        <v>18</v>
      </c>
    </row>
    <row r="424" spans="1:5" x14ac:dyDescent="0.35">
      <c r="A424" s="3" t="str">
        <f>IF(D424="","",(VLOOKUP($D424,KEY!$B$5:$D$74,3,FALSE)))</f>
        <v>Southern California</v>
      </c>
      <c r="B424" s="221">
        <v>45047</v>
      </c>
      <c r="C424" s="221" t="str">
        <f>IFERROR(VLOOKUP($B424,KEY!$AE$19:$AH$60,2,FALSE),"")</f>
        <v>2023-Q2</v>
      </c>
      <c r="D424" s="222" t="s">
        <v>145</v>
      </c>
      <c r="E424" s="218">
        <v>16</v>
      </c>
    </row>
    <row r="425" spans="1:5" x14ac:dyDescent="0.35">
      <c r="A425" s="3" t="str">
        <f>IF(D425="","",(VLOOKUP($D425,KEY!$B$5:$D$74,3,FALSE)))</f>
        <v>Arizona</v>
      </c>
      <c r="B425" s="221">
        <v>45047</v>
      </c>
      <c r="C425" s="221" t="str">
        <f>IFERROR(VLOOKUP($B425,KEY!$AE$19:$AH$60,2,FALSE),"")</f>
        <v>2023-Q2</v>
      </c>
      <c r="D425" s="222" t="s">
        <v>146</v>
      </c>
      <c r="E425" s="218">
        <v>5</v>
      </c>
    </row>
    <row r="426" spans="1:5" x14ac:dyDescent="0.35">
      <c r="A426" s="3" t="str">
        <f>IF(D426="","",(VLOOKUP($D426,KEY!$B$5:$D$74,3,FALSE)))</f>
        <v>Texas</v>
      </c>
      <c r="B426" s="221">
        <v>45047</v>
      </c>
      <c r="C426" s="221" t="str">
        <f>IFERROR(VLOOKUP($B426,KEY!$AE$19:$AH$60,2,FALSE),"")</f>
        <v>2023-Q2</v>
      </c>
      <c r="D426" s="222" t="s">
        <v>147</v>
      </c>
      <c r="E426" s="218">
        <v>4</v>
      </c>
    </row>
    <row r="427" spans="1:5" x14ac:dyDescent="0.35">
      <c r="A427" s="3" t="str">
        <f>IF(D427="","",(VLOOKUP($D427,KEY!$B$5:$D$74,3,FALSE)))</f>
        <v>Northern California</v>
      </c>
      <c r="B427" s="221">
        <v>45047</v>
      </c>
      <c r="C427" s="221" t="str">
        <f>IFERROR(VLOOKUP($B427,KEY!$AE$19:$AH$60,2,FALSE),"")</f>
        <v>2023-Q2</v>
      </c>
      <c r="D427" s="222" t="s">
        <v>148</v>
      </c>
      <c r="E427" s="218">
        <v>4</v>
      </c>
    </row>
    <row r="428" spans="1:5" x14ac:dyDescent="0.35">
      <c r="A428" s="3" t="str">
        <f>IF(D428="","",(VLOOKUP($D428,KEY!$B$5:$D$74,3,FALSE)))</f>
        <v>Orange County</v>
      </c>
      <c r="B428" s="221">
        <v>45047</v>
      </c>
      <c r="C428" s="221" t="str">
        <f>IFERROR(VLOOKUP($B428,KEY!$AE$19:$AH$60,2,FALSE),"")</f>
        <v>2023-Q2</v>
      </c>
      <c r="D428" s="222" t="s">
        <v>149</v>
      </c>
      <c r="E428" s="218">
        <v>2</v>
      </c>
    </row>
    <row r="429" spans="1:5" x14ac:dyDescent="0.35">
      <c r="A429" s="3" t="str">
        <f>IF(D429="","",(VLOOKUP($D429,KEY!$B$5:$D$74,3,FALSE)))</f>
        <v>Southern California</v>
      </c>
      <c r="B429" s="221">
        <v>45047</v>
      </c>
      <c r="C429" s="221" t="str">
        <f>IFERROR(VLOOKUP($B429,KEY!$AE$19:$AH$60,2,FALSE),"")</f>
        <v>2023-Q2</v>
      </c>
      <c r="D429" s="222" t="s">
        <v>150</v>
      </c>
      <c r="E429" s="218">
        <v>5</v>
      </c>
    </row>
    <row r="430" spans="1:5" x14ac:dyDescent="0.35">
      <c r="A430" s="3" t="str">
        <f>IF(D430="","",(VLOOKUP($D430,KEY!$B$5:$D$74,3,FALSE)))</f>
        <v>Arizona</v>
      </c>
      <c r="B430" s="221">
        <v>45047</v>
      </c>
      <c r="C430" s="221" t="str">
        <f>IFERROR(VLOOKUP($B430,KEY!$AE$19:$AH$60,2,FALSE),"")</f>
        <v>2023-Q2</v>
      </c>
      <c r="D430" s="222" t="s">
        <v>151</v>
      </c>
      <c r="E430" s="218">
        <v>3</v>
      </c>
    </row>
    <row r="431" spans="1:5" x14ac:dyDescent="0.35">
      <c r="A431" s="3" t="str">
        <f>IF(D431="","",(VLOOKUP($D431,KEY!$B$5:$D$74,3,FALSE)))</f>
        <v>Northern California</v>
      </c>
      <c r="B431" s="221">
        <v>45047</v>
      </c>
      <c r="C431" s="221" t="str">
        <f>IFERROR(VLOOKUP($B431,KEY!$AE$19:$AH$60,2,FALSE),"")</f>
        <v>2023-Q2</v>
      </c>
      <c r="D431" s="222" t="s">
        <v>152</v>
      </c>
      <c r="E431" s="218">
        <v>11</v>
      </c>
    </row>
    <row r="432" spans="1:5" x14ac:dyDescent="0.35">
      <c r="A432" s="3" t="str">
        <f>IF(D432="","",(VLOOKUP($D432,KEY!$B$5:$D$74,3,FALSE)))</f>
        <v>Arizona</v>
      </c>
      <c r="B432" s="221">
        <v>45047</v>
      </c>
      <c r="C432" s="221" t="str">
        <f>IFERROR(VLOOKUP($B432,KEY!$AE$19:$AH$60,2,FALSE),"")</f>
        <v>2023-Q2</v>
      </c>
      <c r="D432" s="222" t="s">
        <v>153</v>
      </c>
      <c r="E432" s="218">
        <v>12</v>
      </c>
    </row>
    <row r="433" spans="1:5" x14ac:dyDescent="0.35">
      <c r="A433" s="3" t="str">
        <f>IF(D433="","",(VLOOKUP($D433,KEY!$B$5:$D$74,3,FALSE)))</f>
        <v>Northern California</v>
      </c>
      <c r="B433" s="221">
        <v>45047</v>
      </c>
      <c r="C433" s="221" t="str">
        <f>IFERROR(VLOOKUP($B433,KEY!$AE$19:$AH$60,2,FALSE),"")</f>
        <v>2023-Q2</v>
      </c>
      <c r="D433" s="222" t="s">
        <v>154</v>
      </c>
      <c r="E433" s="218">
        <v>6</v>
      </c>
    </row>
    <row r="434" spans="1:5" x14ac:dyDescent="0.35">
      <c r="A434" s="3" t="str">
        <f>IF(D434="","",(VLOOKUP($D434,KEY!$B$5:$D$74,3,FALSE)))</f>
        <v>Texas</v>
      </c>
      <c r="B434" s="221">
        <v>45047</v>
      </c>
      <c r="C434" s="221" t="str">
        <f>IFERROR(VLOOKUP($B434,KEY!$AE$19:$AH$60,2,FALSE),"")</f>
        <v>2023-Q2</v>
      </c>
      <c r="D434" s="222" t="s">
        <v>155</v>
      </c>
      <c r="E434" s="218">
        <v>21</v>
      </c>
    </row>
    <row r="435" spans="1:5" x14ac:dyDescent="0.35">
      <c r="A435" s="3" t="str">
        <f>IF(D435="","",(VLOOKUP($D435,KEY!$B$5:$D$74,3,FALSE)))</f>
        <v>Texas</v>
      </c>
      <c r="B435" s="221">
        <v>45047</v>
      </c>
      <c r="C435" s="221" t="str">
        <f>IFERROR(VLOOKUP($B435,KEY!$AE$19:$AH$60,2,FALSE),"")</f>
        <v>2023-Q2</v>
      </c>
      <c r="D435" s="222" t="s">
        <v>156</v>
      </c>
      <c r="E435" s="218">
        <v>19</v>
      </c>
    </row>
    <row r="436" spans="1:5" x14ac:dyDescent="0.35">
      <c r="A436" s="3" t="str">
        <f>IF(D436="","",(VLOOKUP($D436,KEY!$B$5:$D$74,3,FALSE)))</f>
        <v>Texas</v>
      </c>
      <c r="B436" s="221">
        <v>45047</v>
      </c>
      <c r="C436" s="221" t="str">
        <f>IFERROR(VLOOKUP($B436,KEY!$AE$19:$AH$60,2,FALSE),"")</f>
        <v>2023-Q2</v>
      </c>
      <c r="D436" s="222" t="s">
        <v>157</v>
      </c>
      <c r="E436" s="218">
        <v>14</v>
      </c>
    </row>
    <row r="437" spans="1:5" x14ac:dyDescent="0.35">
      <c r="A437" s="3" t="str">
        <f>IF(D437="","",(VLOOKUP($D437,KEY!$B$5:$D$74,3,FALSE)))</f>
        <v>Arizona</v>
      </c>
      <c r="B437" s="221">
        <v>45047</v>
      </c>
      <c r="C437" s="221" t="str">
        <f>IFERROR(VLOOKUP($B437,KEY!$AE$19:$AH$60,2,FALSE),"")</f>
        <v>2023-Q2</v>
      </c>
      <c r="D437" s="222" t="s">
        <v>158</v>
      </c>
      <c r="E437" s="218">
        <v>5</v>
      </c>
    </row>
    <row r="438" spans="1:5" x14ac:dyDescent="0.35">
      <c r="A438" s="3" t="str">
        <f>IF(D438="","",(VLOOKUP($D438,KEY!$B$5:$D$74,3,FALSE)))</f>
        <v>Orange County</v>
      </c>
      <c r="B438" s="221">
        <v>45047</v>
      </c>
      <c r="C438" s="221" t="str">
        <f>IFERROR(VLOOKUP($B438,KEY!$AE$19:$AH$60,2,FALSE),"")</f>
        <v>2023-Q2</v>
      </c>
      <c r="D438" s="222" t="s">
        <v>159</v>
      </c>
      <c r="E438" s="218">
        <v>9</v>
      </c>
    </row>
    <row r="439" spans="1:5" x14ac:dyDescent="0.35">
      <c r="A439" s="3" t="str">
        <f>IF(D439="","",(VLOOKUP($D439,KEY!$B$5:$D$74,3,FALSE)))</f>
        <v>Arizona</v>
      </c>
      <c r="B439" s="221">
        <v>45047</v>
      </c>
      <c r="C439" s="221" t="str">
        <f>IFERROR(VLOOKUP($B439,KEY!$AE$19:$AH$60,2,FALSE),"")</f>
        <v>2023-Q2</v>
      </c>
      <c r="D439" s="222" t="s">
        <v>160</v>
      </c>
      <c r="E439" s="218">
        <v>23</v>
      </c>
    </row>
    <row r="440" spans="1:5" x14ac:dyDescent="0.35">
      <c r="A440" s="3" t="str">
        <f>IF(D440="","",(VLOOKUP($D440,KEY!$B$5:$D$74,3,FALSE)))</f>
        <v>Northern California</v>
      </c>
      <c r="B440" s="221">
        <v>45047</v>
      </c>
      <c r="C440" s="221" t="str">
        <f>IFERROR(VLOOKUP($B440,KEY!$AE$19:$AH$60,2,FALSE),"")</f>
        <v>2023-Q2</v>
      </c>
      <c r="D440" s="222" t="s">
        <v>161</v>
      </c>
      <c r="E440" s="218">
        <v>20</v>
      </c>
    </row>
    <row r="441" spans="1:5" x14ac:dyDescent="0.35">
      <c r="A441" s="3" t="e">
        <f>IF(D441="","",(VLOOKUP($D441,KEY!$B$5:$D$74,3,FALSE)))</f>
        <v>#N/A</v>
      </c>
      <c r="B441" s="221">
        <v>45047</v>
      </c>
      <c r="C441" s="221" t="str">
        <f>IFERROR(VLOOKUP($B441,KEY!$AE$19:$AH$60,2,FALSE),"")</f>
        <v>2023-Q2</v>
      </c>
      <c r="D441" s="222" t="s">
        <v>162</v>
      </c>
      <c r="E441" s="218">
        <v>32</v>
      </c>
    </row>
    <row r="442" spans="1:5" x14ac:dyDescent="0.35">
      <c r="A442" s="3" t="str">
        <f>IF(D442="","",(VLOOKUP($D442,KEY!$B$5:$D$74,3,FALSE)))</f>
        <v>Arizona</v>
      </c>
      <c r="B442" s="221">
        <v>45047</v>
      </c>
      <c r="C442" s="221" t="str">
        <f>IFERROR(VLOOKUP($B442,KEY!$AE$19:$AH$60,2,FALSE),"")</f>
        <v>2023-Q2</v>
      </c>
      <c r="D442" s="222" t="s">
        <v>163</v>
      </c>
      <c r="E442" s="218">
        <v>18</v>
      </c>
    </row>
    <row r="443" spans="1:5" x14ac:dyDescent="0.35">
      <c r="A443" s="3" t="str">
        <f>IF(D443="","",(VLOOKUP($D443,KEY!$B$5:$D$74,3,FALSE)))</f>
        <v>Arizona</v>
      </c>
      <c r="B443" s="221">
        <v>45047</v>
      </c>
      <c r="C443" s="221" t="str">
        <f>IFERROR(VLOOKUP($B443,KEY!$AE$19:$AH$60,2,FALSE),"")</f>
        <v>2023-Q2</v>
      </c>
      <c r="D443" s="222" t="s">
        <v>164</v>
      </c>
      <c r="E443" s="218">
        <v>7</v>
      </c>
    </row>
    <row r="444" spans="1:5" x14ac:dyDescent="0.35">
      <c r="A444" s="3" t="str">
        <f>IF(D444="","",(VLOOKUP($D444,KEY!$B$5:$D$74,3,FALSE)))</f>
        <v>Orange County</v>
      </c>
      <c r="B444" s="221">
        <v>45047</v>
      </c>
      <c r="C444" s="221" t="str">
        <f>IFERROR(VLOOKUP($B444,KEY!$AE$19:$AH$60,2,FALSE),"")</f>
        <v>2023-Q2</v>
      </c>
      <c r="D444" s="222" t="s">
        <v>165</v>
      </c>
      <c r="E444" s="218">
        <v>7</v>
      </c>
    </row>
    <row r="445" spans="1:5" x14ac:dyDescent="0.35">
      <c r="A445" s="3" t="str">
        <f>IF(D445="","",(VLOOKUP($D445,KEY!$B$5:$D$74,3,FALSE)))</f>
        <v>Arizona</v>
      </c>
      <c r="B445" s="221">
        <v>45078</v>
      </c>
      <c r="C445" s="221" t="str">
        <f>IFERROR(VLOOKUP($B445,KEY!$AE$19:$AH$60,2,FALSE),"")</f>
        <v>2023-Q2</v>
      </c>
      <c r="D445" s="222" t="s">
        <v>111</v>
      </c>
      <c r="E445" s="218">
        <v>8</v>
      </c>
    </row>
    <row r="446" spans="1:5" x14ac:dyDescent="0.35">
      <c r="A446" s="3" t="str">
        <f>IF(D446="","",(VLOOKUP($D446,KEY!$B$5:$D$74,3,FALSE)))</f>
        <v>Southern California</v>
      </c>
      <c r="B446" s="221">
        <v>45078</v>
      </c>
      <c r="C446" s="221" t="str">
        <f>IFERROR(VLOOKUP($B446,KEY!$AE$19:$AH$60,2,FALSE),"")</f>
        <v>2023-Q2</v>
      </c>
      <c r="D446" s="222" t="s">
        <v>112</v>
      </c>
      <c r="E446" s="218">
        <v>4</v>
      </c>
    </row>
    <row r="447" spans="1:5" x14ac:dyDescent="0.35">
      <c r="A447" s="3" t="str">
        <f>IF(D447="","",(VLOOKUP($D447,KEY!$B$5:$D$74,3,FALSE)))</f>
        <v>Arizona</v>
      </c>
      <c r="B447" s="221">
        <v>45078</v>
      </c>
      <c r="C447" s="221" t="str">
        <f>IFERROR(VLOOKUP($B447,KEY!$AE$19:$AH$60,2,FALSE),"")</f>
        <v>2023-Q2</v>
      </c>
      <c r="D447" s="222" t="s">
        <v>113</v>
      </c>
      <c r="E447" s="218">
        <v>7</v>
      </c>
    </row>
    <row r="448" spans="1:5" x14ac:dyDescent="0.35">
      <c r="A448" s="3" t="str">
        <f>IF(D448="","",(VLOOKUP($D448,KEY!$B$5:$D$74,3,FALSE)))</f>
        <v>Southern California</v>
      </c>
      <c r="B448" s="221">
        <v>45078</v>
      </c>
      <c r="C448" s="221" t="str">
        <f>IFERROR(VLOOKUP($B448,KEY!$AE$19:$AH$60,2,FALSE),"")</f>
        <v>2023-Q2</v>
      </c>
      <c r="D448" s="222" t="s">
        <v>114</v>
      </c>
      <c r="E448" s="218">
        <v>7</v>
      </c>
    </row>
    <row r="449" spans="1:5" x14ac:dyDescent="0.35">
      <c r="A449" s="3" t="str">
        <f>IF(D449="","",(VLOOKUP($D449,KEY!$B$5:$D$74,3,FALSE)))</f>
        <v>Orange County</v>
      </c>
      <c r="B449" s="221">
        <v>45078</v>
      </c>
      <c r="C449" s="221" t="str">
        <f>IFERROR(VLOOKUP($B449,KEY!$AE$19:$AH$60,2,FALSE),"")</f>
        <v>2023-Q2</v>
      </c>
      <c r="D449" s="222" t="s">
        <v>115</v>
      </c>
      <c r="E449" s="218">
        <v>5</v>
      </c>
    </row>
    <row r="450" spans="1:5" x14ac:dyDescent="0.35">
      <c r="A450" s="3" t="str">
        <f>IF(D450="","",(VLOOKUP($D450,KEY!$B$5:$D$74,3,FALSE)))</f>
        <v>Arizona</v>
      </c>
      <c r="B450" s="221">
        <v>45078</v>
      </c>
      <c r="C450" s="221" t="str">
        <f>IFERROR(VLOOKUP($B450,KEY!$AE$19:$AH$60,2,FALSE),"")</f>
        <v>2023-Q2</v>
      </c>
      <c r="D450" s="222" t="s">
        <v>116</v>
      </c>
      <c r="E450" s="218">
        <v>12</v>
      </c>
    </row>
    <row r="451" spans="1:5" x14ac:dyDescent="0.35">
      <c r="A451" s="3" t="str">
        <f>IF(D451="","",(VLOOKUP($D451,KEY!$B$5:$D$74,3,FALSE)))</f>
        <v>Orange County</v>
      </c>
      <c r="B451" s="221">
        <v>45078</v>
      </c>
      <c r="C451" s="221" t="str">
        <f>IFERROR(VLOOKUP($B451,KEY!$AE$19:$AH$60,2,FALSE),"")</f>
        <v>2023-Q2</v>
      </c>
      <c r="D451" s="222" t="s">
        <v>117</v>
      </c>
      <c r="E451" s="218">
        <v>13</v>
      </c>
    </row>
    <row r="452" spans="1:5" x14ac:dyDescent="0.35">
      <c r="A452" s="3" t="str">
        <f>IF(D452="","",(VLOOKUP($D452,KEY!$B$5:$D$74,3,FALSE)))</f>
        <v>Northern California</v>
      </c>
      <c r="B452" s="221">
        <v>45078</v>
      </c>
      <c r="C452" s="221" t="str">
        <f>IFERROR(VLOOKUP($B452,KEY!$AE$19:$AH$60,2,FALSE),"")</f>
        <v>2023-Q2</v>
      </c>
      <c r="D452" s="222" t="s">
        <v>118</v>
      </c>
      <c r="E452" s="218">
        <v>13</v>
      </c>
    </row>
    <row r="453" spans="1:5" x14ac:dyDescent="0.35">
      <c r="A453" s="3" t="str">
        <f>IF(D453="","",(VLOOKUP($D453,KEY!$B$5:$D$74,3,FALSE)))</f>
        <v>Arizona</v>
      </c>
      <c r="B453" s="221">
        <v>45078</v>
      </c>
      <c r="C453" s="221" t="str">
        <f>IFERROR(VLOOKUP($B453,KEY!$AE$19:$AH$60,2,FALSE),"")</f>
        <v>2023-Q2</v>
      </c>
      <c r="D453" s="222" t="s">
        <v>119</v>
      </c>
      <c r="E453" s="218">
        <v>4</v>
      </c>
    </row>
    <row r="454" spans="1:5" x14ac:dyDescent="0.35">
      <c r="A454" s="3" t="str">
        <f>IF(D454="","",(VLOOKUP($D454,KEY!$B$5:$D$74,3,FALSE)))</f>
        <v>Arizona</v>
      </c>
      <c r="B454" s="221">
        <v>45078</v>
      </c>
      <c r="C454" s="221" t="str">
        <f>IFERROR(VLOOKUP($B454,KEY!$AE$19:$AH$60,2,FALSE),"")</f>
        <v>2023-Q2</v>
      </c>
      <c r="D454" s="222" t="s">
        <v>120</v>
      </c>
      <c r="E454" s="218">
        <v>26</v>
      </c>
    </row>
    <row r="455" spans="1:5" x14ac:dyDescent="0.35">
      <c r="A455" s="3" t="str">
        <f>IF(D455="","",(VLOOKUP($D455,KEY!$B$5:$D$74,3,FALSE)))</f>
        <v>Texas</v>
      </c>
      <c r="B455" s="221">
        <v>45078</v>
      </c>
      <c r="C455" s="221" t="str">
        <f>IFERROR(VLOOKUP($B455,KEY!$AE$19:$AH$60,2,FALSE),"")</f>
        <v>2023-Q2</v>
      </c>
      <c r="D455" s="222" t="s">
        <v>121</v>
      </c>
      <c r="E455" s="218">
        <v>21</v>
      </c>
    </row>
    <row r="456" spans="1:5" x14ac:dyDescent="0.35">
      <c r="A456" s="3" t="str">
        <f>IF(D456="","",(VLOOKUP($D456,KEY!$B$5:$D$74,3,FALSE)))</f>
        <v>Southern California</v>
      </c>
      <c r="B456" s="221">
        <v>45078</v>
      </c>
      <c r="C456" s="221" t="str">
        <f>IFERROR(VLOOKUP($B456,KEY!$AE$19:$AH$60,2,FALSE),"")</f>
        <v>2023-Q2</v>
      </c>
      <c r="D456" s="222" t="s">
        <v>122</v>
      </c>
      <c r="E456" s="218">
        <v>8</v>
      </c>
    </row>
    <row r="457" spans="1:5" x14ac:dyDescent="0.35">
      <c r="A457" s="3" t="str">
        <f>IF(D457="","",(VLOOKUP($D457,KEY!$B$5:$D$74,3,FALSE)))</f>
        <v>Orange County</v>
      </c>
      <c r="B457" s="221">
        <v>45078</v>
      </c>
      <c r="C457" s="221" t="str">
        <f>IFERROR(VLOOKUP($B457,KEY!$AE$19:$AH$60,2,FALSE),"")</f>
        <v>2023-Q2</v>
      </c>
      <c r="D457" s="222" t="s">
        <v>123</v>
      </c>
      <c r="E457" s="218">
        <v>17</v>
      </c>
    </row>
    <row r="458" spans="1:5" x14ac:dyDescent="0.35">
      <c r="A458" s="3" t="str">
        <f>IF(D458="","",(VLOOKUP($D458,KEY!$B$5:$D$74,3,FALSE)))</f>
        <v>Southern California</v>
      </c>
      <c r="B458" s="221">
        <v>45078</v>
      </c>
      <c r="C458" s="221" t="str">
        <f>IFERROR(VLOOKUP($B458,KEY!$AE$19:$AH$60,2,FALSE),"")</f>
        <v>2023-Q2</v>
      </c>
      <c r="D458" s="222" t="s">
        <v>124</v>
      </c>
      <c r="E458" s="218">
        <v>19</v>
      </c>
    </row>
    <row r="459" spans="1:5" x14ac:dyDescent="0.35">
      <c r="A459" s="3" t="str">
        <f>IF(D459="","",(VLOOKUP($D459,KEY!$B$5:$D$74,3,FALSE)))</f>
        <v>Northern California</v>
      </c>
      <c r="B459" s="221">
        <v>45078</v>
      </c>
      <c r="C459" s="221" t="str">
        <f>IFERROR(VLOOKUP($B459,KEY!$AE$19:$AH$60,2,FALSE),"")</f>
        <v>2023-Q2</v>
      </c>
      <c r="D459" s="222" t="s">
        <v>195</v>
      </c>
      <c r="E459" s="218">
        <v>4</v>
      </c>
    </row>
    <row r="460" spans="1:5" x14ac:dyDescent="0.35">
      <c r="A460" s="3" t="str">
        <f>IF(D460="","",(VLOOKUP($D460,KEY!$B$5:$D$74,3,FALSE)))</f>
        <v>Northern California</v>
      </c>
      <c r="B460" s="221">
        <v>45078</v>
      </c>
      <c r="C460" s="221" t="str">
        <f>IFERROR(VLOOKUP($B460,KEY!$AE$19:$AH$60,2,FALSE),"")</f>
        <v>2023-Q2</v>
      </c>
      <c r="D460" s="222" t="s">
        <v>125</v>
      </c>
      <c r="E460" s="218">
        <v>16</v>
      </c>
    </row>
    <row r="461" spans="1:5" x14ac:dyDescent="0.35">
      <c r="A461" s="3" t="str">
        <f>IF(D461="","",(VLOOKUP($D461,KEY!$B$5:$D$74,3,FALSE)))</f>
        <v>Orange County</v>
      </c>
      <c r="B461" s="221">
        <v>45078</v>
      </c>
      <c r="C461" s="221" t="str">
        <f>IFERROR(VLOOKUP($B461,KEY!$AE$19:$AH$60,2,FALSE),"")</f>
        <v>2023-Q2</v>
      </c>
      <c r="D461" s="222" t="s">
        <v>126</v>
      </c>
      <c r="E461" s="218">
        <v>33</v>
      </c>
    </row>
    <row r="462" spans="1:5" x14ac:dyDescent="0.35">
      <c r="A462" s="3" t="str">
        <f>IF(D462="","",(VLOOKUP($D462,KEY!$B$5:$D$74,3,FALSE)))</f>
        <v>Orange County</v>
      </c>
      <c r="B462" s="221">
        <v>45078</v>
      </c>
      <c r="C462" s="221" t="str">
        <f>IFERROR(VLOOKUP($B462,KEY!$AE$19:$AH$60,2,FALSE),"")</f>
        <v>2023-Q2</v>
      </c>
      <c r="D462" s="222" t="s">
        <v>127</v>
      </c>
      <c r="E462" s="218">
        <v>4</v>
      </c>
    </row>
    <row r="463" spans="1:5" x14ac:dyDescent="0.35">
      <c r="A463" s="3" t="str">
        <f>IF(D463="","",(VLOOKUP($D463,KEY!$B$5:$D$74,3,FALSE)))</f>
        <v>Texas</v>
      </c>
      <c r="B463" s="221">
        <v>45078</v>
      </c>
      <c r="C463" s="221" t="str">
        <f>IFERROR(VLOOKUP($B463,KEY!$AE$19:$AH$60,2,FALSE),"")</f>
        <v>2023-Q2</v>
      </c>
      <c r="D463" s="222" t="s">
        <v>128</v>
      </c>
      <c r="E463" s="218">
        <v>12</v>
      </c>
    </row>
    <row r="464" spans="1:5" x14ac:dyDescent="0.35">
      <c r="A464" s="3" t="str">
        <f>IF(D464="","",(VLOOKUP($D464,KEY!$B$5:$D$74,3,FALSE)))</f>
        <v>Northern California</v>
      </c>
      <c r="B464" s="221">
        <v>45078</v>
      </c>
      <c r="C464" s="221" t="str">
        <f>IFERROR(VLOOKUP($B464,KEY!$AE$19:$AH$60,2,FALSE),"")</f>
        <v>2023-Q2</v>
      </c>
      <c r="D464" s="222" t="s">
        <v>129</v>
      </c>
      <c r="E464" s="218">
        <v>14</v>
      </c>
    </row>
    <row r="465" spans="1:5" x14ac:dyDescent="0.35">
      <c r="A465" s="3" t="str">
        <f>IF(D465="","",(VLOOKUP($D465,KEY!$B$5:$D$74,3,FALSE)))</f>
        <v>Southern California</v>
      </c>
      <c r="B465" s="221">
        <v>45078</v>
      </c>
      <c r="C465" s="221" t="str">
        <f>IFERROR(VLOOKUP($B465,KEY!$AE$19:$AH$60,2,FALSE),"")</f>
        <v>2023-Q2</v>
      </c>
      <c r="D465" s="222" t="s">
        <v>130</v>
      </c>
      <c r="E465" s="218">
        <v>7</v>
      </c>
    </row>
    <row r="466" spans="1:5" x14ac:dyDescent="0.35">
      <c r="A466" s="3">
        <f>IF(D466="","",(VLOOKUP($D466,KEY!$B$5:$D$74,3,FALSE)))</f>
        <v>0</v>
      </c>
      <c r="B466" s="221">
        <v>45078</v>
      </c>
      <c r="C466" s="221" t="str">
        <f>IFERROR(VLOOKUP($B466,KEY!$AE$19:$AH$60,2,FALSE),"")</f>
        <v>2023-Q2</v>
      </c>
      <c r="D466" s="222" t="s">
        <v>131</v>
      </c>
      <c r="E466" s="218">
        <v>13</v>
      </c>
    </row>
    <row r="467" spans="1:5" x14ac:dyDescent="0.35">
      <c r="A467" s="3" t="e">
        <f>IF(D467="","",(VLOOKUP($D467,KEY!$B$5:$D$74,3,FALSE)))</f>
        <v>#N/A</v>
      </c>
      <c r="B467" s="221">
        <v>45078</v>
      </c>
      <c r="C467" s="221" t="str">
        <f>IFERROR(VLOOKUP($B467,KEY!$AE$19:$AH$60,2,FALSE),"")</f>
        <v>2023-Q2</v>
      </c>
      <c r="D467" s="222" t="s">
        <v>134</v>
      </c>
      <c r="E467" s="218">
        <v>4</v>
      </c>
    </row>
    <row r="468" spans="1:5" x14ac:dyDescent="0.35">
      <c r="A468" s="3" t="str">
        <f>IF(D468="","",(VLOOKUP($D468,KEY!$B$5:$D$74,3,FALSE)))</f>
        <v>Southern California</v>
      </c>
      <c r="B468" s="221">
        <v>45078</v>
      </c>
      <c r="C468" s="221" t="str">
        <f>IFERROR(VLOOKUP($B468,KEY!$AE$19:$AH$60,2,FALSE),"")</f>
        <v>2023-Q2</v>
      </c>
      <c r="D468" s="222" t="s">
        <v>135</v>
      </c>
      <c r="E468" s="218">
        <v>13</v>
      </c>
    </row>
    <row r="469" spans="1:5" x14ac:dyDescent="0.35">
      <c r="A469" s="3" t="str">
        <f>IF(D469="","",(VLOOKUP($D469,KEY!$B$5:$D$74,3,FALSE)))</f>
        <v>Arizona</v>
      </c>
      <c r="B469" s="221">
        <v>45078</v>
      </c>
      <c r="C469" s="221" t="str">
        <f>IFERROR(VLOOKUP($B469,KEY!$AE$19:$AH$60,2,FALSE),"")</f>
        <v>2023-Q2</v>
      </c>
      <c r="D469" s="222" t="s">
        <v>196</v>
      </c>
      <c r="E469" s="218">
        <v>5</v>
      </c>
    </row>
    <row r="470" spans="1:5" x14ac:dyDescent="0.35">
      <c r="A470" s="3" t="str">
        <f>IF(D470="","",(VLOOKUP($D470,KEY!$B$5:$D$74,3,FALSE)))</f>
        <v>Arizona</v>
      </c>
      <c r="B470" s="221">
        <v>45078</v>
      </c>
      <c r="C470" s="221" t="str">
        <f>IFERROR(VLOOKUP($B470,KEY!$AE$19:$AH$60,2,FALSE),"")</f>
        <v>2023-Q2</v>
      </c>
      <c r="D470" s="222" t="s">
        <v>197</v>
      </c>
      <c r="E470" s="218">
        <v>8</v>
      </c>
    </row>
    <row r="471" spans="1:5" x14ac:dyDescent="0.35">
      <c r="A471" s="3" t="str">
        <f>IF(D471="","",(VLOOKUP($D471,KEY!$B$5:$D$74,3,FALSE)))</f>
        <v>Texas</v>
      </c>
      <c r="B471" s="221">
        <v>45078</v>
      </c>
      <c r="C471" s="221" t="str">
        <f>IFERROR(VLOOKUP($B471,KEY!$AE$19:$AH$60,2,FALSE),"")</f>
        <v>2023-Q2</v>
      </c>
      <c r="D471" s="222" t="s">
        <v>136</v>
      </c>
      <c r="E471" s="218">
        <v>15</v>
      </c>
    </row>
    <row r="472" spans="1:5" x14ac:dyDescent="0.35">
      <c r="A472" s="3" t="str">
        <f>IF(D472="","",(VLOOKUP($D472,KEY!$B$5:$D$74,3,FALSE)))</f>
        <v>Arizona</v>
      </c>
      <c r="B472" s="221">
        <v>45078</v>
      </c>
      <c r="C472" s="221" t="str">
        <f>IFERROR(VLOOKUP($B472,KEY!$AE$19:$AH$60,2,FALSE),"")</f>
        <v>2023-Q2</v>
      </c>
      <c r="D472" s="222" t="s">
        <v>137</v>
      </c>
      <c r="E472" s="218">
        <v>8</v>
      </c>
    </row>
    <row r="473" spans="1:5" x14ac:dyDescent="0.35">
      <c r="A473" s="3" t="str">
        <f>IF(D473="","",(VLOOKUP($D473,KEY!$B$5:$D$74,3,FALSE)))</f>
        <v>Texas</v>
      </c>
      <c r="B473" s="221">
        <v>45078</v>
      </c>
      <c r="C473" s="221" t="str">
        <f>IFERROR(VLOOKUP($B473,KEY!$AE$19:$AH$60,2,FALSE),"")</f>
        <v>2023-Q2</v>
      </c>
      <c r="D473" s="222" t="s">
        <v>138</v>
      </c>
      <c r="E473" s="218">
        <v>7</v>
      </c>
    </row>
    <row r="474" spans="1:5" x14ac:dyDescent="0.35">
      <c r="A474" s="3" t="str">
        <f>IF(D474="","",(VLOOKUP($D474,KEY!$B$5:$D$74,3,FALSE)))</f>
        <v>Southern California</v>
      </c>
      <c r="B474" s="221">
        <v>45078</v>
      </c>
      <c r="C474" s="221" t="str">
        <f>IFERROR(VLOOKUP($B474,KEY!$AE$19:$AH$60,2,FALSE),"")</f>
        <v>2023-Q2</v>
      </c>
      <c r="D474" s="222" t="s">
        <v>139</v>
      </c>
      <c r="E474" s="218">
        <v>13</v>
      </c>
    </row>
    <row r="475" spans="1:5" x14ac:dyDescent="0.35">
      <c r="A475" s="3" t="str">
        <f>IF(D475="","",(VLOOKUP($D475,KEY!$B$5:$D$74,3,FALSE)))</f>
        <v>Orange County</v>
      </c>
      <c r="B475" s="221">
        <v>45078</v>
      </c>
      <c r="C475" s="221" t="str">
        <f>IFERROR(VLOOKUP($B475,KEY!$AE$19:$AH$60,2,FALSE),"")</f>
        <v>2023-Q2</v>
      </c>
      <c r="D475" s="222" t="s">
        <v>140</v>
      </c>
      <c r="E475" s="218">
        <v>4</v>
      </c>
    </row>
    <row r="476" spans="1:5" x14ac:dyDescent="0.35">
      <c r="A476" s="3" t="str">
        <f>IF(D476="","",(VLOOKUP($D476,KEY!$B$5:$D$74,3,FALSE)))</f>
        <v>Southern California</v>
      </c>
      <c r="B476" s="221">
        <v>45078</v>
      </c>
      <c r="C476" s="221" t="str">
        <f>IFERROR(VLOOKUP($B476,KEY!$AE$19:$AH$60,2,FALSE),"")</f>
        <v>2023-Q2</v>
      </c>
      <c r="D476" s="222" t="s">
        <v>142</v>
      </c>
      <c r="E476" s="218">
        <v>5</v>
      </c>
    </row>
    <row r="477" spans="1:5" x14ac:dyDescent="0.35">
      <c r="A477" s="3" t="str">
        <f>IF(D477="","",(VLOOKUP($D477,KEY!$B$5:$D$74,3,FALSE)))</f>
        <v>Arizona</v>
      </c>
      <c r="B477" s="221">
        <v>45078</v>
      </c>
      <c r="C477" s="221" t="str">
        <f>IFERROR(VLOOKUP($B477,KEY!$AE$19:$AH$60,2,FALSE),"")</f>
        <v>2023-Q2</v>
      </c>
      <c r="D477" s="222" t="s">
        <v>143</v>
      </c>
      <c r="E477" s="218">
        <v>9</v>
      </c>
    </row>
    <row r="478" spans="1:5" x14ac:dyDescent="0.35">
      <c r="A478" s="3" t="str">
        <f>IF(D478="","",(VLOOKUP($D478,KEY!$B$5:$D$74,3,FALSE)))</f>
        <v>Arizona</v>
      </c>
      <c r="B478" s="221">
        <v>45078</v>
      </c>
      <c r="C478" s="221" t="str">
        <f>IFERROR(VLOOKUP($B478,KEY!$AE$19:$AH$60,2,FALSE),"")</f>
        <v>2023-Q2</v>
      </c>
      <c r="D478" s="222" t="s">
        <v>144</v>
      </c>
      <c r="E478" s="218">
        <v>18</v>
      </c>
    </row>
    <row r="479" spans="1:5" x14ac:dyDescent="0.35">
      <c r="A479" s="3" t="str">
        <f>IF(D479="","",(VLOOKUP($D479,KEY!$B$5:$D$74,3,FALSE)))</f>
        <v>Southern California</v>
      </c>
      <c r="B479" s="221">
        <v>45078</v>
      </c>
      <c r="C479" s="221" t="str">
        <f>IFERROR(VLOOKUP($B479,KEY!$AE$19:$AH$60,2,FALSE),"")</f>
        <v>2023-Q2</v>
      </c>
      <c r="D479" s="222" t="s">
        <v>145</v>
      </c>
      <c r="E479" s="218">
        <v>14</v>
      </c>
    </row>
    <row r="480" spans="1:5" x14ac:dyDescent="0.35">
      <c r="A480" s="3" t="str">
        <f>IF(D480="","",(VLOOKUP($D480,KEY!$B$5:$D$74,3,FALSE)))</f>
        <v>Arizona</v>
      </c>
      <c r="B480" s="221">
        <v>45078</v>
      </c>
      <c r="C480" s="221" t="str">
        <f>IFERROR(VLOOKUP($B480,KEY!$AE$19:$AH$60,2,FALSE),"")</f>
        <v>2023-Q2</v>
      </c>
      <c r="D480" s="222" t="s">
        <v>146</v>
      </c>
      <c r="E480" s="218">
        <v>5</v>
      </c>
    </row>
    <row r="481" spans="1:5" x14ac:dyDescent="0.35">
      <c r="A481" s="3" t="str">
        <f>IF(D481="","",(VLOOKUP($D481,KEY!$B$5:$D$74,3,FALSE)))</f>
        <v>Texas</v>
      </c>
      <c r="B481" s="221">
        <v>45078</v>
      </c>
      <c r="C481" s="221" t="str">
        <f>IFERROR(VLOOKUP($B481,KEY!$AE$19:$AH$60,2,FALSE),"")</f>
        <v>2023-Q2</v>
      </c>
      <c r="D481" s="222" t="s">
        <v>147</v>
      </c>
      <c r="E481" s="218">
        <v>5</v>
      </c>
    </row>
    <row r="482" spans="1:5" x14ac:dyDescent="0.35">
      <c r="A482" s="3" t="str">
        <f>IF(D482="","",(VLOOKUP($D482,KEY!$B$5:$D$74,3,FALSE)))</f>
        <v>Northern California</v>
      </c>
      <c r="B482" s="221">
        <v>45078</v>
      </c>
      <c r="C482" s="221" t="str">
        <f>IFERROR(VLOOKUP($B482,KEY!$AE$19:$AH$60,2,FALSE),"")</f>
        <v>2023-Q2</v>
      </c>
      <c r="D482" s="222" t="s">
        <v>148</v>
      </c>
      <c r="E482" s="218">
        <v>4</v>
      </c>
    </row>
    <row r="483" spans="1:5" x14ac:dyDescent="0.35">
      <c r="A483" s="3" t="str">
        <f>IF(D483="","",(VLOOKUP($D483,KEY!$B$5:$D$74,3,FALSE)))</f>
        <v>Orange County</v>
      </c>
      <c r="B483" s="221">
        <v>45078</v>
      </c>
      <c r="C483" s="221" t="str">
        <f>IFERROR(VLOOKUP($B483,KEY!$AE$19:$AH$60,2,FALSE),"")</f>
        <v>2023-Q2</v>
      </c>
      <c r="D483" s="222" t="s">
        <v>149</v>
      </c>
      <c r="E483" s="218">
        <v>2</v>
      </c>
    </row>
    <row r="484" spans="1:5" x14ac:dyDescent="0.35">
      <c r="A484" s="3" t="str">
        <f>IF(D484="","",(VLOOKUP($D484,KEY!$B$5:$D$74,3,FALSE)))</f>
        <v>Southern California</v>
      </c>
      <c r="B484" s="221">
        <v>45078</v>
      </c>
      <c r="C484" s="221" t="str">
        <f>IFERROR(VLOOKUP($B484,KEY!$AE$19:$AH$60,2,FALSE),"")</f>
        <v>2023-Q2</v>
      </c>
      <c r="D484" s="222" t="s">
        <v>150</v>
      </c>
      <c r="E484" s="218">
        <v>5</v>
      </c>
    </row>
    <row r="485" spans="1:5" x14ac:dyDescent="0.35">
      <c r="A485" s="3" t="str">
        <f>IF(D485="","",(VLOOKUP($D485,KEY!$B$5:$D$74,3,FALSE)))</f>
        <v>Arizona</v>
      </c>
      <c r="B485" s="221">
        <v>45078</v>
      </c>
      <c r="C485" s="221" t="str">
        <f>IFERROR(VLOOKUP($B485,KEY!$AE$19:$AH$60,2,FALSE),"")</f>
        <v>2023-Q2</v>
      </c>
      <c r="D485" s="222" t="s">
        <v>151</v>
      </c>
      <c r="E485" s="218">
        <v>3</v>
      </c>
    </row>
    <row r="486" spans="1:5" x14ac:dyDescent="0.35">
      <c r="A486" s="3" t="str">
        <f>IF(D486="","",(VLOOKUP($D486,KEY!$B$5:$D$74,3,FALSE)))</f>
        <v>Northern California</v>
      </c>
      <c r="B486" s="221">
        <v>45078</v>
      </c>
      <c r="C486" s="221" t="str">
        <f>IFERROR(VLOOKUP($B486,KEY!$AE$19:$AH$60,2,FALSE),"")</f>
        <v>2023-Q2</v>
      </c>
      <c r="D486" s="222" t="s">
        <v>152</v>
      </c>
      <c r="E486" s="218">
        <v>13</v>
      </c>
    </row>
    <row r="487" spans="1:5" x14ac:dyDescent="0.35">
      <c r="A487" s="3" t="str">
        <f>IF(D487="","",(VLOOKUP($D487,KEY!$B$5:$D$74,3,FALSE)))</f>
        <v>Arizona</v>
      </c>
      <c r="B487" s="221">
        <v>45078</v>
      </c>
      <c r="C487" s="221" t="str">
        <f>IFERROR(VLOOKUP($B487,KEY!$AE$19:$AH$60,2,FALSE),"")</f>
        <v>2023-Q2</v>
      </c>
      <c r="D487" s="222" t="s">
        <v>153</v>
      </c>
      <c r="E487" s="218">
        <v>12</v>
      </c>
    </row>
    <row r="488" spans="1:5" x14ac:dyDescent="0.35">
      <c r="A488" s="3" t="str">
        <f>IF(D488="","",(VLOOKUP($D488,KEY!$B$5:$D$74,3,FALSE)))</f>
        <v>Northern California</v>
      </c>
      <c r="B488" s="221">
        <v>45078</v>
      </c>
      <c r="C488" s="221" t="str">
        <f>IFERROR(VLOOKUP($B488,KEY!$AE$19:$AH$60,2,FALSE),"")</f>
        <v>2023-Q2</v>
      </c>
      <c r="D488" s="222" t="s">
        <v>154</v>
      </c>
      <c r="E488" s="218">
        <v>6</v>
      </c>
    </row>
    <row r="489" spans="1:5" x14ac:dyDescent="0.35">
      <c r="A489" s="3" t="str">
        <f>IF(D489="","",(VLOOKUP($D489,KEY!$B$5:$D$74,3,FALSE)))</f>
        <v>Texas</v>
      </c>
      <c r="B489" s="221">
        <v>45078</v>
      </c>
      <c r="C489" s="221" t="str">
        <f>IFERROR(VLOOKUP($B489,KEY!$AE$19:$AH$60,2,FALSE),"")</f>
        <v>2023-Q2</v>
      </c>
      <c r="D489" s="222" t="s">
        <v>155</v>
      </c>
      <c r="E489" s="218">
        <v>23</v>
      </c>
    </row>
    <row r="490" spans="1:5" x14ac:dyDescent="0.35">
      <c r="A490" s="3" t="str">
        <f>IF(D490="","",(VLOOKUP($D490,KEY!$B$5:$D$74,3,FALSE)))</f>
        <v>Texas</v>
      </c>
      <c r="B490" s="221">
        <v>45078</v>
      </c>
      <c r="C490" s="221" t="str">
        <f>IFERROR(VLOOKUP($B490,KEY!$AE$19:$AH$60,2,FALSE),"")</f>
        <v>2023-Q2</v>
      </c>
      <c r="D490" s="222" t="s">
        <v>156</v>
      </c>
      <c r="E490" s="218">
        <v>19</v>
      </c>
    </row>
    <row r="491" spans="1:5" x14ac:dyDescent="0.35">
      <c r="A491" s="3" t="str">
        <f>IF(D491="","",(VLOOKUP($D491,KEY!$B$5:$D$74,3,FALSE)))</f>
        <v>Texas</v>
      </c>
      <c r="B491" s="221">
        <v>45078</v>
      </c>
      <c r="C491" s="221" t="str">
        <f>IFERROR(VLOOKUP($B491,KEY!$AE$19:$AH$60,2,FALSE),"")</f>
        <v>2023-Q2</v>
      </c>
      <c r="D491" s="222" t="s">
        <v>157</v>
      </c>
      <c r="E491" s="218">
        <v>13</v>
      </c>
    </row>
    <row r="492" spans="1:5" x14ac:dyDescent="0.35">
      <c r="A492" s="3" t="str">
        <f>IF(D492="","",(VLOOKUP($D492,KEY!$B$5:$D$74,3,FALSE)))</f>
        <v>Arizona</v>
      </c>
      <c r="B492" s="221">
        <v>45078</v>
      </c>
      <c r="C492" s="221" t="str">
        <f>IFERROR(VLOOKUP($B492,KEY!$AE$19:$AH$60,2,FALSE),"")</f>
        <v>2023-Q2</v>
      </c>
      <c r="D492" s="222" t="s">
        <v>158</v>
      </c>
      <c r="E492" s="218">
        <v>5</v>
      </c>
    </row>
    <row r="493" spans="1:5" x14ac:dyDescent="0.35">
      <c r="A493" s="3" t="str">
        <f>IF(D493="","",(VLOOKUP($D493,KEY!$B$5:$D$74,3,FALSE)))</f>
        <v>Orange County</v>
      </c>
      <c r="B493" s="221">
        <v>45078</v>
      </c>
      <c r="C493" s="221" t="str">
        <f>IFERROR(VLOOKUP($B493,KEY!$AE$19:$AH$60,2,FALSE),"")</f>
        <v>2023-Q2</v>
      </c>
      <c r="D493" s="222" t="s">
        <v>159</v>
      </c>
      <c r="E493" s="218">
        <v>9</v>
      </c>
    </row>
    <row r="494" spans="1:5" x14ac:dyDescent="0.35">
      <c r="A494" s="3" t="str">
        <f>IF(D494="","",(VLOOKUP($D494,KEY!$B$5:$D$74,3,FALSE)))</f>
        <v>Arizona</v>
      </c>
      <c r="B494" s="221">
        <v>45078</v>
      </c>
      <c r="C494" s="221" t="str">
        <f>IFERROR(VLOOKUP($B494,KEY!$AE$19:$AH$60,2,FALSE),"")</f>
        <v>2023-Q2</v>
      </c>
      <c r="D494" s="222" t="s">
        <v>160</v>
      </c>
      <c r="E494" s="218">
        <v>23</v>
      </c>
    </row>
    <row r="495" spans="1:5" x14ac:dyDescent="0.35">
      <c r="A495" s="3" t="str">
        <f>IF(D495="","",(VLOOKUP($D495,KEY!$B$5:$D$74,3,FALSE)))</f>
        <v>Northern California</v>
      </c>
      <c r="B495" s="221">
        <v>45078</v>
      </c>
      <c r="C495" s="221" t="str">
        <f>IFERROR(VLOOKUP($B495,KEY!$AE$19:$AH$60,2,FALSE),"")</f>
        <v>2023-Q2</v>
      </c>
      <c r="D495" s="222" t="s">
        <v>161</v>
      </c>
      <c r="E495" s="218">
        <v>19</v>
      </c>
    </row>
    <row r="496" spans="1:5" x14ac:dyDescent="0.35">
      <c r="A496" s="3" t="e">
        <f>IF(D496="","",(VLOOKUP($D496,KEY!$B$5:$D$74,3,FALSE)))</f>
        <v>#N/A</v>
      </c>
      <c r="B496" s="221">
        <v>45078</v>
      </c>
      <c r="C496" s="221" t="str">
        <f>IFERROR(VLOOKUP($B496,KEY!$AE$19:$AH$60,2,FALSE),"")</f>
        <v>2023-Q2</v>
      </c>
      <c r="D496" s="222" t="s">
        <v>162</v>
      </c>
      <c r="E496" s="218">
        <v>30</v>
      </c>
    </row>
    <row r="497" spans="1:5" x14ac:dyDescent="0.35">
      <c r="A497" s="3" t="str">
        <f>IF(D497="","",(VLOOKUP($D497,KEY!$B$5:$D$74,3,FALSE)))</f>
        <v>Arizona</v>
      </c>
      <c r="B497" s="221">
        <v>45078</v>
      </c>
      <c r="C497" s="221" t="str">
        <f>IFERROR(VLOOKUP($B497,KEY!$AE$19:$AH$60,2,FALSE),"")</f>
        <v>2023-Q2</v>
      </c>
      <c r="D497" s="222" t="s">
        <v>163</v>
      </c>
      <c r="E497" s="218">
        <v>17</v>
      </c>
    </row>
    <row r="498" spans="1:5" x14ac:dyDescent="0.35">
      <c r="A498" s="3" t="str">
        <f>IF(D498="","",(VLOOKUP($D498,KEY!$B$5:$D$74,3,FALSE)))</f>
        <v>Arizona</v>
      </c>
      <c r="B498" s="221">
        <v>45078</v>
      </c>
      <c r="C498" s="221" t="str">
        <f>IFERROR(VLOOKUP($B498,KEY!$AE$19:$AH$60,2,FALSE),"")</f>
        <v>2023-Q2</v>
      </c>
      <c r="D498" s="222" t="s">
        <v>164</v>
      </c>
      <c r="E498" s="218">
        <v>8</v>
      </c>
    </row>
    <row r="499" spans="1:5" x14ac:dyDescent="0.35">
      <c r="A499" s="3" t="str">
        <f>IF(D499="","",(VLOOKUP($D499,KEY!$B$5:$D$74,3,FALSE)))</f>
        <v>Orange County</v>
      </c>
      <c r="B499" s="221">
        <v>45078</v>
      </c>
      <c r="C499" s="221" t="str">
        <f>IFERROR(VLOOKUP($B499,KEY!$AE$19:$AH$60,2,FALSE),"")</f>
        <v>2023-Q2</v>
      </c>
      <c r="D499" s="222" t="s">
        <v>165</v>
      </c>
      <c r="E499" s="218">
        <v>7</v>
      </c>
    </row>
    <row r="500" spans="1:5" x14ac:dyDescent="0.35">
      <c r="A500" s="3" t="str">
        <f>IF(D500="","",(VLOOKUP($D500,KEY!$B$5:$D$74,3,FALSE)))</f>
        <v>Arizona</v>
      </c>
      <c r="B500" s="221">
        <v>45108</v>
      </c>
      <c r="C500" s="221" t="str">
        <f>IFERROR(VLOOKUP($B500,KEY!$AE$19:$AH$60,2,FALSE),"")</f>
        <v>2023-Q3</v>
      </c>
      <c r="D500" s="222" t="s">
        <v>111</v>
      </c>
      <c r="E500" s="218">
        <v>7</v>
      </c>
    </row>
    <row r="501" spans="1:5" x14ac:dyDescent="0.35">
      <c r="A501" s="3" t="str">
        <f>IF(D501="","",(VLOOKUP($D501,KEY!$B$5:$D$74,3,FALSE)))</f>
        <v>Southern California</v>
      </c>
      <c r="B501" s="221">
        <v>45108</v>
      </c>
      <c r="C501" s="221" t="str">
        <f>IFERROR(VLOOKUP($B501,KEY!$AE$19:$AH$60,2,FALSE),"")</f>
        <v>2023-Q3</v>
      </c>
      <c r="D501" s="222" t="s">
        <v>112</v>
      </c>
      <c r="E501" s="218">
        <v>4</v>
      </c>
    </row>
    <row r="502" spans="1:5" x14ac:dyDescent="0.35">
      <c r="A502" s="3" t="str">
        <f>IF(D502="","",(VLOOKUP($D502,KEY!$B$5:$D$74,3,FALSE)))</f>
        <v>Arizona</v>
      </c>
      <c r="B502" s="221">
        <v>45108</v>
      </c>
      <c r="C502" s="221" t="str">
        <f>IFERROR(VLOOKUP($B502,KEY!$AE$19:$AH$60,2,FALSE),"")</f>
        <v>2023-Q3</v>
      </c>
      <c r="D502" s="222" t="s">
        <v>113</v>
      </c>
      <c r="E502" s="218">
        <v>8</v>
      </c>
    </row>
    <row r="503" spans="1:5" x14ac:dyDescent="0.35">
      <c r="A503" s="3" t="str">
        <f>IF(D503="","",(VLOOKUP($D503,KEY!$B$5:$D$74,3,FALSE)))</f>
        <v>Southern California</v>
      </c>
      <c r="B503" s="221">
        <v>45108</v>
      </c>
      <c r="C503" s="221" t="str">
        <f>IFERROR(VLOOKUP($B503,KEY!$AE$19:$AH$60,2,FALSE),"")</f>
        <v>2023-Q3</v>
      </c>
      <c r="D503" s="222" t="s">
        <v>114</v>
      </c>
      <c r="E503" s="218">
        <v>7</v>
      </c>
    </row>
    <row r="504" spans="1:5" x14ac:dyDescent="0.35">
      <c r="A504" s="3" t="str">
        <f>IF(D504="","",(VLOOKUP($D504,KEY!$B$5:$D$74,3,FALSE)))</f>
        <v>Orange County</v>
      </c>
      <c r="B504" s="221">
        <v>45108</v>
      </c>
      <c r="C504" s="221" t="str">
        <f>IFERROR(VLOOKUP($B504,KEY!$AE$19:$AH$60,2,FALSE),"")</f>
        <v>2023-Q3</v>
      </c>
      <c r="D504" s="222" t="s">
        <v>115</v>
      </c>
      <c r="E504" s="218">
        <v>3</v>
      </c>
    </row>
    <row r="505" spans="1:5" x14ac:dyDescent="0.35">
      <c r="A505" s="3" t="str">
        <f>IF(D505="","",(VLOOKUP($D505,KEY!$B$5:$D$74,3,FALSE)))</f>
        <v>Arizona</v>
      </c>
      <c r="B505" s="221">
        <v>45108</v>
      </c>
      <c r="C505" s="221" t="str">
        <f>IFERROR(VLOOKUP($B505,KEY!$AE$19:$AH$60,2,FALSE),"")</f>
        <v>2023-Q3</v>
      </c>
      <c r="D505" s="222" t="s">
        <v>116</v>
      </c>
      <c r="E505" s="218">
        <v>13</v>
      </c>
    </row>
    <row r="506" spans="1:5" x14ac:dyDescent="0.35">
      <c r="A506" s="3" t="str">
        <f>IF(D506="","",(VLOOKUP($D506,KEY!$B$5:$D$74,3,FALSE)))</f>
        <v>Orange County</v>
      </c>
      <c r="B506" s="221">
        <v>45108</v>
      </c>
      <c r="C506" s="221" t="str">
        <f>IFERROR(VLOOKUP($B506,KEY!$AE$19:$AH$60,2,FALSE),"")</f>
        <v>2023-Q3</v>
      </c>
      <c r="D506" s="222" t="s">
        <v>117</v>
      </c>
      <c r="E506" s="218">
        <v>11</v>
      </c>
    </row>
    <row r="507" spans="1:5" x14ac:dyDescent="0.35">
      <c r="A507" s="3" t="str">
        <f>IF(D507="","",(VLOOKUP($D507,KEY!$B$5:$D$74,3,FALSE)))</f>
        <v>Northern California</v>
      </c>
      <c r="B507" s="221">
        <v>45108</v>
      </c>
      <c r="C507" s="221" t="str">
        <f>IFERROR(VLOOKUP($B507,KEY!$AE$19:$AH$60,2,FALSE),"")</f>
        <v>2023-Q3</v>
      </c>
      <c r="D507" s="222" t="s">
        <v>118</v>
      </c>
      <c r="E507" s="218">
        <v>13</v>
      </c>
    </row>
    <row r="508" spans="1:5" x14ac:dyDescent="0.35">
      <c r="A508" s="3" t="str">
        <f>IF(D508="","",(VLOOKUP($D508,KEY!$B$5:$D$74,3,FALSE)))</f>
        <v>Arizona</v>
      </c>
      <c r="B508" s="221">
        <v>45108</v>
      </c>
      <c r="C508" s="221" t="str">
        <f>IFERROR(VLOOKUP($B508,KEY!$AE$19:$AH$60,2,FALSE),"")</f>
        <v>2023-Q3</v>
      </c>
      <c r="D508" s="222" t="s">
        <v>119</v>
      </c>
      <c r="E508" s="218">
        <v>4</v>
      </c>
    </row>
    <row r="509" spans="1:5" x14ac:dyDescent="0.35">
      <c r="A509" s="3" t="str">
        <f>IF(D509="","",(VLOOKUP($D509,KEY!$B$5:$D$74,3,FALSE)))</f>
        <v>Arizona</v>
      </c>
      <c r="B509" s="221">
        <v>45108</v>
      </c>
      <c r="C509" s="221" t="str">
        <f>IFERROR(VLOOKUP($B509,KEY!$AE$19:$AH$60,2,FALSE),"")</f>
        <v>2023-Q3</v>
      </c>
      <c r="D509" s="222" t="s">
        <v>120</v>
      </c>
      <c r="E509" s="218">
        <v>27</v>
      </c>
    </row>
    <row r="510" spans="1:5" x14ac:dyDescent="0.35">
      <c r="A510" s="3" t="str">
        <f>IF(D510="","",(VLOOKUP($D510,KEY!$B$5:$D$74,3,FALSE)))</f>
        <v>Texas</v>
      </c>
      <c r="B510" s="221">
        <v>45108</v>
      </c>
      <c r="C510" s="221" t="str">
        <f>IFERROR(VLOOKUP($B510,KEY!$AE$19:$AH$60,2,FALSE),"")</f>
        <v>2023-Q3</v>
      </c>
      <c r="D510" s="222" t="s">
        <v>121</v>
      </c>
      <c r="E510" s="218">
        <v>21</v>
      </c>
    </row>
    <row r="511" spans="1:5" x14ac:dyDescent="0.35">
      <c r="A511" s="3" t="str">
        <f>IF(D511="","",(VLOOKUP($D511,KEY!$B$5:$D$74,3,FALSE)))</f>
        <v>Southern California</v>
      </c>
      <c r="B511" s="221">
        <v>45108</v>
      </c>
      <c r="C511" s="221" t="str">
        <f>IFERROR(VLOOKUP($B511,KEY!$AE$19:$AH$60,2,FALSE),"")</f>
        <v>2023-Q3</v>
      </c>
      <c r="D511" s="222" t="s">
        <v>122</v>
      </c>
      <c r="E511" s="218">
        <v>8</v>
      </c>
    </row>
    <row r="512" spans="1:5" x14ac:dyDescent="0.35">
      <c r="A512" s="3" t="str">
        <f>IF(D512="","",(VLOOKUP($D512,KEY!$B$5:$D$74,3,FALSE)))</f>
        <v>Orange County</v>
      </c>
      <c r="B512" s="221">
        <v>45108</v>
      </c>
      <c r="C512" s="221" t="str">
        <f>IFERROR(VLOOKUP($B512,KEY!$AE$19:$AH$60,2,FALSE),"")</f>
        <v>2023-Q3</v>
      </c>
      <c r="D512" s="222" t="s">
        <v>123</v>
      </c>
      <c r="E512" s="218">
        <v>17</v>
      </c>
    </row>
    <row r="513" spans="1:5" x14ac:dyDescent="0.35">
      <c r="A513" s="3" t="str">
        <f>IF(D513="","",(VLOOKUP($D513,KEY!$B$5:$D$74,3,FALSE)))</f>
        <v>Southern California</v>
      </c>
      <c r="B513" s="221">
        <v>45108</v>
      </c>
      <c r="C513" s="221" t="str">
        <f>IFERROR(VLOOKUP($B513,KEY!$AE$19:$AH$60,2,FALSE),"")</f>
        <v>2023-Q3</v>
      </c>
      <c r="D513" s="222" t="s">
        <v>124</v>
      </c>
      <c r="E513" s="218">
        <v>17</v>
      </c>
    </row>
    <row r="514" spans="1:5" x14ac:dyDescent="0.35">
      <c r="A514" s="3" t="str">
        <f>IF(D514="","",(VLOOKUP($D514,KEY!$B$5:$D$74,3,FALSE)))</f>
        <v>Northern California</v>
      </c>
      <c r="B514" s="221">
        <v>45108</v>
      </c>
      <c r="C514" s="221" t="str">
        <f>IFERROR(VLOOKUP($B514,KEY!$AE$19:$AH$60,2,FALSE),"")</f>
        <v>2023-Q3</v>
      </c>
      <c r="D514" s="222" t="s">
        <v>195</v>
      </c>
      <c r="E514" s="218">
        <v>5</v>
      </c>
    </row>
    <row r="515" spans="1:5" x14ac:dyDescent="0.35">
      <c r="A515" s="3" t="str">
        <f>IF(D515="","",(VLOOKUP($D515,KEY!$B$5:$D$74,3,FALSE)))</f>
        <v>Northern California</v>
      </c>
      <c r="B515" s="221">
        <v>45108</v>
      </c>
      <c r="C515" s="221" t="str">
        <f>IFERROR(VLOOKUP($B515,KEY!$AE$19:$AH$60,2,FALSE),"")</f>
        <v>2023-Q3</v>
      </c>
      <c r="D515" s="222" t="s">
        <v>125</v>
      </c>
      <c r="E515" s="218">
        <v>18</v>
      </c>
    </row>
    <row r="516" spans="1:5" x14ac:dyDescent="0.35">
      <c r="A516" s="3" t="str">
        <f>IF(D516="","",(VLOOKUP($D516,KEY!$B$5:$D$74,3,FALSE)))</f>
        <v>Orange County</v>
      </c>
      <c r="B516" s="221">
        <v>45108</v>
      </c>
      <c r="C516" s="221" t="str">
        <f>IFERROR(VLOOKUP($B516,KEY!$AE$19:$AH$60,2,FALSE),"")</f>
        <v>2023-Q3</v>
      </c>
      <c r="D516" s="222" t="s">
        <v>126</v>
      </c>
      <c r="E516" s="218">
        <v>33</v>
      </c>
    </row>
    <row r="517" spans="1:5" x14ac:dyDescent="0.35">
      <c r="A517" s="3" t="str">
        <f>IF(D517="","",(VLOOKUP($D517,KEY!$B$5:$D$74,3,FALSE)))</f>
        <v>Orange County</v>
      </c>
      <c r="B517" s="221">
        <v>45108</v>
      </c>
      <c r="C517" s="221" t="str">
        <f>IFERROR(VLOOKUP($B517,KEY!$AE$19:$AH$60,2,FALSE),"")</f>
        <v>2023-Q3</v>
      </c>
      <c r="D517" s="222" t="s">
        <v>127</v>
      </c>
      <c r="E517" s="218">
        <v>5</v>
      </c>
    </row>
    <row r="518" spans="1:5" x14ac:dyDescent="0.35">
      <c r="A518" s="3" t="str">
        <f>IF(D518="","",(VLOOKUP($D518,KEY!$B$5:$D$74,3,FALSE)))</f>
        <v>Texas</v>
      </c>
      <c r="B518" s="221">
        <v>45108</v>
      </c>
      <c r="C518" s="221" t="str">
        <f>IFERROR(VLOOKUP($B518,KEY!$AE$19:$AH$60,2,FALSE),"")</f>
        <v>2023-Q3</v>
      </c>
      <c r="D518" s="222" t="s">
        <v>128</v>
      </c>
      <c r="E518" s="218">
        <v>14</v>
      </c>
    </row>
    <row r="519" spans="1:5" x14ac:dyDescent="0.35">
      <c r="A519" s="3" t="str">
        <f>IF(D519="","",(VLOOKUP($D519,KEY!$B$5:$D$74,3,FALSE)))</f>
        <v>Northern California</v>
      </c>
      <c r="B519" s="221">
        <v>45108</v>
      </c>
      <c r="C519" s="221" t="str">
        <f>IFERROR(VLOOKUP($B519,KEY!$AE$19:$AH$60,2,FALSE),"")</f>
        <v>2023-Q3</v>
      </c>
      <c r="D519" s="222" t="s">
        <v>129</v>
      </c>
      <c r="E519" s="218">
        <v>14</v>
      </c>
    </row>
    <row r="520" spans="1:5" x14ac:dyDescent="0.35">
      <c r="A520" s="3" t="str">
        <f>IF(D520="","",(VLOOKUP($D520,KEY!$B$5:$D$74,3,FALSE)))</f>
        <v>Southern California</v>
      </c>
      <c r="B520" s="221">
        <v>45108</v>
      </c>
      <c r="C520" s="221" t="str">
        <f>IFERROR(VLOOKUP($B520,KEY!$AE$19:$AH$60,2,FALSE),"")</f>
        <v>2023-Q3</v>
      </c>
      <c r="D520" s="222" t="s">
        <v>130</v>
      </c>
      <c r="E520" s="218">
        <v>8</v>
      </c>
    </row>
    <row r="521" spans="1:5" x14ac:dyDescent="0.35">
      <c r="A521" s="3">
        <f>IF(D521="","",(VLOOKUP($D521,KEY!$B$5:$D$74,3,FALSE)))</f>
        <v>0</v>
      </c>
      <c r="B521" s="221">
        <v>45108</v>
      </c>
      <c r="C521" s="221" t="str">
        <f>IFERROR(VLOOKUP($B521,KEY!$AE$19:$AH$60,2,FALSE),"")</f>
        <v>2023-Q3</v>
      </c>
      <c r="D521" s="222" t="s">
        <v>131</v>
      </c>
      <c r="E521" s="218">
        <v>13</v>
      </c>
    </row>
    <row r="522" spans="1:5" x14ac:dyDescent="0.35">
      <c r="A522" s="3" t="e">
        <f>IF(D522="","",(VLOOKUP($D522,KEY!$B$5:$D$74,3,FALSE)))</f>
        <v>#N/A</v>
      </c>
      <c r="B522" s="221">
        <v>45108</v>
      </c>
      <c r="C522" s="221" t="str">
        <f>IFERROR(VLOOKUP($B522,KEY!$AE$19:$AH$60,2,FALSE),"")</f>
        <v>2023-Q3</v>
      </c>
      <c r="D522" s="222" t="s">
        <v>134</v>
      </c>
      <c r="E522" s="218">
        <v>4</v>
      </c>
    </row>
    <row r="523" spans="1:5" x14ac:dyDescent="0.35">
      <c r="A523" s="3" t="str">
        <f>IF(D523="","",(VLOOKUP($D523,KEY!$B$5:$D$74,3,FALSE)))</f>
        <v>Southern California</v>
      </c>
      <c r="B523" s="221">
        <v>45108</v>
      </c>
      <c r="C523" s="221" t="str">
        <f>IFERROR(VLOOKUP($B523,KEY!$AE$19:$AH$60,2,FALSE),"")</f>
        <v>2023-Q3</v>
      </c>
      <c r="D523" s="222" t="s">
        <v>135</v>
      </c>
      <c r="E523" s="218">
        <v>14</v>
      </c>
    </row>
    <row r="524" spans="1:5" x14ac:dyDescent="0.35">
      <c r="A524" s="3" t="str">
        <f>IF(D524="","",(VLOOKUP($D524,KEY!$B$5:$D$74,3,FALSE)))</f>
        <v>Arizona</v>
      </c>
      <c r="B524" s="221">
        <v>45108</v>
      </c>
      <c r="C524" s="221" t="str">
        <f>IFERROR(VLOOKUP($B524,KEY!$AE$19:$AH$60,2,FALSE),"")</f>
        <v>2023-Q3</v>
      </c>
      <c r="D524" s="222" t="s">
        <v>196</v>
      </c>
      <c r="E524" s="218">
        <v>4</v>
      </c>
    </row>
    <row r="525" spans="1:5" x14ac:dyDescent="0.35">
      <c r="A525" s="3" t="str">
        <f>IF(D525="","",(VLOOKUP($D525,KEY!$B$5:$D$74,3,FALSE)))</f>
        <v>Arizona</v>
      </c>
      <c r="B525" s="221">
        <v>45108</v>
      </c>
      <c r="C525" s="221" t="str">
        <f>IFERROR(VLOOKUP($B525,KEY!$AE$19:$AH$60,2,FALSE),"")</f>
        <v>2023-Q3</v>
      </c>
      <c r="D525" s="222" t="s">
        <v>197</v>
      </c>
      <c r="E525" s="218">
        <v>9</v>
      </c>
    </row>
    <row r="526" spans="1:5" x14ac:dyDescent="0.35">
      <c r="A526" s="3" t="str">
        <f>IF(D526="","",(VLOOKUP($D526,KEY!$B$5:$D$74,3,FALSE)))</f>
        <v>Texas</v>
      </c>
      <c r="B526" s="221">
        <v>45108</v>
      </c>
      <c r="C526" s="221" t="str">
        <f>IFERROR(VLOOKUP($B526,KEY!$AE$19:$AH$60,2,FALSE),"")</f>
        <v>2023-Q3</v>
      </c>
      <c r="D526" s="222" t="s">
        <v>136</v>
      </c>
      <c r="E526" s="218">
        <v>15</v>
      </c>
    </row>
    <row r="527" spans="1:5" x14ac:dyDescent="0.35">
      <c r="A527" s="3" t="str">
        <f>IF(D527="","",(VLOOKUP($D527,KEY!$B$5:$D$74,3,FALSE)))</f>
        <v>Arizona</v>
      </c>
      <c r="B527" s="221">
        <v>45108</v>
      </c>
      <c r="C527" s="221" t="str">
        <f>IFERROR(VLOOKUP($B527,KEY!$AE$19:$AH$60,2,FALSE),"")</f>
        <v>2023-Q3</v>
      </c>
      <c r="D527" s="222" t="s">
        <v>137</v>
      </c>
      <c r="E527" s="218">
        <v>8</v>
      </c>
    </row>
    <row r="528" spans="1:5" x14ac:dyDescent="0.35">
      <c r="A528" s="3" t="str">
        <f>IF(D528="","",(VLOOKUP($D528,KEY!$B$5:$D$74,3,FALSE)))</f>
        <v>Texas</v>
      </c>
      <c r="B528" s="221">
        <v>45108</v>
      </c>
      <c r="C528" s="221" t="str">
        <f>IFERROR(VLOOKUP($B528,KEY!$AE$19:$AH$60,2,FALSE),"")</f>
        <v>2023-Q3</v>
      </c>
      <c r="D528" s="222" t="s">
        <v>138</v>
      </c>
      <c r="E528" s="218">
        <v>7</v>
      </c>
    </row>
    <row r="529" spans="1:5" x14ac:dyDescent="0.35">
      <c r="A529" s="3" t="str">
        <f>IF(D529="","",(VLOOKUP($D529,KEY!$B$5:$D$74,3,FALSE)))</f>
        <v>Southern California</v>
      </c>
      <c r="B529" s="221">
        <v>45108</v>
      </c>
      <c r="C529" s="221" t="str">
        <f>IFERROR(VLOOKUP($B529,KEY!$AE$19:$AH$60,2,FALSE),"")</f>
        <v>2023-Q3</v>
      </c>
      <c r="D529" s="222" t="s">
        <v>139</v>
      </c>
      <c r="E529" s="218">
        <v>12</v>
      </c>
    </row>
    <row r="530" spans="1:5" x14ac:dyDescent="0.35">
      <c r="A530" s="3" t="str">
        <f>IF(D530="","",(VLOOKUP($D530,KEY!$B$5:$D$74,3,FALSE)))</f>
        <v>Orange County</v>
      </c>
      <c r="B530" s="221">
        <v>45108</v>
      </c>
      <c r="C530" s="221" t="str">
        <f>IFERROR(VLOOKUP($B530,KEY!$AE$19:$AH$60,2,FALSE),"")</f>
        <v>2023-Q3</v>
      </c>
      <c r="D530" s="222" t="s">
        <v>140</v>
      </c>
      <c r="E530" s="218">
        <v>4</v>
      </c>
    </row>
    <row r="531" spans="1:5" x14ac:dyDescent="0.35">
      <c r="A531" s="3" t="str">
        <f>IF(D531="","",(VLOOKUP($D531,KEY!$B$5:$D$74,3,FALSE)))</f>
        <v>Southern California</v>
      </c>
      <c r="B531" s="221">
        <v>45108</v>
      </c>
      <c r="C531" s="221" t="str">
        <f>IFERROR(VLOOKUP($B531,KEY!$AE$19:$AH$60,2,FALSE),"")</f>
        <v>2023-Q3</v>
      </c>
      <c r="D531" s="222" t="s">
        <v>142</v>
      </c>
      <c r="E531" s="218">
        <v>5</v>
      </c>
    </row>
    <row r="532" spans="1:5" x14ac:dyDescent="0.35">
      <c r="A532" s="3" t="str">
        <f>IF(D532="","",(VLOOKUP($D532,KEY!$B$5:$D$74,3,FALSE)))</f>
        <v>Arizona</v>
      </c>
      <c r="B532" s="221">
        <v>45108</v>
      </c>
      <c r="C532" s="221" t="str">
        <f>IFERROR(VLOOKUP($B532,KEY!$AE$19:$AH$60,2,FALSE),"")</f>
        <v>2023-Q3</v>
      </c>
      <c r="D532" s="222" t="s">
        <v>143</v>
      </c>
      <c r="E532" s="218">
        <v>9</v>
      </c>
    </row>
    <row r="533" spans="1:5" x14ac:dyDescent="0.35">
      <c r="A533" s="3" t="str">
        <f>IF(D533="","",(VLOOKUP($D533,KEY!$B$5:$D$74,3,FALSE)))</f>
        <v>Arizona</v>
      </c>
      <c r="B533" s="221">
        <v>45108</v>
      </c>
      <c r="C533" s="221" t="str">
        <f>IFERROR(VLOOKUP($B533,KEY!$AE$19:$AH$60,2,FALSE),"")</f>
        <v>2023-Q3</v>
      </c>
      <c r="D533" s="222" t="s">
        <v>144</v>
      </c>
      <c r="E533" s="218">
        <v>16</v>
      </c>
    </row>
    <row r="534" spans="1:5" x14ac:dyDescent="0.35">
      <c r="A534" s="3" t="str">
        <f>IF(D534="","",(VLOOKUP($D534,KEY!$B$5:$D$74,3,FALSE)))</f>
        <v>Southern California</v>
      </c>
      <c r="B534" s="221">
        <v>45108</v>
      </c>
      <c r="C534" s="221" t="str">
        <f>IFERROR(VLOOKUP($B534,KEY!$AE$19:$AH$60,2,FALSE),"")</f>
        <v>2023-Q3</v>
      </c>
      <c r="D534" s="222" t="s">
        <v>145</v>
      </c>
      <c r="E534" s="218">
        <v>14</v>
      </c>
    </row>
    <row r="535" spans="1:5" x14ac:dyDescent="0.35">
      <c r="A535" s="3" t="str">
        <f>IF(D535="","",(VLOOKUP($D535,KEY!$B$5:$D$74,3,FALSE)))</f>
        <v>Arizona</v>
      </c>
      <c r="B535" s="221">
        <v>45108</v>
      </c>
      <c r="C535" s="221" t="str">
        <f>IFERROR(VLOOKUP($B535,KEY!$AE$19:$AH$60,2,FALSE),"")</f>
        <v>2023-Q3</v>
      </c>
      <c r="D535" s="222" t="s">
        <v>146</v>
      </c>
      <c r="E535" s="218">
        <v>4</v>
      </c>
    </row>
    <row r="536" spans="1:5" x14ac:dyDescent="0.35">
      <c r="A536" s="3" t="str">
        <f>IF(D536="","",(VLOOKUP($D536,KEY!$B$5:$D$74,3,FALSE)))</f>
        <v>Texas</v>
      </c>
      <c r="B536" s="221">
        <v>45108</v>
      </c>
      <c r="C536" s="221" t="str">
        <f>IFERROR(VLOOKUP($B536,KEY!$AE$19:$AH$60,2,FALSE),"")</f>
        <v>2023-Q3</v>
      </c>
      <c r="D536" s="222" t="s">
        <v>147</v>
      </c>
      <c r="E536" s="218">
        <v>5</v>
      </c>
    </row>
    <row r="537" spans="1:5" x14ac:dyDescent="0.35">
      <c r="A537" s="3" t="str">
        <f>IF(D537="","",(VLOOKUP($D537,KEY!$B$5:$D$74,3,FALSE)))</f>
        <v>Northern California</v>
      </c>
      <c r="B537" s="221">
        <v>45108</v>
      </c>
      <c r="C537" s="221" t="str">
        <f>IFERROR(VLOOKUP($B537,KEY!$AE$19:$AH$60,2,FALSE),"")</f>
        <v>2023-Q3</v>
      </c>
      <c r="D537" s="222" t="s">
        <v>148</v>
      </c>
      <c r="E537" s="218">
        <v>4</v>
      </c>
    </row>
    <row r="538" spans="1:5" x14ac:dyDescent="0.35">
      <c r="A538" s="3" t="str">
        <f>IF(D538="","",(VLOOKUP($D538,KEY!$B$5:$D$74,3,FALSE)))</f>
        <v>Orange County</v>
      </c>
      <c r="B538" s="221">
        <v>45108</v>
      </c>
      <c r="C538" s="221" t="str">
        <f>IFERROR(VLOOKUP($B538,KEY!$AE$19:$AH$60,2,FALSE),"")</f>
        <v>2023-Q3</v>
      </c>
      <c r="D538" s="222" t="s">
        <v>149</v>
      </c>
      <c r="E538" s="218">
        <v>2</v>
      </c>
    </row>
    <row r="539" spans="1:5" x14ac:dyDescent="0.35">
      <c r="A539" s="3" t="str">
        <f>IF(D539="","",(VLOOKUP($D539,KEY!$B$5:$D$74,3,FALSE)))</f>
        <v>Southern California</v>
      </c>
      <c r="B539" s="221">
        <v>45108</v>
      </c>
      <c r="C539" s="221" t="str">
        <f>IFERROR(VLOOKUP($B539,KEY!$AE$19:$AH$60,2,FALSE),"")</f>
        <v>2023-Q3</v>
      </c>
      <c r="D539" s="222" t="s">
        <v>150</v>
      </c>
      <c r="E539" s="218">
        <v>5</v>
      </c>
    </row>
    <row r="540" spans="1:5" x14ac:dyDescent="0.35">
      <c r="A540" s="3" t="str">
        <f>IF(D540="","",(VLOOKUP($D540,KEY!$B$5:$D$74,3,FALSE)))</f>
        <v>Arizona</v>
      </c>
      <c r="B540" s="221">
        <v>45108</v>
      </c>
      <c r="C540" s="221" t="str">
        <f>IFERROR(VLOOKUP($B540,KEY!$AE$19:$AH$60,2,FALSE),"")</f>
        <v>2023-Q3</v>
      </c>
      <c r="D540" s="222" t="s">
        <v>151</v>
      </c>
      <c r="E540" s="218">
        <v>4</v>
      </c>
    </row>
    <row r="541" spans="1:5" x14ac:dyDescent="0.35">
      <c r="A541" s="3" t="str">
        <f>IF(D541="","",(VLOOKUP($D541,KEY!$B$5:$D$74,3,FALSE)))</f>
        <v>Northern California</v>
      </c>
      <c r="B541" s="221">
        <v>45108</v>
      </c>
      <c r="C541" s="221" t="str">
        <f>IFERROR(VLOOKUP($B541,KEY!$AE$19:$AH$60,2,FALSE),"")</f>
        <v>2023-Q3</v>
      </c>
      <c r="D541" s="222" t="s">
        <v>152</v>
      </c>
      <c r="E541" s="218">
        <v>13</v>
      </c>
    </row>
    <row r="542" spans="1:5" x14ac:dyDescent="0.35">
      <c r="A542" s="3" t="str">
        <f>IF(D542="","",(VLOOKUP($D542,KEY!$B$5:$D$74,3,FALSE)))</f>
        <v>Arizona</v>
      </c>
      <c r="B542" s="221">
        <v>45108</v>
      </c>
      <c r="C542" s="221" t="str">
        <f>IFERROR(VLOOKUP($B542,KEY!$AE$19:$AH$60,2,FALSE),"")</f>
        <v>2023-Q3</v>
      </c>
      <c r="D542" s="222" t="s">
        <v>153</v>
      </c>
      <c r="E542" s="218">
        <v>12</v>
      </c>
    </row>
    <row r="543" spans="1:5" x14ac:dyDescent="0.35">
      <c r="A543" s="3" t="str">
        <f>IF(D543="","",(VLOOKUP($D543,KEY!$B$5:$D$74,3,FALSE)))</f>
        <v>Northern California</v>
      </c>
      <c r="B543" s="221">
        <v>45108</v>
      </c>
      <c r="C543" s="221" t="str">
        <f>IFERROR(VLOOKUP($B543,KEY!$AE$19:$AH$60,2,FALSE),"")</f>
        <v>2023-Q3</v>
      </c>
      <c r="D543" s="222" t="s">
        <v>154</v>
      </c>
      <c r="E543" s="218">
        <v>5</v>
      </c>
    </row>
    <row r="544" spans="1:5" x14ac:dyDescent="0.35">
      <c r="A544" s="3" t="str">
        <f>IF(D544="","",(VLOOKUP($D544,KEY!$B$5:$D$74,3,FALSE)))</f>
        <v>Texas</v>
      </c>
      <c r="B544" s="221">
        <v>45108</v>
      </c>
      <c r="C544" s="221" t="str">
        <f>IFERROR(VLOOKUP($B544,KEY!$AE$19:$AH$60,2,FALSE),"")</f>
        <v>2023-Q3</v>
      </c>
      <c r="D544" s="222" t="s">
        <v>155</v>
      </c>
      <c r="E544" s="218">
        <v>23</v>
      </c>
    </row>
    <row r="545" spans="1:5" x14ac:dyDescent="0.35">
      <c r="A545" s="3" t="str">
        <f>IF(D545="","",(VLOOKUP($D545,KEY!$B$5:$D$74,3,FALSE)))</f>
        <v>Texas</v>
      </c>
      <c r="B545" s="221">
        <v>45108</v>
      </c>
      <c r="C545" s="221" t="str">
        <f>IFERROR(VLOOKUP($B545,KEY!$AE$19:$AH$60,2,FALSE),"")</f>
        <v>2023-Q3</v>
      </c>
      <c r="D545" s="222" t="s">
        <v>156</v>
      </c>
      <c r="E545" s="218">
        <v>19</v>
      </c>
    </row>
    <row r="546" spans="1:5" x14ac:dyDescent="0.35">
      <c r="A546" s="3" t="str">
        <f>IF(D546="","",(VLOOKUP($D546,KEY!$B$5:$D$74,3,FALSE)))</f>
        <v>Texas</v>
      </c>
      <c r="B546" s="221">
        <v>45108</v>
      </c>
      <c r="C546" s="221" t="str">
        <f>IFERROR(VLOOKUP($B546,KEY!$AE$19:$AH$60,2,FALSE),"")</f>
        <v>2023-Q3</v>
      </c>
      <c r="D546" s="222" t="s">
        <v>157</v>
      </c>
      <c r="E546" s="218">
        <v>13</v>
      </c>
    </row>
    <row r="547" spans="1:5" x14ac:dyDescent="0.35">
      <c r="A547" s="3" t="str">
        <f>IF(D547="","",(VLOOKUP($D547,KEY!$B$5:$D$74,3,FALSE)))</f>
        <v>Arizona</v>
      </c>
      <c r="B547" s="221">
        <v>45108</v>
      </c>
      <c r="C547" s="221" t="str">
        <f>IFERROR(VLOOKUP($B547,KEY!$AE$19:$AH$60,2,FALSE),"")</f>
        <v>2023-Q3</v>
      </c>
      <c r="D547" s="222" t="s">
        <v>158</v>
      </c>
      <c r="E547" s="218">
        <v>5</v>
      </c>
    </row>
    <row r="548" spans="1:5" x14ac:dyDescent="0.35">
      <c r="A548" s="3" t="str">
        <f>IF(D548="","",(VLOOKUP($D548,KEY!$B$5:$D$74,3,FALSE)))</f>
        <v>Orange County</v>
      </c>
      <c r="B548" s="221">
        <v>45108</v>
      </c>
      <c r="C548" s="221" t="str">
        <f>IFERROR(VLOOKUP($B548,KEY!$AE$19:$AH$60,2,FALSE),"")</f>
        <v>2023-Q3</v>
      </c>
      <c r="D548" s="222" t="s">
        <v>159</v>
      </c>
      <c r="E548" s="218">
        <v>10</v>
      </c>
    </row>
    <row r="549" spans="1:5" x14ac:dyDescent="0.35">
      <c r="A549" s="3" t="str">
        <f>IF(D549="","",(VLOOKUP($D549,KEY!$B$5:$D$74,3,FALSE)))</f>
        <v>Arizona</v>
      </c>
      <c r="B549" s="221">
        <v>45108</v>
      </c>
      <c r="C549" s="221" t="str">
        <f>IFERROR(VLOOKUP($B549,KEY!$AE$19:$AH$60,2,FALSE),"")</f>
        <v>2023-Q3</v>
      </c>
      <c r="D549" s="222" t="s">
        <v>160</v>
      </c>
      <c r="E549" s="218">
        <v>25</v>
      </c>
    </row>
    <row r="550" spans="1:5" x14ac:dyDescent="0.35">
      <c r="A550" s="3" t="str">
        <f>IF(D550="","",(VLOOKUP($D550,KEY!$B$5:$D$74,3,FALSE)))</f>
        <v>Northern California</v>
      </c>
      <c r="B550" s="221">
        <v>45108</v>
      </c>
      <c r="C550" s="221" t="str">
        <f>IFERROR(VLOOKUP($B550,KEY!$AE$19:$AH$60,2,FALSE),"")</f>
        <v>2023-Q3</v>
      </c>
      <c r="D550" s="222" t="s">
        <v>161</v>
      </c>
      <c r="E550" s="218">
        <v>19</v>
      </c>
    </row>
    <row r="551" spans="1:5" x14ac:dyDescent="0.35">
      <c r="A551" s="3" t="e">
        <f>IF(D551="","",(VLOOKUP($D551,KEY!$B$5:$D$74,3,FALSE)))</f>
        <v>#N/A</v>
      </c>
      <c r="B551" s="221">
        <v>45108</v>
      </c>
      <c r="C551" s="221" t="str">
        <f>IFERROR(VLOOKUP($B551,KEY!$AE$19:$AH$60,2,FALSE),"")</f>
        <v>2023-Q3</v>
      </c>
      <c r="D551" s="222" t="s">
        <v>162</v>
      </c>
      <c r="E551" s="218">
        <v>30</v>
      </c>
    </row>
    <row r="552" spans="1:5" x14ac:dyDescent="0.35">
      <c r="A552" s="3" t="str">
        <f>IF(D552="","",(VLOOKUP($D552,KEY!$B$5:$D$74,3,FALSE)))</f>
        <v>Arizona</v>
      </c>
      <c r="B552" s="221">
        <v>45108</v>
      </c>
      <c r="C552" s="221" t="str">
        <f>IFERROR(VLOOKUP($B552,KEY!$AE$19:$AH$60,2,FALSE),"")</f>
        <v>2023-Q3</v>
      </c>
      <c r="D552" s="222" t="s">
        <v>163</v>
      </c>
      <c r="E552" s="218">
        <v>17</v>
      </c>
    </row>
    <row r="553" spans="1:5" x14ac:dyDescent="0.35">
      <c r="A553" s="3" t="str">
        <f>IF(D553="","",(VLOOKUP($D553,KEY!$B$5:$D$74,3,FALSE)))</f>
        <v>Arizona</v>
      </c>
      <c r="B553" s="221">
        <v>45108</v>
      </c>
      <c r="C553" s="221" t="str">
        <f>IFERROR(VLOOKUP($B553,KEY!$AE$19:$AH$60,2,FALSE),"")</f>
        <v>2023-Q3</v>
      </c>
      <c r="D553" s="222" t="s">
        <v>164</v>
      </c>
      <c r="E553" s="218">
        <v>9</v>
      </c>
    </row>
    <row r="554" spans="1:5" x14ac:dyDescent="0.35">
      <c r="A554" s="3" t="str">
        <f>IF(D554="","",(VLOOKUP($D554,KEY!$B$5:$D$74,3,FALSE)))</f>
        <v>Orange County</v>
      </c>
      <c r="B554" s="221">
        <v>45108</v>
      </c>
      <c r="C554" s="221" t="str">
        <f>IFERROR(VLOOKUP($B554,KEY!$AE$19:$AH$60,2,FALSE),"")</f>
        <v>2023-Q3</v>
      </c>
      <c r="D554" s="222" t="s">
        <v>165</v>
      </c>
      <c r="E554" s="218">
        <v>7</v>
      </c>
    </row>
    <row r="555" spans="1:5" x14ac:dyDescent="0.35">
      <c r="A555" s="3" t="str">
        <f>IF(D555="","",(VLOOKUP($D555,KEY!$B$5:$D$74,3,FALSE)))</f>
        <v>Arizona</v>
      </c>
      <c r="B555" s="221">
        <v>45139</v>
      </c>
      <c r="C555" s="221" t="str">
        <f>IFERROR(VLOOKUP($B555,KEY!$AE$19:$AH$60,2,FALSE),"")</f>
        <v>2023-Q3</v>
      </c>
      <c r="D555" s="222" t="s">
        <v>111</v>
      </c>
      <c r="E555" s="218">
        <v>7</v>
      </c>
    </row>
    <row r="556" spans="1:5" x14ac:dyDescent="0.35">
      <c r="A556" s="3" t="str">
        <f>IF(D556="","",(VLOOKUP($D556,KEY!$B$5:$D$74,3,FALSE)))</f>
        <v>Southern California</v>
      </c>
      <c r="B556" s="221">
        <v>45139</v>
      </c>
      <c r="C556" s="221" t="str">
        <f>IFERROR(VLOOKUP($B556,KEY!$AE$19:$AH$60,2,FALSE),"")</f>
        <v>2023-Q3</v>
      </c>
      <c r="D556" s="222" t="s">
        <v>112</v>
      </c>
      <c r="E556" s="218">
        <v>4</v>
      </c>
    </row>
    <row r="557" spans="1:5" x14ac:dyDescent="0.35">
      <c r="A557" s="3" t="str">
        <f>IF(D557="","",(VLOOKUP($D557,KEY!$B$5:$D$74,3,FALSE)))</f>
        <v>Arizona</v>
      </c>
      <c r="B557" s="221">
        <v>45139</v>
      </c>
      <c r="C557" s="221" t="str">
        <f>IFERROR(VLOOKUP($B557,KEY!$AE$19:$AH$60,2,FALSE),"")</f>
        <v>2023-Q3</v>
      </c>
      <c r="D557" s="222" t="s">
        <v>113</v>
      </c>
      <c r="E557" s="218">
        <v>7</v>
      </c>
    </row>
    <row r="558" spans="1:5" x14ac:dyDescent="0.35">
      <c r="A558" s="3" t="str">
        <f>IF(D558="","",(VLOOKUP($D558,KEY!$B$5:$D$74,3,FALSE)))</f>
        <v>Southern California</v>
      </c>
      <c r="B558" s="221">
        <v>45139</v>
      </c>
      <c r="C558" s="221" t="str">
        <f>IFERROR(VLOOKUP($B558,KEY!$AE$19:$AH$60,2,FALSE),"")</f>
        <v>2023-Q3</v>
      </c>
      <c r="D558" s="222" t="s">
        <v>114</v>
      </c>
      <c r="E558" s="218">
        <v>7</v>
      </c>
    </row>
    <row r="559" spans="1:5" x14ac:dyDescent="0.35">
      <c r="A559" s="3" t="str">
        <f>IF(D559="","",(VLOOKUP($D559,KEY!$B$5:$D$74,3,FALSE)))</f>
        <v>Orange County</v>
      </c>
      <c r="B559" s="221">
        <v>45139</v>
      </c>
      <c r="C559" s="221" t="str">
        <f>IFERROR(VLOOKUP($B559,KEY!$AE$19:$AH$60,2,FALSE),"")</f>
        <v>2023-Q3</v>
      </c>
      <c r="D559" s="222" t="s">
        <v>115</v>
      </c>
      <c r="E559" s="218">
        <v>3</v>
      </c>
    </row>
    <row r="560" spans="1:5" x14ac:dyDescent="0.35">
      <c r="A560" s="3" t="str">
        <f>IF(D560="","",(VLOOKUP($D560,KEY!$B$5:$D$74,3,FALSE)))</f>
        <v>Arizona</v>
      </c>
      <c r="B560" s="221">
        <v>45139</v>
      </c>
      <c r="C560" s="221" t="str">
        <f>IFERROR(VLOOKUP($B560,KEY!$AE$19:$AH$60,2,FALSE),"")</f>
        <v>2023-Q3</v>
      </c>
      <c r="D560" s="222" t="s">
        <v>116</v>
      </c>
      <c r="E560" s="218">
        <v>14</v>
      </c>
    </row>
    <row r="561" spans="1:5" x14ac:dyDescent="0.35">
      <c r="A561" s="3" t="str">
        <f>IF(D561="","",(VLOOKUP($D561,KEY!$B$5:$D$74,3,FALSE)))</f>
        <v>Orange County</v>
      </c>
      <c r="B561" s="221">
        <v>45139</v>
      </c>
      <c r="C561" s="221" t="str">
        <f>IFERROR(VLOOKUP($B561,KEY!$AE$19:$AH$60,2,FALSE),"")</f>
        <v>2023-Q3</v>
      </c>
      <c r="D561" s="222" t="s">
        <v>117</v>
      </c>
      <c r="E561" s="218">
        <v>11</v>
      </c>
    </row>
    <row r="562" spans="1:5" x14ac:dyDescent="0.35">
      <c r="A562" s="3" t="str">
        <f>IF(D562="","",(VLOOKUP($D562,KEY!$B$5:$D$74,3,FALSE)))</f>
        <v>Northern California</v>
      </c>
      <c r="B562" s="221">
        <v>45139</v>
      </c>
      <c r="C562" s="221" t="str">
        <f>IFERROR(VLOOKUP($B562,KEY!$AE$19:$AH$60,2,FALSE),"")</f>
        <v>2023-Q3</v>
      </c>
      <c r="D562" s="222" t="s">
        <v>118</v>
      </c>
      <c r="E562" s="218">
        <v>13</v>
      </c>
    </row>
    <row r="563" spans="1:5" x14ac:dyDescent="0.35">
      <c r="A563" s="3" t="str">
        <f>IF(D563="","",(VLOOKUP($D563,KEY!$B$5:$D$74,3,FALSE)))</f>
        <v>Arizona</v>
      </c>
      <c r="B563" s="221">
        <v>45139</v>
      </c>
      <c r="C563" s="221" t="str">
        <f>IFERROR(VLOOKUP($B563,KEY!$AE$19:$AH$60,2,FALSE),"")</f>
        <v>2023-Q3</v>
      </c>
      <c r="D563" s="222" t="s">
        <v>119</v>
      </c>
      <c r="E563" s="218">
        <v>4</v>
      </c>
    </row>
    <row r="564" spans="1:5" x14ac:dyDescent="0.35">
      <c r="A564" s="3" t="str">
        <f>IF(D564="","",(VLOOKUP($D564,KEY!$B$5:$D$74,3,FALSE)))</f>
        <v>Arizona</v>
      </c>
      <c r="B564" s="221">
        <v>45139</v>
      </c>
      <c r="C564" s="221" t="str">
        <f>IFERROR(VLOOKUP($B564,KEY!$AE$19:$AH$60,2,FALSE),"")</f>
        <v>2023-Q3</v>
      </c>
      <c r="D564" s="222" t="s">
        <v>120</v>
      </c>
      <c r="E564" s="218">
        <v>26</v>
      </c>
    </row>
    <row r="565" spans="1:5" x14ac:dyDescent="0.35">
      <c r="A565" s="3" t="str">
        <f>IF(D565="","",(VLOOKUP($D565,KEY!$B$5:$D$74,3,FALSE)))</f>
        <v>Texas</v>
      </c>
      <c r="B565" s="221">
        <v>45139</v>
      </c>
      <c r="C565" s="221" t="str">
        <f>IFERROR(VLOOKUP($B565,KEY!$AE$19:$AH$60,2,FALSE),"")</f>
        <v>2023-Q3</v>
      </c>
      <c r="D565" s="222" t="s">
        <v>121</v>
      </c>
      <c r="E565" s="218">
        <v>21</v>
      </c>
    </row>
    <row r="566" spans="1:5" x14ac:dyDescent="0.35">
      <c r="A566" s="3" t="str">
        <f>IF(D566="","",(VLOOKUP($D566,KEY!$B$5:$D$74,3,FALSE)))</f>
        <v>Southern California</v>
      </c>
      <c r="B566" s="221">
        <v>45139</v>
      </c>
      <c r="C566" s="221" t="str">
        <f>IFERROR(VLOOKUP($B566,KEY!$AE$19:$AH$60,2,FALSE),"")</f>
        <v>2023-Q3</v>
      </c>
      <c r="D566" s="222" t="s">
        <v>122</v>
      </c>
      <c r="E566" s="218">
        <v>8</v>
      </c>
    </row>
    <row r="567" spans="1:5" x14ac:dyDescent="0.35">
      <c r="A567" s="3" t="str">
        <f>IF(D567="","",(VLOOKUP($D567,KEY!$B$5:$D$74,3,FALSE)))</f>
        <v>Orange County</v>
      </c>
      <c r="B567" s="221">
        <v>45139</v>
      </c>
      <c r="C567" s="221" t="str">
        <f>IFERROR(VLOOKUP($B567,KEY!$AE$19:$AH$60,2,FALSE),"")</f>
        <v>2023-Q3</v>
      </c>
      <c r="D567" s="222" t="s">
        <v>123</v>
      </c>
      <c r="E567" s="218">
        <v>18</v>
      </c>
    </row>
    <row r="568" spans="1:5" x14ac:dyDescent="0.35">
      <c r="A568" s="3" t="str">
        <f>IF(D568="","",(VLOOKUP($D568,KEY!$B$5:$D$74,3,FALSE)))</f>
        <v>Southern California</v>
      </c>
      <c r="B568" s="221">
        <v>45139</v>
      </c>
      <c r="C568" s="221" t="str">
        <f>IFERROR(VLOOKUP($B568,KEY!$AE$19:$AH$60,2,FALSE),"")</f>
        <v>2023-Q3</v>
      </c>
      <c r="D568" s="222" t="s">
        <v>124</v>
      </c>
      <c r="E568" s="218">
        <v>17</v>
      </c>
    </row>
    <row r="569" spans="1:5" x14ac:dyDescent="0.35">
      <c r="A569" s="3" t="str">
        <f>IF(D569="","",(VLOOKUP($D569,KEY!$B$5:$D$74,3,FALSE)))</f>
        <v>Northern California</v>
      </c>
      <c r="B569" s="221">
        <v>45139</v>
      </c>
      <c r="C569" s="221" t="str">
        <f>IFERROR(VLOOKUP($B569,KEY!$AE$19:$AH$60,2,FALSE),"")</f>
        <v>2023-Q3</v>
      </c>
      <c r="D569" s="222" t="s">
        <v>195</v>
      </c>
      <c r="E569" s="218">
        <v>5</v>
      </c>
    </row>
    <row r="570" spans="1:5" x14ac:dyDescent="0.35">
      <c r="A570" s="3" t="str">
        <f>IF(D570="","",(VLOOKUP($D570,KEY!$B$5:$D$74,3,FALSE)))</f>
        <v>Northern California</v>
      </c>
      <c r="B570" s="221">
        <v>45139</v>
      </c>
      <c r="C570" s="221" t="str">
        <f>IFERROR(VLOOKUP($B570,KEY!$AE$19:$AH$60,2,FALSE),"")</f>
        <v>2023-Q3</v>
      </c>
      <c r="D570" s="222" t="s">
        <v>125</v>
      </c>
      <c r="E570" s="218">
        <v>19</v>
      </c>
    </row>
    <row r="571" spans="1:5" x14ac:dyDescent="0.35">
      <c r="A571" s="3" t="str">
        <f>IF(D571="","",(VLOOKUP($D571,KEY!$B$5:$D$74,3,FALSE)))</f>
        <v>Orange County</v>
      </c>
      <c r="B571" s="221">
        <v>45139</v>
      </c>
      <c r="C571" s="221" t="str">
        <f>IFERROR(VLOOKUP($B571,KEY!$AE$19:$AH$60,2,FALSE),"")</f>
        <v>2023-Q3</v>
      </c>
      <c r="D571" s="222" t="s">
        <v>126</v>
      </c>
      <c r="E571" s="218">
        <v>31</v>
      </c>
    </row>
    <row r="572" spans="1:5" x14ac:dyDescent="0.35">
      <c r="A572" s="3" t="str">
        <f>IF(D572="","",(VLOOKUP($D572,KEY!$B$5:$D$74,3,FALSE)))</f>
        <v>Orange County</v>
      </c>
      <c r="B572" s="221">
        <v>45139</v>
      </c>
      <c r="C572" s="221" t="str">
        <f>IFERROR(VLOOKUP($B572,KEY!$AE$19:$AH$60,2,FALSE),"")</f>
        <v>2023-Q3</v>
      </c>
      <c r="D572" s="222" t="s">
        <v>127</v>
      </c>
      <c r="E572" s="218">
        <v>5</v>
      </c>
    </row>
    <row r="573" spans="1:5" x14ac:dyDescent="0.35">
      <c r="A573" s="3" t="str">
        <f>IF(D573="","",(VLOOKUP($D573,KEY!$B$5:$D$74,3,FALSE)))</f>
        <v>Texas</v>
      </c>
      <c r="B573" s="221">
        <v>45139</v>
      </c>
      <c r="C573" s="221" t="str">
        <f>IFERROR(VLOOKUP($B573,KEY!$AE$19:$AH$60,2,FALSE),"")</f>
        <v>2023-Q3</v>
      </c>
      <c r="D573" s="222" t="s">
        <v>128</v>
      </c>
      <c r="E573" s="218">
        <v>15</v>
      </c>
    </row>
    <row r="574" spans="1:5" x14ac:dyDescent="0.35">
      <c r="A574" s="3" t="str">
        <f>IF(D574="","",(VLOOKUP($D574,KEY!$B$5:$D$74,3,FALSE)))</f>
        <v>Northern California</v>
      </c>
      <c r="B574" s="221">
        <v>45139</v>
      </c>
      <c r="C574" s="221" t="str">
        <f>IFERROR(VLOOKUP($B574,KEY!$AE$19:$AH$60,2,FALSE),"")</f>
        <v>2023-Q3</v>
      </c>
      <c r="D574" s="222" t="s">
        <v>129</v>
      </c>
      <c r="E574" s="218">
        <v>14</v>
      </c>
    </row>
    <row r="575" spans="1:5" x14ac:dyDescent="0.35">
      <c r="A575" s="3" t="str">
        <f>IF(D575="","",(VLOOKUP($D575,KEY!$B$5:$D$74,3,FALSE)))</f>
        <v>Southern California</v>
      </c>
      <c r="B575" s="221">
        <v>45139</v>
      </c>
      <c r="C575" s="221" t="str">
        <f>IFERROR(VLOOKUP($B575,KEY!$AE$19:$AH$60,2,FALSE),"")</f>
        <v>2023-Q3</v>
      </c>
      <c r="D575" s="222" t="s">
        <v>130</v>
      </c>
      <c r="E575" s="218">
        <v>9</v>
      </c>
    </row>
    <row r="576" spans="1:5" x14ac:dyDescent="0.35">
      <c r="A576" s="3">
        <f>IF(D576="","",(VLOOKUP($D576,KEY!$B$5:$D$74,3,FALSE)))</f>
        <v>0</v>
      </c>
      <c r="B576" s="221">
        <v>45139</v>
      </c>
      <c r="C576" s="221" t="str">
        <f>IFERROR(VLOOKUP($B576,KEY!$AE$19:$AH$60,2,FALSE),"")</f>
        <v>2023-Q3</v>
      </c>
      <c r="D576" s="222" t="s">
        <v>131</v>
      </c>
      <c r="E576" s="218">
        <v>13</v>
      </c>
    </row>
    <row r="577" spans="1:5" x14ac:dyDescent="0.35">
      <c r="A577" s="3" t="e">
        <f>IF(D577="","",(VLOOKUP($D577,KEY!$B$5:$D$74,3,FALSE)))</f>
        <v>#N/A</v>
      </c>
      <c r="B577" s="221">
        <v>45139</v>
      </c>
      <c r="C577" s="221" t="str">
        <f>IFERROR(VLOOKUP($B577,KEY!$AE$19:$AH$60,2,FALSE),"")</f>
        <v>2023-Q3</v>
      </c>
      <c r="D577" s="222" t="s">
        <v>134</v>
      </c>
      <c r="E577" s="218">
        <v>4</v>
      </c>
    </row>
    <row r="578" spans="1:5" x14ac:dyDescent="0.35">
      <c r="A578" s="3" t="str">
        <f>IF(D578="","",(VLOOKUP($D578,KEY!$B$5:$D$74,3,FALSE)))</f>
        <v>Southern California</v>
      </c>
      <c r="B578" s="221">
        <v>45139</v>
      </c>
      <c r="C578" s="221" t="str">
        <f>IFERROR(VLOOKUP($B578,KEY!$AE$19:$AH$60,2,FALSE),"")</f>
        <v>2023-Q3</v>
      </c>
      <c r="D578" s="222" t="s">
        <v>135</v>
      </c>
      <c r="E578" s="218">
        <v>16</v>
      </c>
    </row>
    <row r="579" spans="1:5" x14ac:dyDescent="0.35">
      <c r="A579" s="3" t="str">
        <f>IF(D579="","",(VLOOKUP($D579,KEY!$B$5:$D$74,3,FALSE)))</f>
        <v>Arizona</v>
      </c>
      <c r="B579" s="221">
        <v>45139</v>
      </c>
      <c r="C579" s="221" t="str">
        <f>IFERROR(VLOOKUP($B579,KEY!$AE$19:$AH$60,2,FALSE),"")</f>
        <v>2023-Q3</v>
      </c>
      <c r="D579" s="222" t="s">
        <v>196</v>
      </c>
      <c r="E579" s="218">
        <v>4</v>
      </c>
    </row>
    <row r="580" spans="1:5" x14ac:dyDescent="0.35">
      <c r="A580" s="3" t="str">
        <f>IF(D580="","",(VLOOKUP($D580,KEY!$B$5:$D$74,3,FALSE)))</f>
        <v>Arizona</v>
      </c>
      <c r="B580" s="221">
        <v>45139</v>
      </c>
      <c r="C580" s="221" t="str">
        <f>IFERROR(VLOOKUP($B580,KEY!$AE$19:$AH$60,2,FALSE),"")</f>
        <v>2023-Q3</v>
      </c>
      <c r="D580" s="222" t="s">
        <v>197</v>
      </c>
      <c r="E580" s="218">
        <v>9</v>
      </c>
    </row>
    <row r="581" spans="1:5" x14ac:dyDescent="0.35">
      <c r="A581" s="3" t="str">
        <f>IF(D581="","",(VLOOKUP($D581,KEY!$B$5:$D$74,3,FALSE)))</f>
        <v>Texas</v>
      </c>
      <c r="B581" s="221">
        <v>45139</v>
      </c>
      <c r="C581" s="221" t="str">
        <f>IFERROR(VLOOKUP($B581,KEY!$AE$19:$AH$60,2,FALSE),"")</f>
        <v>2023-Q3</v>
      </c>
      <c r="D581" s="222" t="s">
        <v>136</v>
      </c>
      <c r="E581" s="218">
        <v>15</v>
      </c>
    </row>
    <row r="582" spans="1:5" x14ac:dyDescent="0.35">
      <c r="A582" s="3" t="str">
        <f>IF(D582="","",(VLOOKUP($D582,KEY!$B$5:$D$74,3,FALSE)))</f>
        <v>Arizona</v>
      </c>
      <c r="B582" s="221">
        <v>45139</v>
      </c>
      <c r="C582" s="221" t="str">
        <f>IFERROR(VLOOKUP($B582,KEY!$AE$19:$AH$60,2,FALSE),"")</f>
        <v>2023-Q3</v>
      </c>
      <c r="D582" s="222" t="s">
        <v>137</v>
      </c>
      <c r="E582" s="218">
        <v>9</v>
      </c>
    </row>
    <row r="583" spans="1:5" x14ac:dyDescent="0.35">
      <c r="A583" s="3" t="str">
        <f>IF(D583="","",(VLOOKUP($D583,KEY!$B$5:$D$74,3,FALSE)))</f>
        <v>Texas</v>
      </c>
      <c r="B583" s="221">
        <v>45139</v>
      </c>
      <c r="C583" s="221" t="str">
        <f>IFERROR(VLOOKUP($B583,KEY!$AE$19:$AH$60,2,FALSE),"")</f>
        <v>2023-Q3</v>
      </c>
      <c r="D583" s="222" t="s">
        <v>138</v>
      </c>
      <c r="E583" s="218">
        <v>7</v>
      </c>
    </row>
    <row r="584" spans="1:5" x14ac:dyDescent="0.35">
      <c r="A584" s="3" t="str">
        <f>IF(D584="","",(VLOOKUP($D584,KEY!$B$5:$D$74,3,FALSE)))</f>
        <v>Southern California</v>
      </c>
      <c r="B584" s="221">
        <v>45139</v>
      </c>
      <c r="C584" s="221" t="str">
        <f>IFERROR(VLOOKUP($B584,KEY!$AE$19:$AH$60,2,FALSE),"")</f>
        <v>2023-Q3</v>
      </c>
      <c r="D584" s="222" t="s">
        <v>139</v>
      </c>
      <c r="E584" s="218">
        <v>11</v>
      </c>
    </row>
    <row r="585" spans="1:5" x14ac:dyDescent="0.35">
      <c r="A585" s="3" t="str">
        <f>IF(D585="","",(VLOOKUP($D585,KEY!$B$5:$D$74,3,FALSE)))</f>
        <v>Orange County</v>
      </c>
      <c r="B585" s="221">
        <v>45139</v>
      </c>
      <c r="C585" s="221" t="str">
        <f>IFERROR(VLOOKUP($B585,KEY!$AE$19:$AH$60,2,FALSE),"")</f>
        <v>2023-Q3</v>
      </c>
      <c r="D585" s="222" t="s">
        <v>140</v>
      </c>
      <c r="E585" s="218">
        <v>4</v>
      </c>
    </row>
    <row r="586" spans="1:5" x14ac:dyDescent="0.35">
      <c r="A586" s="3" t="str">
        <f>IF(D586="","",(VLOOKUP($D586,KEY!$B$5:$D$74,3,FALSE)))</f>
        <v>Southern California</v>
      </c>
      <c r="B586" s="221">
        <v>45139</v>
      </c>
      <c r="C586" s="221" t="str">
        <f>IFERROR(VLOOKUP($B586,KEY!$AE$19:$AH$60,2,FALSE),"")</f>
        <v>2023-Q3</v>
      </c>
      <c r="D586" s="222" t="s">
        <v>142</v>
      </c>
      <c r="E586" s="218">
        <v>6</v>
      </c>
    </row>
    <row r="587" spans="1:5" x14ac:dyDescent="0.35">
      <c r="A587" s="3" t="str">
        <f>IF(D587="","",(VLOOKUP($D587,KEY!$B$5:$D$74,3,FALSE)))</f>
        <v>Arizona</v>
      </c>
      <c r="B587" s="221">
        <v>45139</v>
      </c>
      <c r="C587" s="221" t="str">
        <f>IFERROR(VLOOKUP($B587,KEY!$AE$19:$AH$60,2,FALSE),"")</f>
        <v>2023-Q3</v>
      </c>
      <c r="D587" s="222" t="s">
        <v>143</v>
      </c>
      <c r="E587" s="218">
        <v>7</v>
      </c>
    </row>
    <row r="588" spans="1:5" x14ac:dyDescent="0.35">
      <c r="A588" s="3" t="str">
        <f>IF(D588="","",(VLOOKUP($D588,KEY!$B$5:$D$74,3,FALSE)))</f>
        <v>Arizona</v>
      </c>
      <c r="B588" s="221">
        <v>45139</v>
      </c>
      <c r="C588" s="221" t="str">
        <f>IFERROR(VLOOKUP($B588,KEY!$AE$19:$AH$60,2,FALSE),"")</f>
        <v>2023-Q3</v>
      </c>
      <c r="D588" s="222" t="s">
        <v>144</v>
      </c>
      <c r="E588" s="218">
        <v>16</v>
      </c>
    </row>
    <row r="589" spans="1:5" x14ac:dyDescent="0.35">
      <c r="A589" s="3" t="str">
        <f>IF(D589="","",(VLOOKUP($D589,KEY!$B$5:$D$74,3,FALSE)))</f>
        <v>Southern California</v>
      </c>
      <c r="B589" s="221">
        <v>45139</v>
      </c>
      <c r="C589" s="221" t="str">
        <f>IFERROR(VLOOKUP($B589,KEY!$AE$19:$AH$60,2,FALSE),"")</f>
        <v>2023-Q3</v>
      </c>
      <c r="D589" s="222" t="s">
        <v>145</v>
      </c>
      <c r="E589" s="218">
        <v>16</v>
      </c>
    </row>
    <row r="590" spans="1:5" x14ac:dyDescent="0.35">
      <c r="A590" s="3" t="str">
        <f>IF(D590="","",(VLOOKUP($D590,KEY!$B$5:$D$74,3,FALSE)))</f>
        <v>Arizona</v>
      </c>
      <c r="B590" s="221">
        <v>45139</v>
      </c>
      <c r="C590" s="221" t="str">
        <f>IFERROR(VLOOKUP($B590,KEY!$AE$19:$AH$60,2,FALSE),"")</f>
        <v>2023-Q3</v>
      </c>
      <c r="D590" s="222" t="s">
        <v>146</v>
      </c>
      <c r="E590" s="218">
        <v>4</v>
      </c>
    </row>
    <row r="591" spans="1:5" x14ac:dyDescent="0.35">
      <c r="A591" s="3" t="str">
        <f>IF(D591="","",(VLOOKUP($D591,KEY!$B$5:$D$74,3,FALSE)))</f>
        <v>Texas</v>
      </c>
      <c r="B591" s="221">
        <v>45139</v>
      </c>
      <c r="C591" s="221" t="str">
        <f>IFERROR(VLOOKUP($B591,KEY!$AE$19:$AH$60,2,FALSE),"")</f>
        <v>2023-Q3</v>
      </c>
      <c r="D591" s="222" t="s">
        <v>147</v>
      </c>
      <c r="E591" s="218">
        <v>4</v>
      </c>
    </row>
    <row r="592" spans="1:5" x14ac:dyDescent="0.35">
      <c r="A592" s="3" t="str">
        <f>IF(D592="","",(VLOOKUP($D592,KEY!$B$5:$D$74,3,FALSE)))</f>
        <v>Northern California</v>
      </c>
      <c r="B592" s="221">
        <v>45139</v>
      </c>
      <c r="C592" s="221" t="str">
        <f>IFERROR(VLOOKUP($B592,KEY!$AE$19:$AH$60,2,FALSE),"")</f>
        <v>2023-Q3</v>
      </c>
      <c r="D592" s="222" t="s">
        <v>148</v>
      </c>
      <c r="E592" s="218">
        <v>5</v>
      </c>
    </row>
    <row r="593" spans="1:5" x14ac:dyDescent="0.35">
      <c r="A593" s="3" t="str">
        <f>IF(D593="","",(VLOOKUP($D593,KEY!$B$5:$D$74,3,FALSE)))</f>
        <v>Orange County</v>
      </c>
      <c r="B593" s="221">
        <v>45139</v>
      </c>
      <c r="C593" s="221" t="str">
        <f>IFERROR(VLOOKUP($B593,KEY!$AE$19:$AH$60,2,FALSE),"")</f>
        <v>2023-Q3</v>
      </c>
      <c r="D593" s="222" t="s">
        <v>149</v>
      </c>
      <c r="E593" s="218">
        <v>2</v>
      </c>
    </row>
    <row r="594" spans="1:5" x14ac:dyDescent="0.35">
      <c r="A594" s="3" t="str">
        <f>IF(D594="","",(VLOOKUP($D594,KEY!$B$5:$D$74,3,FALSE)))</f>
        <v>Southern California</v>
      </c>
      <c r="B594" s="221">
        <v>45139</v>
      </c>
      <c r="C594" s="221" t="str">
        <f>IFERROR(VLOOKUP($B594,KEY!$AE$19:$AH$60,2,FALSE),"")</f>
        <v>2023-Q3</v>
      </c>
      <c r="D594" s="222" t="s">
        <v>150</v>
      </c>
      <c r="E594" s="218">
        <v>4</v>
      </c>
    </row>
    <row r="595" spans="1:5" x14ac:dyDescent="0.35">
      <c r="A595" s="3" t="str">
        <f>IF(D595="","",(VLOOKUP($D595,KEY!$B$5:$D$74,3,FALSE)))</f>
        <v>Arizona</v>
      </c>
      <c r="B595" s="221">
        <v>45139</v>
      </c>
      <c r="C595" s="221" t="str">
        <f>IFERROR(VLOOKUP($B595,KEY!$AE$19:$AH$60,2,FALSE),"")</f>
        <v>2023-Q3</v>
      </c>
      <c r="D595" s="222" t="s">
        <v>151</v>
      </c>
      <c r="E595" s="218">
        <v>4</v>
      </c>
    </row>
    <row r="596" spans="1:5" x14ac:dyDescent="0.35">
      <c r="A596" s="3" t="str">
        <f>IF(D596="","",(VLOOKUP($D596,KEY!$B$5:$D$74,3,FALSE)))</f>
        <v>Northern California</v>
      </c>
      <c r="B596" s="221">
        <v>45139</v>
      </c>
      <c r="C596" s="221" t="str">
        <f>IFERROR(VLOOKUP($B596,KEY!$AE$19:$AH$60,2,FALSE),"")</f>
        <v>2023-Q3</v>
      </c>
      <c r="D596" s="222" t="s">
        <v>152</v>
      </c>
      <c r="E596" s="218">
        <v>13</v>
      </c>
    </row>
    <row r="597" spans="1:5" x14ac:dyDescent="0.35">
      <c r="A597" s="3" t="str">
        <f>IF(D597="","",(VLOOKUP($D597,KEY!$B$5:$D$74,3,FALSE)))</f>
        <v>Arizona</v>
      </c>
      <c r="B597" s="221">
        <v>45139</v>
      </c>
      <c r="C597" s="221" t="str">
        <f>IFERROR(VLOOKUP($B597,KEY!$AE$19:$AH$60,2,FALSE),"")</f>
        <v>2023-Q3</v>
      </c>
      <c r="D597" s="222" t="s">
        <v>153</v>
      </c>
      <c r="E597" s="218">
        <v>13</v>
      </c>
    </row>
    <row r="598" spans="1:5" x14ac:dyDescent="0.35">
      <c r="A598" s="3" t="str">
        <f>IF(D598="","",(VLOOKUP($D598,KEY!$B$5:$D$74,3,FALSE)))</f>
        <v>Northern California</v>
      </c>
      <c r="B598" s="221">
        <v>45139</v>
      </c>
      <c r="C598" s="221" t="str">
        <f>IFERROR(VLOOKUP($B598,KEY!$AE$19:$AH$60,2,FALSE),"")</f>
        <v>2023-Q3</v>
      </c>
      <c r="D598" s="222" t="s">
        <v>154</v>
      </c>
      <c r="E598" s="218">
        <v>5</v>
      </c>
    </row>
    <row r="599" spans="1:5" x14ac:dyDescent="0.35">
      <c r="A599" s="3" t="str">
        <f>IF(D599="","",(VLOOKUP($D599,KEY!$B$5:$D$74,3,FALSE)))</f>
        <v>Texas</v>
      </c>
      <c r="B599" s="221">
        <v>45139</v>
      </c>
      <c r="C599" s="221" t="str">
        <f>IFERROR(VLOOKUP($B599,KEY!$AE$19:$AH$60,2,FALSE),"")</f>
        <v>2023-Q3</v>
      </c>
      <c r="D599" s="222" t="s">
        <v>155</v>
      </c>
      <c r="E599" s="218">
        <v>22</v>
      </c>
    </row>
    <row r="600" spans="1:5" x14ac:dyDescent="0.35">
      <c r="A600" s="3" t="str">
        <f>IF(D600="","",(VLOOKUP($D600,KEY!$B$5:$D$74,3,FALSE)))</f>
        <v>Texas</v>
      </c>
      <c r="B600" s="221">
        <v>45139</v>
      </c>
      <c r="C600" s="221" t="str">
        <f>IFERROR(VLOOKUP($B600,KEY!$AE$19:$AH$60,2,FALSE),"")</f>
        <v>2023-Q3</v>
      </c>
      <c r="D600" s="222" t="s">
        <v>156</v>
      </c>
      <c r="E600" s="218">
        <v>19</v>
      </c>
    </row>
    <row r="601" spans="1:5" x14ac:dyDescent="0.35">
      <c r="A601" s="3" t="str">
        <f>IF(D601="","",(VLOOKUP($D601,KEY!$B$5:$D$74,3,FALSE)))</f>
        <v>Texas</v>
      </c>
      <c r="B601" s="221">
        <v>45139</v>
      </c>
      <c r="C601" s="221" t="str">
        <f>IFERROR(VLOOKUP($B601,KEY!$AE$19:$AH$60,2,FALSE),"")</f>
        <v>2023-Q3</v>
      </c>
      <c r="D601" s="222" t="s">
        <v>157</v>
      </c>
      <c r="E601" s="218">
        <v>18</v>
      </c>
    </row>
    <row r="602" spans="1:5" x14ac:dyDescent="0.35">
      <c r="A602" s="3" t="str">
        <f>IF(D602="","",(VLOOKUP($D602,KEY!$B$5:$D$74,3,FALSE)))</f>
        <v>Arizona</v>
      </c>
      <c r="B602" s="221">
        <v>45139</v>
      </c>
      <c r="C602" s="221" t="str">
        <f>IFERROR(VLOOKUP($B602,KEY!$AE$19:$AH$60,2,FALSE),"")</f>
        <v>2023-Q3</v>
      </c>
      <c r="D602" s="222" t="s">
        <v>158</v>
      </c>
      <c r="E602" s="218">
        <v>5</v>
      </c>
    </row>
    <row r="603" spans="1:5" x14ac:dyDescent="0.35">
      <c r="A603" s="3" t="str">
        <f>IF(D603="","",(VLOOKUP($D603,KEY!$B$5:$D$74,3,FALSE)))</f>
        <v>Orange County</v>
      </c>
      <c r="B603" s="221">
        <v>45139</v>
      </c>
      <c r="C603" s="221" t="str">
        <f>IFERROR(VLOOKUP($B603,KEY!$AE$19:$AH$60,2,FALSE),"")</f>
        <v>2023-Q3</v>
      </c>
      <c r="D603" s="222" t="s">
        <v>159</v>
      </c>
      <c r="E603" s="218">
        <v>7</v>
      </c>
    </row>
    <row r="604" spans="1:5" x14ac:dyDescent="0.35">
      <c r="A604" s="3" t="str">
        <f>IF(D604="","",(VLOOKUP($D604,KEY!$B$5:$D$74,3,FALSE)))</f>
        <v>Arizona</v>
      </c>
      <c r="B604" s="221">
        <v>45139</v>
      </c>
      <c r="C604" s="221" t="str">
        <f>IFERROR(VLOOKUP($B604,KEY!$AE$19:$AH$60,2,FALSE),"")</f>
        <v>2023-Q3</v>
      </c>
      <c r="D604" s="222" t="s">
        <v>160</v>
      </c>
      <c r="E604" s="218">
        <v>25</v>
      </c>
    </row>
    <row r="605" spans="1:5" x14ac:dyDescent="0.35">
      <c r="A605" s="3" t="str">
        <f>IF(D605="","",(VLOOKUP($D605,KEY!$B$5:$D$74,3,FALSE)))</f>
        <v>Northern California</v>
      </c>
      <c r="B605" s="221">
        <v>45139</v>
      </c>
      <c r="C605" s="221" t="str">
        <f>IFERROR(VLOOKUP($B605,KEY!$AE$19:$AH$60,2,FALSE),"")</f>
        <v>2023-Q3</v>
      </c>
      <c r="D605" s="222" t="s">
        <v>161</v>
      </c>
      <c r="E605" s="218">
        <v>19</v>
      </c>
    </row>
    <row r="606" spans="1:5" x14ac:dyDescent="0.35">
      <c r="A606" s="3" t="e">
        <f>IF(D606="","",(VLOOKUP($D606,KEY!$B$5:$D$74,3,FALSE)))</f>
        <v>#N/A</v>
      </c>
      <c r="B606" s="221">
        <v>45139</v>
      </c>
      <c r="C606" s="221" t="str">
        <f>IFERROR(VLOOKUP($B606,KEY!$AE$19:$AH$60,2,FALSE),"")</f>
        <v>2023-Q3</v>
      </c>
      <c r="D606" s="222" t="s">
        <v>162</v>
      </c>
      <c r="E606" s="218">
        <v>32</v>
      </c>
    </row>
    <row r="607" spans="1:5" x14ac:dyDescent="0.35">
      <c r="A607" s="3" t="str">
        <f>IF(D607="","",(VLOOKUP($D607,KEY!$B$5:$D$74,3,FALSE)))</f>
        <v>Arizona</v>
      </c>
      <c r="B607" s="221">
        <v>45139</v>
      </c>
      <c r="C607" s="221" t="str">
        <f>IFERROR(VLOOKUP($B607,KEY!$AE$19:$AH$60,2,FALSE),"")</f>
        <v>2023-Q3</v>
      </c>
      <c r="D607" s="222" t="s">
        <v>163</v>
      </c>
      <c r="E607" s="218">
        <v>17</v>
      </c>
    </row>
    <row r="608" spans="1:5" x14ac:dyDescent="0.35">
      <c r="A608" s="3" t="str">
        <f>IF(D608="","",(VLOOKUP($D608,KEY!$B$5:$D$74,3,FALSE)))</f>
        <v>Arizona</v>
      </c>
      <c r="B608" s="221">
        <v>45139</v>
      </c>
      <c r="C608" s="221" t="str">
        <f>IFERROR(VLOOKUP($B608,KEY!$AE$19:$AH$60,2,FALSE),"")</f>
        <v>2023-Q3</v>
      </c>
      <c r="D608" s="222" t="s">
        <v>164</v>
      </c>
      <c r="E608" s="218">
        <v>9</v>
      </c>
    </row>
    <row r="609" spans="1:5" x14ac:dyDescent="0.35">
      <c r="A609" s="3" t="str">
        <f>IF(D609="","",(VLOOKUP($D609,KEY!$B$5:$D$74,3,FALSE)))</f>
        <v>Orange County</v>
      </c>
      <c r="B609" s="221">
        <v>45139</v>
      </c>
      <c r="C609" s="221" t="str">
        <f>IFERROR(VLOOKUP($B609,KEY!$AE$19:$AH$60,2,FALSE),"")</f>
        <v>2023-Q3</v>
      </c>
      <c r="D609" s="222" t="s">
        <v>165</v>
      </c>
      <c r="E609" s="218">
        <v>4</v>
      </c>
    </row>
    <row r="610" spans="1:5" x14ac:dyDescent="0.35">
      <c r="A610" s="3" t="str">
        <f>IF(D610="","",(VLOOKUP($D610,KEY!$B$5:$D$74,3,FALSE)))</f>
        <v>Arizona</v>
      </c>
      <c r="B610" s="221">
        <v>45170</v>
      </c>
      <c r="C610" s="221" t="str">
        <f>IFERROR(VLOOKUP($B610,KEY!$AE$19:$AH$60,2,FALSE),"")</f>
        <v>2023-Q3</v>
      </c>
      <c r="D610" s="222" t="s">
        <v>111</v>
      </c>
      <c r="E610" s="218">
        <v>8</v>
      </c>
    </row>
    <row r="611" spans="1:5" x14ac:dyDescent="0.35">
      <c r="A611" s="3" t="str">
        <f>IF(D611="","",(VLOOKUP($D611,KEY!$B$5:$D$74,3,FALSE)))</f>
        <v>Southern California</v>
      </c>
      <c r="B611" s="221">
        <v>45170</v>
      </c>
      <c r="C611" s="221" t="str">
        <f>IFERROR(VLOOKUP($B611,KEY!$AE$19:$AH$60,2,FALSE),"")</f>
        <v>2023-Q3</v>
      </c>
      <c r="D611" s="222" t="s">
        <v>112</v>
      </c>
      <c r="E611" s="218">
        <v>4</v>
      </c>
    </row>
    <row r="612" spans="1:5" x14ac:dyDescent="0.35">
      <c r="A612" s="3" t="str">
        <f>IF(D612="","",(VLOOKUP($D612,KEY!$B$5:$D$74,3,FALSE)))</f>
        <v>Arizona</v>
      </c>
      <c r="B612" s="221">
        <v>45170</v>
      </c>
      <c r="C612" s="221" t="str">
        <f>IFERROR(VLOOKUP($B612,KEY!$AE$19:$AH$60,2,FALSE),"")</f>
        <v>2023-Q3</v>
      </c>
      <c r="D612" s="222" t="s">
        <v>113</v>
      </c>
      <c r="E612" s="218">
        <v>7</v>
      </c>
    </row>
    <row r="613" spans="1:5" x14ac:dyDescent="0.35">
      <c r="A613" s="3" t="str">
        <f>IF(D613="","",(VLOOKUP($D613,KEY!$B$5:$D$74,3,FALSE)))</f>
        <v>Southern California</v>
      </c>
      <c r="B613" s="221">
        <v>45170</v>
      </c>
      <c r="C613" s="221" t="str">
        <f>IFERROR(VLOOKUP($B613,KEY!$AE$19:$AH$60,2,FALSE),"")</f>
        <v>2023-Q3</v>
      </c>
      <c r="D613" s="222" t="s">
        <v>114</v>
      </c>
      <c r="E613" s="218">
        <v>7</v>
      </c>
    </row>
    <row r="614" spans="1:5" x14ac:dyDescent="0.35">
      <c r="A614" s="3" t="str">
        <f>IF(D614="","",(VLOOKUP($D614,KEY!$B$5:$D$74,3,FALSE)))</f>
        <v>Orange County</v>
      </c>
      <c r="B614" s="221">
        <v>45170</v>
      </c>
      <c r="C614" s="221" t="str">
        <f>IFERROR(VLOOKUP($B614,KEY!$AE$19:$AH$60,2,FALSE),"")</f>
        <v>2023-Q3</v>
      </c>
      <c r="D614" s="222" t="s">
        <v>115</v>
      </c>
      <c r="E614" s="218">
        <v>5</v>
      </c>
    </row>
    <row r="615" spans="1:5" x14ac:dyDescent="0.35">
      <c r="A615" s="3" t="str">
        <f>IF(D615="","",(VLOOKUP($D615,KEY!$B$5:$D$74,3,FALSE)))</f>
        <v>Arizona</v>
      </c>
      <c r="B615" s="221">
        <v>45170</v>
      </c>
      <c r="C615" s="221" t="str">
        <f>IFERROR(VLOOKUP($B615,KEY!$AE$19:$AH$60,2,FALSE),"")</f>
        <v>2023-Q3</v>
      </c>
      <c r="D615" s="222" t="s">
        <v>116</v>
      </c>
      <c r="E615" s="218">
        <v>13</v>
      </c>
    </row>
    <row r="616" spans="1:5" x14ac:dyDescent="0.35">
      <c r="A616" s="3" t="str">
        <f>IF(D616="","",(VLOOKUP($D616,KEY!$B$5:$D$74,3,FALSE)))</f>
        <v>Orange County</v>
      </c>
      <c r="B616" s="221">
        <v>45170</v>
      </c>
      <c r="C616" s="221" t="str">
        <f>IFERROR(VLOOKUP($B616,KEY!$AE$19:$AH$60,2,FALSE),"")</f>
        <v>2023-Q3</v>
      </c>
      <c r="D616" s="222" t="s">
        <v>117</v>
      </c>
      <c r="E616" s="218">
        <v>12</v>
      </c>
    </row>
    <row r="617" spans="1:5" x14ac:dyDescent="0.35">
      <c r="A617" s="3" t="str">
        <f>IF(D617="","",(VLOOKUP($D617,KEY!$B$5:$D$74,3,FALSE)))</f>
        <v>Northern California</v>
      </c>
      <c r="B617" s="221">
        <v>45170</v>
      </c>
      <c r="C617" s="221" t="str">
        <f>IFERROR(VLOOKUP($B617,KEY!$AE$19:$AH$60,2,FALSE),"")</f>
        <v>2023-Q3</v>
      </c>
      <c r="D617" s="222" t="s">
        <v>118</v>
      </c>
      <c r="E617" s="218">
        <v>13</v>
      </c>
    </row>
    <row r="618" spans="1:5" x14ac:dyDescent="0.35">
      <c r="A618" s="3" t="str">
        <f>IF(D618="","",(VLOOKUP($D618,KEY!$B$5:$D$74,3,FALSE)))</f>
        <v>Arizona</v>
      </c>
      <c r="B618" s="221">
        <v>45170</v>
      </c>
      <c r="C618" s="221" t="str">
        <f>IFERROR(VLOOKUP($B618,KEY!$AE$19:$AH$60,2,FALSE),"")</f>
        <v>2023-Q3</v>
      </c>
      <c r="D618" s="222" t="s">
        <v>119</v>
      </c>
      <c r="E618" s="218">
        <v>4</v>
      </c>
    </row>
    <row r="619" spans="1:5" x14ac:dyDescent="0.35">
      <c r="A619" s="3" t="str">
        <f>IF(D619="","",(VLOOKUP($D619,KEY!$B$5:$D$74,3,FALSE)))</f>
        <v>Arizona</v>
      </c>
      <c r="B619" s="221">
        <v>45170</v>
      </c>
      <c r="C619" s="221" t="str">
        <f>IFERROR(VLOOKUP($B619,KEY!$AE$19:$AH$60,2,FALSE),"")</f>
        <v>2023-Q3</v>
      </c>
      <c r="D619" s="222" t="s">
        <v>120</v>
      </c>
      <c r="E619" s="218">
        <v>26</v>
      </c>
    </row>
    <row r="620" spans="1:5" x14ac:dyDescent="0.35">
      <c r="A620" s="3" t="str">
        <f>IF(D620="","",(VLOOKUP($D620,KEY!$B$5:$D$74,3,FALSE)))</f>
        <v>Texas</v>
      </c>
      <c r="B620" s="221">
        <v>45170</v>
      </c>
      <c r="C620" s="221" t="str">
        <f>IFERROR(VLOOKUP($B620,KEY!$AE$19:$AH$60,2,FALSE),"")</f>
        <v>2023-Q3</v>
      </c>
      <c r="D620" s="222" t="s">
        <v>121</v>
      </c>
      <c r="E620" s="218">
        <v>21</v>
      </c>
    </row>
    <row r="621" spans="1:5" x14ac:dyDescent="0.35">
      <c r="A621" s="3" t="str">
        <f>IF(D621="","",(VLOOKUP($D621,KEY!$B$5:$D$74,3,FALSE)))</f>
        <v>Southern California</v>
      </c>
      <c r="B621" s="221">
        <v>45170</v>
      </c>
      <c r="C621" s="221" t="str">
        <f>IFERROR(VLOOKUP($B621,KEY!$AE$19:$AH$60,2,FALSE),"")</f>
        <v>2023-Q3</v>
      </c>
      <c r="D621" s="222" t="s">
        <v>122</v>
      </c>
      <c r="E621" s="218">
        <v>6</v>
      </c>
    </row>
    <row r="622" spans="1:5" x14ac:dyDescent="0.35">
      <c r="A622" s="3" t="str">
        <f>IF(D622="","",(VLOOKUP($D622,KEY!$B$5:$D$74,3,FALSE)))</f>
        <v>Orange County</v>
      </c>
      <c r="B622" s="221">
        <v>45170</v>
      </c>
      <c r="C622" s="221" t="str">
        <f>IFERROR(VLOOKUP($B622,KEY!$AE$19:$AH$60,2,FALSE),"")</f>
        <v>2023-Q3</v>
      </c>
      <c r="D622" s="222" t="s">
        <v>123</v>
      </c>
      <c r="E622" s="218">
        <v>16</v>
      </c>
    </row>
    <row r="623" spans="1:5" x14ac:dyDescent="0.35">
      <c r="A623" s="3" t="str">
        <f>IF(D623="","",(VLOOKUP($D623,KEY!$B$5:$D$74,3,FALSE)))</f>
        <v>Southern California</v>
      </c>
      <c r="B623" s="221">
        <v>45170</v>
      </c>
      <c r="C623" s="221" t="str">
        <f>IFERROR(VLOOKUP($B623,KEY!$AE$19:$AH$60,2,FALSE),"")</f>
        <v>2023-Q3</v>
      </c>
      <c r="D623" s="222" t="s">
        <v>124</v>
      </c>
      <c r="E623" s="218">
        <v>18</v>
      </c>
    </row>
    <row r="624" spans="1:5" x14ac:dyDescent="0.35">
      <c r="A624" s="3" t="str">
        <f>IF(D624="","",(VLOOKUP($D624,KEY!$B$5:$D$74,3,FALSE)))</f>
        <v>Northern California</v>
      </c>
      <c r="B624" s="221">
        <v>45170</v>
      </c>
      <c r="C624" s="221" t="str">
        <f>IFERROR(VLOOKUP($B624,KEY!$AE$19:$AH$60,2,FALSE),"")</f>
        <v>2023-Q3</v>
      </c>
      <c r="D624" s="222" t="s">
        <v>195</v>
      </c>
      <c r="E624" s="218">
        <v>5</v>
      </c>
    </row>
    <row r="625" spans="1:5" x14ac:dyDescent="0.35">
      <c r="A625" s="3" t="str">
        <f>IF(D625="","",(VLOOKUP($D625,KEY!$B$5:$D$74,3,FALSE)))</f>
        <v>Northern California</v>
      </c>
      <c r="B625" s="221">
        <v>45170</v>
      </c>
      <c r="C625" s="221" t="str">
        <f>IFERROR(VLOOKUP($B625,KEY!$AE$19:$AH$60,2,FALSE),"")</f>
        <v>2023-Q3</v>
      </c>
      <c r="D625" s="222" t="s">
        <v>125</v>
      </c>
      <c r="E625" s="218">
        <v>20</v>
      </c>
    </row>
    <row r="626" spans="1:5" x14ac:dyDescent="0.35">
      <c r="A626" s="3" t="str">
        <f>IF(D626="","",(VLOOKUP($D626,KEY!$B$5:$D$74,3,FALSE)))</f>
        <v>Orange County</v>
      </c>
      <c r="B626" s="221">
        <v>45170</v>
      </c>
      <c r="C626" s="221" t="str">
        <f>IFERROR(VLOOKUP($B626,KEY!$AE$19:$AH$60,2,FALSE),"")</f>
        <v>2023-Q3</v>
      </c>
      <c r="D626" s="222" t="s">
        <v>126</v>
      </c>
      <c r="E626" s="218">
        <v>33</v>
      </c>
    </row>
    <row r="627" spans="1:5" x14ac:dyDescent="0.35">
      <c r="A627" s="3" t="str">
        <f>IF(D627="","",(VLOOKUP($D627,KEY!$B$5:$D$74,3,FALSE)))</f>
        <v>Orange County</v>
      </c>
      <c r="B627" s="221">
        <v>45170</v>
      </c>
      <c r="C627" s="221" t="str">
        <f>IFERROR(VLOOKUP($B627,KEY!$AE$19:$AH$60,2,FALSE),"")</f>
        <v>2023-Q3</v>
      </c>
      <c r="D627" s="222" t="s">
        <v>127</v>
      </c>
      <c r="E627" s="218">
        <v>5</v>
      </c>
    </row>
    <row r="628" spans="1:5" x14ac:dyDescent="0.35">
      <c r="A628" s="3" t="str">
        <f>IF(D628="","",(VLOOKUP($D628,KEY!$B$5:$D$74,3,FALSE)))</f>
        <v>Texas</v>
      </c>
      <c r="B628" s="221">
        <v>45170</v>
      </c>
      <c r="C628" s="221" t="str">
        <f>IFERROR(VLOOKUP($B628,KEY!$AE$19:$AH$60,2,FALSE),"")</f>
        <v>2023-Q3</v>
      </c>
      <c r="D628" s="222" t="s">
        <v>128</v>
      </c>
      <c r="E628" s="218">
        <v>14</v>
      </c>
    </row>
    <row r="629" spans="1:5" x14ac:dyDescent="0.35">
      <c r="A629" s="3" t="str">
        <f>IF(D629="","",(VLOOKUP($D629,KEY!$B$5:$D$74,3,FALSE)))</f>
        <v>Northern California</v>
      </c>
      <c r="B629" s="221">
        <v>45170</v>
      </c>
      <c r="C629" s="221" t="str">
        <f>IFERROR(VLOOKUP($B629,KEY!$AE$19:$AH$60,2,FALSE),"")</f>
        <v>2023-Q3</v>
      </c>
      <c r="D629" s="222" t="s">
        <v>129</v>
      </c>
      <c r="E629" s="218">
        <v>14</v>
      </c>
    </row>
    <row r="630" spans="1:5" x14ac:dyDescent="0.35">
      <c r="A630" s="3" t="str">
        <f>IF(D630="","",(VLOOKUP($D630,KEY!$B$5:$D$74,3,FALSE)))</f>
        <v>Southern California</v>
      </c>
      <c r="B630" s="221">
        <v>45170</v>
      </c>
      <c r="C630" s="221" t="str">
        <f>IFERROR(VLOOKUP($B630,KEY!$AE$19:$AH$60,2,FALSE),"")</f>
        <v>2023-Q3</v>
      </c>
      <c r="D630" s="222" t="s">
        <v>130</v>
      </c>
      <c r="E630" s="218">
        <v>9</v>
      </c>
    </row>
    <row r="631" spans="1:5" x14ac:dyDescent="0.35">
      <c r="A631" s="3">
        <f>IF(D631="","",(VLOOKUP($D631,KEY!$B$5:$D$74,3,FALSE)))</f>
        <v>0</v>
      </c>
      <c r="B631" s="221">
        <v>45170</v>
      </c>
      <c r="C631" s="221" t="str">
        <f>IFERROR(VLOOKUP($B631,KEY!$AE$19:$AH$60,2,FALSE),"")</f>
        <v>2023-Q3</v>
      </c>
      <c r="D631" s="222" t="s">
        <v>131</v>
      </c>
      <c r="E631" s="218">
        <v>14</v>
      </c>
    </row>
    <row r="632" spans="1:5" x14ac:dyDescent="0.35">
      <c r="A632" s="3" t="e">
        <f>IF(D632="","",(VLOOKUP($D632,KEY!$B$5:$D$74,3,FALSE)))</f>
        <v>#N/A</v>
      </c>
      <c r="B632" s="221">
        <v>45170</v>
      </c>
      <c r="C632" s="221" t="str">
        <f>IFERROR(VLOOKUP($B632,KEY!$AE$19:$AH$60,2,FALSE),"")</f>
        <v>2023-Q3</v>
      </c>
      <c r="D632" s="222" t="s">
        <v>134</v>
      </c>
      <c r="E632" s="218">
        <v>4</v>
      </c>
    </row>
    <row r="633" spans="1:5" x14ac:dyDescent="0.35">
      <c r="A633" s="3" t="str">
        <f>IF(D633="","",(VLOOKUP($D633,KEY!$B$5:$D$74,3,FALSE)))</f>
        <v>Southern California</v>
      </c>
      <c r="B633" s="221">
        <v>45170</v>
      </c>
      <c r="C633" s="221" t="str">
        <f>IFERROR(VLOOKUP($B633,KEY!$AE$19:$AH$60,2,FALSE),"")</f>
        <v>2023-Q3</v>
      </c>
      <c r="D633" s="222" t="s">
        <v>135</v>
      </c>
      <c r="E633" s="218">
        <v>16</v>
      </c>
    </row>
    <row r="634" spans="1:5" x14ac:dyDescent="0.35">
      <c r="A634" s="3" t="str">
        <f>IF(D634="","",(VLOOKUP($D634,KEY!$B$5:$D$74,3,FALSE)))</f>
        <v>Arizona</v>
      </c>
      <c r="B634" s="221">
        <v>45170</v>
      </c>
      <c r="C634" s="221" t="str">
        <f>IFERROR(VLOOKUP($B634,KEY!$AE$19:$AH$60,2,FALSE),"")</f>
        <v>2023-Q3</v>
      </c>
      <c r="D634" s="222" t="s">
        <v>196</v>
      </c>
      <c r="E634" s="218">
        <v>4</v>
      </c>
    </row>
    <row r="635" spans="1:5" x14ac:dyDescent="0.35">
      <c r="A635" s="3" t="str">
        <f>IF(D635="","",(VLOOKUP($D635,KEY!$B$5:$D$74,3,FALSE)))</f>
        <v>Arizona</v>
      </c>
      <c r="B635" s="221">
        <v>45170</v>
      </c>
      <c r="C635" s="221" t="str">
        <f>IFERROR(VLOOKUP($B635,KEY!$AE$19:$AH$60,2,FALSE),"")</f>
        <v>2023-Q3</v>
      </c>
      <c r="D635" s="222" t="s">
        <v>197</v>
      </c>
      <c r="E635" s="218">
        <v>10</v>
      </c>
    </row>
    <row r="636" spans="1:5" x14ac:dyDescent="0.35">
      <c r="A636" s="3" t="str">
        <f>IF(D636="","",(VLOOKUP($D636,KEY!$B$5:$D$74,3,FALSE)))</f>
        <v>Texas</v>
      </c>
      <c r="B636" s="221">
        <v>45170</v>
      </c>
      <c r="C636" s="221" t="str">
        <f>IFERROR(VLOOKUP($B636,KEY!$AE$19:$AH$60,2,FALSE),"")</f>
        <v>2023-Q3</v>
      </c>
      <c r="D636" s="222" t="s">
        <v>136</v>
      </c>
      <c r="E636" s="218">
        <v>15</v>
      </c>
    </row>
    <row r="637" spans="1:5" x14ac:dyDescent="0.35">
      <c r="A637" s="3" t="str">
        <f>IF(D637="","",(VLOOKUP($D637,KEY!$B$5:$D$74,3,FALSE)))</f>
        <v>Arizona</v>
      </c>
      <c r="B637" s="221">
        <v>45170</v>
      </c>
      <c r="C637" s="221" t="str">
        <f>IFERROR(VLOOKUP($B637,KEY!$AE$19:$AH$60,2,FALSE),"")</f>
        <v>2023-Q3</v>
      </c>
      <c r="D637" s="222" t="s">
        <v>137</v>
      </c>
      <c r="E637" s="218">
        <v>9</v>
      </c>
    </row>
    <row r="638" spans="1:5" x14ac:dyDescent="0.35">
      <c r="A638" s="3" t="str">
        <f>IF(D638="","",(VLOOKUP($D638,KEY!$B$5:$D$74,3,FALSE)))</f>
        <v>Texas</v>
      </c>
      <c r="B638" s="221">
        <v>45170</v>
      </c>
      <c r="C638" s="221" t="str">
        <f>IFERROR(VLOOKUP($B638,KEY!$AE$19:$AH$60,2,FALSE),"")</f>
        <v>2023-Q3</v>
      </c>
      <c r="D638" s="222" t="s">
        <v>138</v>
      </c>
      <c r="E638" s="218">
        <v>9</v>
      </c>
    </row>
    <row r="639" spans="1:5" x14ac:dyDescent="0.35">
      <c r="A639" s="3" t="str">
        <f>IF(D639="","",(VLOOKUP($D639,KEY!$B$5:$D$74,3,FALSE)))</f>
        <v>Southern California</v>
      </c>
      <c r="B639" s="221">
        <v>45170</v>
      </c>
      <c r="C639" s="221" t="str">
        <f>IFERROR(VLOOKUP($B639,KEY!$AE$19:$AH$60,2,FALSE),"")</f>
        <v>2023-Q3</v>
      </c>
      <c r="D639" s="222" t="s">
        <v>139</v>
      </c>
      <c r="E639" s="218">
        <v>11</v>
      </c>
    </row>
    <row r="640" spans="1:5" x14ac:dyDescent="0.35">
      <c r="A640" s="3" t="str">
        <f>IF(D640="","",(VLOOKUP($D640,KEY!$B$5:$D$74,3,FALSE)))</f>
        <v>Orange County</v>
      </c>
      <c r="B640" s="221">
        <v>45170</v>
      </c>
      <c r="C640" s="221" t="str">
        <f>IFERROR(VLOOKUP($B640,KEY!$AE$19:$AH$60,2,FALSE),"")</f>
        <v>2023-Q3</v>
      </c>
      <c r="D640" s="222" t="s">
        <v>140</v>
      </c>
      <c r="E640" s="218">
        <v>3</v>
      </c>
    </row>
    <row r="641" spans="1:5" x14ac:dyDescent="0.35">
      <c r="A641" s="3" t="str">
        <f>IF(D641="","",(VLOOKUP($D641,KEY!$B$5:$D$74,3,FALSE)))</f>
        <v>Southern California</v>
      </c>
      <c r="B641" s="221">
        <v>45170</v>
      </c>
      <c r="C641" s="221" t="str">
        <f>IFERROR(VLOOKUP($B641,KEY!$AE$19:$AH$60,2,FALSE),"")</f>
        <v>2023-Q3</v>
      </c>
      <c r="D641" s="222" t="s">
        <v>142</v>
      </c>
      <c r="E641" s="218">
        <v>6</v>
      </c>
    </row>
    <row r="642" spans="1:5" x14ac:dyDescent="0.35">
      <c r="A642" s="3" t="str">
        <f>IF(D642="","",(VLOOKUP($D642,KEY!$B$5:$D$74,3,FALSE)))</f>
        <v>Arizona</v>
      </c>
      <c r="B642" s="221">
        <v>45170</v>
      </c>
      <c r="C642" s="221" t="str">
        <f>IFERROR(VLOOKUP($B642,KEY!$AE$19:$AH$60,2,FALSE),"")</f>
        <v>2023-Q3</v>
      </c>
      <c r="D642" s="222" t="s">
        <v>143</v>
      </c>
      <c r="E642" s="218">
        <v>7</v>
      </c>
    </row>
    <row r="643" spans="1:5" x14ac:dyDescent="0.35">
      <c r="A643" s="3" t="str">
        <f>IF(D643="","",(VLOOKUP($D643,KEY!$B$5:$D$74,3,FALSE)))</f>
        <v>Arizona</v>
      </c>
      <c r="B643" s="221">
        <v>45170</v>
      </c>
      <c r="C643" s="221" t="str">
        <f>IFERROR(VLOOKUP($B643,KEY!$AE$19:$AH$60,2,FALSE),"")</f>
        <v>2023-Q3</v>
      </c>
      <c r="D643" s="222" t="s">
        <v>144</v>
      </c>
      <c r="E643" s="218">
        <v>18</v>
      </c>
    </row>
    <row r="644" spans="1:5" x14ac:dyDescent="0.35">
      <c r="A644" s="3" t="str">
        <f>IF(D644="","",(VLOOKUP($D644,KEY!$B$5:$D$74,3,FALSE)))</f>
        <v>Southern California</v>
      </c>
      <c r="B644" s="221">
        <v>45170</v>
      </c>
      <c r="C644" s="221" t="str">
        <f>IFERROR(VLOOKUP($B644,KEY!$AE$19:$AH$60,2,FALSE),"")</f>
        <v>2023-Q3</v>
      </c>
      <c r="D644" s="222" t="s">
        <v>145</v>
      </c>
      <c r="E644" s="218">
        <v>15</v>
      </c>
    </row>
    <row r="645" spans="1:5" x14ac:dyDescent="0.35">
      <c r="A645" s="3" t="str">
        <f>IF(D645="","",(VLOOKUP($D645,KEY!$B$5:$D$74,3,FALSE)))</f>
        <v>Arizona</v>
      </c>
      <c r="B645" s="221">
        <v>45170</v>
      </c>
      <c r="C645" s="221" t="str">
        <f>IFERROR(VLOOKUP($B645,KEY!$AE$19:$AH$60,2,FALSE),"")</f>
        <v>2023-Q3</v>
      </c>
      <c r="D645" s="222" t="s">
        <v>146</v>
      </c>
      <c r="E645" s="218">
        <v>4</v>
      </c>
    </row>
    <row r="646" spans="1:5" x14ac:dyDescent="0.35">
      <c r="A646" s="3" t="str">
        <f>IF(D646="","",(VLOOKUP($D646,KEY!$B$5:$D$74,3,FALSE)))</f>
        <v>Texas</v>
      </c>
      <c r="B646" s="221">
        <v>45170</v>
      </c>
      <c r="C646" s="221" t="str">
        <f>IFERROR(VLOOKUP($B646,KEY!$AE$19:$AH$60,2,FALSE),"")</f>
        <v>2023-Q3</v>
      </c>
      <c r="D646" s="222" t="s">
        <v>147</v>
      </c>
      <c r="E646" s="218">
        <v>4</v>
      </c>
    </row>
    <row r="647" spans="1:5" x14ac:dyDescent="0.35">
      <c r="A647" s="3" t="str">
        <f>IF(D647="","",(VLOOKUP($D647,KEY!$B$5:$D$74,3,FALSE)))</f>
        <v>Northern California</v>
      </c>
      <c r="B647" s="221">
        <v>45170</v>
      </c>
      <c r="C647" s="221" t="str">
        <f>IFERROR(VLOOKUP($B647,KEY!$AE$19:$AH$60,2,FALSE),"")</f>
        <v>2023-Q3</v>
      </c>
      <c r="D647" s="222" t="s">
        <v>148</v>
      </c>
      <c r="E647" s="218">
        <v>4</v>
      </c>
    </row>
    <row r="648" spans="1:5" x14ac:dyDescent="0.35">
      <c r="A648" s="3" t="str">
        <f>IF(D648="","",(VLOOKUP($D648,KEY!$B$5:$D$74,3,FALSE)))</f>
        <v>Orange County</v>
      </c>
      <c r="B648" s="221">
        <v>45170</v>
      </c>
      <c r="C648" s="221" t="str">
        <f>IFERROR(VLOOKUP($B648,KEY!$AE$19:$AH$60,2,FALSE),"")</f>
        <v>2023-Q3</v>
      </c>
      <c r="D648" s="222" t="s">
        <v>149</v>
      </c>
      <c r="E648" s="218">
        <v>2</v>
      </c>
    </row>
    <row r="649" spans="1:5" x14ac:dyDescent="0.35">
      <c r="A649" s="3" t="str">
        <f>IF(D649="","",(VLOOKUP($D649,KEY!$B$5:$D$74,3,FALSE)))</f>
        <v>Southern California</v>
      </c>
      <c r="B649" s="221">
        <v>45170</v>
      </c>
      <c r="C649" s="221" t="str">
        <f>IFERROR(VLOOKUP($B649,KEY!$AE$19:$AH$60,2,FALSE),"")</f>
        <v>2023-Q3</v>
      </c>
      <c r="D649" s="222" t="s">
        <v>150</v>
      </c>
      <c r="E649" s="218">
        <v>3</v>
      </c>
    </row>
    <row r="650" spans="1:5" x14ac:dyDescent="0.35">
      <c r="A650" s="3" t="str">
        <f>IF(D650="","",(VLOOKUP($D650,KEY!$B$5:$D$74,3,FALSE)))</f>
        <v>Arizona</v>
      </c>
      <c r="B650" s="221">
        <v>45170</v>
      </c>
      <c r="C650" s="221" t="str">
        <f>IFERROR(VLOOKUP($B650,KEY!$AE$19:$AH$60,2,FALSE),"")</f>
        <v>2023-Q3</v>
      </c>
      <c r="D650" s="222" t="s">
        <v>151</v>
      </c>
      <c r="E650" s="218">
        <v>4</v>
      </c>
    </row>
    <row r="651" spans="1:5" x14ac:dyDescent="0.35">
      <c r="A651" s="3" t="str">
        <f>IF(D651="","",(VLOOKUP($D651,KEY!$B$5:$D$74,3,FALSE)))</f>
        <v>Northern California</v>
      </c>
      <c r="B651" s="221">
        <v>45170</v>
      </c>
      <c r="C651" s="221" t="str">
        <f>IFERROR(VLOOKUP($B651,KEY!$AE$19:$AH$60,2,FALSE),"")</f>
        <v>2023-Q3</v>
      </c>
      <c r="D651" s="222" t="s">
        <v>152</v>
      </c>
      <c r="E651" s="218">
        <v>13</v>
      </c>
    </row>
    <row r="652" spans="1:5" x14ac:dyDescent="0.35">
      <c r="A652" s="3" t="str">
        <f>IF(D652="","",(VLOOKUP($D652,KEY!$B$5:$D$74,3,FALSE)))</f>
        <v>Arizona</v>
      </c>
      <c r="B652" s="221">
        <v>45170</v>
      </c>
      <c r="C652" s="221" t="str">
        <f>IFERROR(VLOOKUP($B652,KEY!$AE$19:$AH$60,2,FALSE),"")</f>
        <v>2023-Q3</v>
      </c>
      <c r="D652" s="222" t="s">
        <v>153</v>
      </c>
      <c r="E652" s="218">
        <v>13</v>
      </c>
    </row>
    <row r="653" spans="1:5" x14ac:dyDescent="0.35">
      <c r="A653" s="3" t="str">
        <f>IF(D653="","",(VLOOKUP($D653,KEY!$B$5:$D$74,3,FALSE)))</f>
        <v>Northern California</v>
      </c>
      <c r="B653" s="221">
        <v>45170</v>
      </c>
      <c r="C653" s="221" t="str">
        <f>IFERROR(VLOOKUP($B653,KEY!$AE$19:$AH$60,2,FALSE),"")</f>
        <v>2023-Q3</v>
      </c>
      <c r="D653" s="222" t="s">
        <v>154</v>
      </c>
      <c r="E653" s="218">
        <v>5</v>
      </c>
    </row>
    <row r="654" spans="1:5" x14ac:dyDescent="0.35">
      <c r="A654" s="3" t="str">
        <f>IF(D654="","",(VLOOKUP($D654,KEY!$B$5:$D$74,3,FALSE)))</f>
        <v>Texas</v>
      </c>
      <c r="B654" s="221">
        <v>45170</v>
      </c>
      <c r="C654" s="221" t="str">
        <f>IFERROR(VLOOKUP($B654,KEY!$AE$19:$AH$60,2,FALSE),"")</f>
        <v>2023-Q3</v>
      </c>
      <c r="D654" s="222" t="s">
        <v>155</v>
      </c>
      <c r="E654" s="218">
        <v>22</v>
      </c>
    </row>
    <row r="655" spans="1:5" x14ac:dyDescent="0.35">
      <c r="A655" s="3" t="str">
        <f>IF(D655="","",(VLOOKUP($D655,KEY!$B$5:$D$74,3,FALSE)))</f>
        <v>Texas</v>
      </c>
      <c r="B655" s="221">
        <v>45170</v>
      </c>
      <c r="C655" s="221" t="str">
        <f>IFERROR(VLOOKUP($B655,KEY!$AE$19:$AH$60,2,FALSE),"")</f>
        <v>2023-Q3</v>
      </c>
      <c r="D655" s="222" t="s">
        <v>156</v>
      </c>
      <c r="E655" s="218">
        <v>19</v>
      </c>
    </row>
    <row r="656" spans="1:5" x14ac:dyDescent="0.35">
      <c r="A656" s="3" t="str">
        <f>IF(D656="","",(VLOOKUP($D656,KEY!$B$5:$D$74,3,FALSE)))</f>
        <v>Texas</v>
      </c>
      <c r="B656" s="221">
        <v>45170</v>
      </c>
      <c r="C656" s="221" t="str">
        <f>IFERROR(VLOOKUP($B656,KEY!$AE$19:$AH$60,2,FALSE),"")</f>
        <v>2023-Q3</v>
      </c>
      <c r="D656" s="222" t="s">
        <v>157</v>
      </c>
      <c r="E656" s="218">
        <v>21</v>
      </c>
    </row>
    <row r="657" spans="1:5" x14ac:dyDescent="0.35">
      <c r="A657" s="3" t="str">
        <f>IF(D657="","",(VLOOKUP($D657,KEY!$B$5:$D$74,3,FALSE)))</f>
        <v>Arizona</v>
      </c>
      <c r="B657" s="221">
        <v>45170</v>
      </c>
      <c r="C657" s="221" t="str">
        <f>IFERROR(VLOOKUP($B657,KEY!$AE$19:$AH$60,2,FALSE),"")</f>
        <v>2023-Q3</v>
      </c>
      <c r="D657" s="222" t="s">
        <v>158</v>
      </c>
      <c r="E657" s="218">
        <v>4</v>
      </c>
    </row>
    <row r="658" spans="1:5" x14ac:dyDescent="0.35">
      <c r="A658" s="3" t="str">
        <f>IF(D658="","",(VLOOKUP($D658,KEY!$B$5:$D$74,3,FALSE)))</f>
        <v>Orange County</v>
      </c>
      <c r="B658" s="221">
        <v>45170</v>
      </c>
      <c r="C658" s="221" t="str">
        <f>IFERROR(VLOOKUP($B658,KEY!$AE$19:$AH$60,2,FALSE),"")</f>
        <v>2023-Q3</v>
      </c>
      <c r="D658" s="222" t="s">
        <v>159</v>
      </c>
      <c r="E658" s="218">
        <v>7</v>
      </c>
    </row>
    <row r="659" spans="1:5" x14ac:dyDescent="0.35">
      <c r="A659" s="3" t="str">
        <f>IF(D659="","",(VLOOKUP($D659,KEY!$B$5:$D$74,3,FALSE)))</f>
        <v>Arizona</v>
      </c>
      <c r="B659" s="221">
        <v>45170</v>
      </c>
      <c r="C659" s="221" t="str">
        <f>IFERROR(VLOOKUP($B659,KEY!$AE$19:$AH$60,2,FALSE),"")</f>
        <v>2023-Q3</v>
      </c>
      <c r="D659" s="222" t="s">
        <v>160</v>
      </c>
      <c r="E659" s="218">
        <v>26</v>
      </c>
    </row>
    <row r="660" spans="1:5" x14ac:dyDescent="0.35">
      <c r="A660" s="3" t="str">
        <f>IF(D660="","",(VLOOKUP($D660,KEY!$B$5:$D$74,3,FALSE)))</f>
        <v>Northern California</v>
      </c>
      <c r="B660" s="221">
        <v>45170</v>
      </c>
      <c r="C660" s="221" t="str">
        <f>IFERROR(VLOOKUP($B660,KEY!$AE$19:$AH$60,2,FALSE),"")</f>
        <v>2023-Q3</v>
      </c>
      <c r="D660" s="222" t="s">
        <v>161</v>
      </c>
      <c r="E660" s="218">
        <v>22</v>
      </c>
    </row>
    <row r="661" spans="1:5" x14ac:dyDescent="0.35">
      <c r="A661" s="3" t="e">
        <f>IF(D661="","",(VLOOKUP($D661,KEY!$B$5:$D$74,3,FALSE)))</f>
        <v>#N/A</v>
      </c>
      <c r="B661" s="221">
        <v>45170</v>
      </c>
      <c r="C661" s="221" t="str">
        <f>IFERROR(VLOOKUP($B661,KEY!$AE$19:$AH$60,2,FALSE),"")</f>
        <v>2023-Q3</v>
      </c>
      <c r="D661" s="222" t="s">
        <v>162</v>
      </c>
      <c r="E661" s="218">
        <v>31</v>
      </c>
    </row>
    <row r="662" spans="1:5" x14ac:dyDescent="0.35">
      <c r="A662" s="3" t="str">
        <f>IF(D662="","",(VLOOKUP($D662,KEY!$B$5:$D$74,3,FALSE)))</f>
        <v>Arizona</v>
      </c>
      <c r="B662" s="221">
        <v>45170</v>
      </c>
      <c r="C662" s="221" t="str">
        <f>IFERROR(VLOOKUP($B662,KEY!$AE$19:$AH$60,2,FALSE),"")</f>
        <v>2023-Q3</v>
      </c>
      <c r="D662" s="222" t="s">
        <v>163</v>
      </c>
      <c r="E662" s="218">
        <v>17</v>
      </c>
    </row>
    <row r="663" spans="1:5" x14ac:dyDescent="0.35">
      <c r="A663" s="3" t="str">
        <f>IF(D663="","",(VLOOKUP($D663,KEY!$B$5:$D$74,3,FALSE)))</f>
        <v>Arizona</v>
      </c>
      <c r="B663" s="221">
        <v>45170</v>
      </c>
      <c r="C663" s="221" t="str">
        <f>IFERROR(VLOOKUP($B663,KEY!$AE$19:$AH$60,2,FALSE),"")</f>
        <v>2023-Q3</v>
      </c>
      <c r="D663" s="222" t="s">
        <v>164</v>
      </c>
      <c r="E663" s="218">
        <v>9</v>
      </c>
    </row>
    <row r="664" spans="1:5" x14ac:dyDescent="0.35">
      <c r="A664" s="3" t="str">
        <f>IF(D664="","",(VLOOKUP($D664,KEY!$B$5:$D$74,3,FALSE)))</f>
        <v>Orange County</v>
      </c>
      <c r="B664" s="221">
        <v>45170</v>
      </c>
      <c r="C664" s="221" t="str">
        <f>IFERROR(VLOOKUP($B664,KEY!$AE$19:$AH$60,2,FALSE),"")</f>
        <v>2023-Q3</v>
      </c>
      <c r="D664" s="222" t="s">
        <v>165</v>
      </c>
      <c r="E664" s="218">
        <v>4</v>
      </c>
    </row>
    <row r="665" spans="1:5" x14ac:dyDescent="0.35">
      <c r="A665" s="3" t="str">
        <f>IF(D665="","",(VLOOKUP($D665,KEY!$B$5:$D$74,3,FALSE)))</f>
        <v>Arizona</v>
      </c>
      <c r="B665" s="221">
        <v>45200</v>
      </c>
      <c r="C665" s="221" t="str">
        <f>IFERROR(VLOOKUP($B665,KEY!$AE$19:$AH$60,2,FALSE),"")</f>
        <v>2023-Q4</v>
      </c>
      <c r="D665" s="222" t="s">
        <v>111</v>
      </c>
      <c r="E665" s="218">
        <v>9</v>
      </c>
    </row>
    <row r="666" spans="1:5" x14ac:dyDescent="0.35">
      <c r="A666" s="3" t="str">
        <f>IF(D666="","",(VLOOKUP($D666,KEY!$B$5:$D$74,3,FALSE)))</f>
        <v>Southern California</v>
      </c>
      <c r="B666" s="221">
        <v>45200</v>
      </c>
      <c r="C666" s="221" t="str">
        <f>IFERROR(VLOOKUP($B666,KEY!$AE$19:$AH$60,2,FALSE),"")</f>
        <v>2023-Q4</v>
      </c>
      <c r="D666" s="222" t="s">
        <v>112</v>
      </c>
      <c r="E666" s="218">
        <v>4</v>
      </c>
    </row>
    <row r="667" spans="1:5" x14ac:dyDescent="0.35">
      <c r="A667" s="3" t="str">
        <f>IF(D667="","",(VLOOKUP($D667,KEY!$B$5:$D$74,3,FALSE)))</f>
        <v>Arizona</v>
      </c>
      <c r="B667" s="221">
        <v>45200</v>
      </c>
      <c r="C667" s="221" t="str">
        <f>IFERROR(VLOOKUP($B667,KEY!$AE$19:$AH$60,2,FALSE),"")</f>
        <v>2023-Q4</v>
      </c>
      <c r="D667" s="222" t="s">
        <v>113</v>
      </c>
      <c r="E667" s="218">
        <v>7</v>
      </c>
    </row>
    <row r="668" spans="1:5" x14ac:dyDescent="0.35">
      <c r="A668" s="3" t="str">
        <f>IF(D668="","",(VLOOKUP($D668,KEY!$B$5:$D$74,3,FALSE)))</f>
        <v>Southern California</v>
      </c>
      <c r="B668" s="221">
        <v>45200</v>
      </c>
      <c r="C668" s="221" t="str">
        <f>IFERROR(VLOOKUP($B668,KEY!$AE$19:$AH$60,2,FALSE),"")</f>
        <v>2023-Q4</v>
      </c>
      <c r="D668" s="222" t="s">
        <v>114</v>
      </c>
      <c r="E668" s="218">
        <v>7</v>
      </c>
    </row>
    <row r="669" spans="1:5" x14ac:dyDescent="0.35">
      <c r="A669" s="3" t="str">
        <f>IF(D669="","",(VLOOKUP($D669,KEY!$B$5:$D$74,3,FALSE)))</f>
        <v>Orange County</v>
      </c>
      <c r="B669" s="221">
        <v>45200</v>
      </c>
      <c r="C669" s="221" t="str">
        <f>IFERROR(VLOOKUP($B669,KEY!$AE$19:$AH$60,2,FALSE),"")</f>
        <v>2023-Q4</v>
      </c>
      <c r="D669" s="222" t="s">
        <v>115</v>
      </c>
      <c r="E669" s="218">
        <v>5</v>
      </c>
    </row>
    <row r="670" spans="1:5" x14ac:dyDescent="0.35">
      <c r="A670" s="3" t="str">
        <f>IF(D670="","",(VLOOKUP($D670,KEY!$B$5:$D$74,3,FALSE)))</f>
        <v>Arizona</v>
      </c>
      <c r="B670" s="221">
        <v>45200</v>
      </c>
      <c r="C670" s="221" t="str">
        <f>IFERROR(VLOOKUP($B670,KEY!$AE$19:$AH$60,2,FALSE),"")</f>
        <v>2023-Q4</v>
      </c>
      <c r="D670" s="222" t="s">
        <v>116</v>
      </c>
      <c r="E670" s="218">
        <v>13</v>
      </c>
    </row>
    <row r="671" spans="1:5" x14ac:dyDescent="0.35">
      <c r="A671" s="3" t="str">
        <f>IF(D671="","",(VLOOKUP($D671,KEY!$B$5:$D$74,3,FALSE)))</f>
        <v>Orange County</v>
      </c>
      <c r="B671" s="221">
        <v>45200</v>
      </c>
      <c r="C671" s="221" t="str">
        <f>IFERROR(VLOOKUP($B671,KEY!$AE$19:$AH$60,2,FALSE),"")</f>
        <v>2023-Q4</v>
      </c>
      <c r="D671" s="222" t="s">
        <v>117</v>
      </c>
      <c r="E671" s="218">
        <v>11</v>
      </c>
    </row>
    <row r="672" spans="1:5" x14ac:dyDescent="0.35">
      <c r="A672" s="3" t="str">
        <f>IF(D672="","",(VLOOKUP($D672,KEY!$B$5:$D$74,3,FALSE)))</f>
        <v>Northern California</v>
      </c>
      <c r="B672" s="221">
        <v>45200</v>
      </c>
      <c r="C672" s="221" t="str">
        <f>IFERROR(VLOOKUP($B672,KEY!$AE$19:$AH$60,2,FALSE),"")</f>
        <v>2023-Q4</v>
      </c>
      <c r="D672" s="222" t="s">
        <v>118</v>
      </c>
      <c r="E672" s="218">
        <v>12</v>
      </c>
    </row>
    <row r="673" spans="1:5" x14ac:dyDescent="0.35">
      <c r="A673" s="3" t="str">
        <f>IF(D673="","",(VLOOKUP($D673,KEY!$B$5:$D$74,3,FALSE)))</f>
        <v>Arizona</v>
      </c>
      <c r="B673" s="221">
        <v>45200</v>
      </c>
      <c r="C673" s="221" t="str">
        <f>IFERROR(VLOOKUP($B673,KEY!$AE$19:$AH$60,2,FALSE),"")</f>
        <v>2023-Q4</v>
      </c>
      <c r="D673" s="222" t="s">
        <v>119</v>
      </c>
      <c r="E673" s="218">
        <v>4</v>
      </c>
    </row>
    <row r="674" spans="1:5" x14ac:dyDescent="0.35">
      <c r="A674" s="3" t="str">
        <f>IF(D674="","",(VLOOKUP($D674,KEY!$B$5:$D$74,3,FALSE)))</f>
        <v>Arizona</v>
      </c>
      <c r="B674" s="221">
        <v>45200</v>
      </c>
      <c r="C674" s="221" t="str">
        <f>IFERROR(VLOOKUP($B674,KEY!$AE$19:$AH$60,2,FALSE),"")</f>
        <v>2023-Q4</v>
      </c>
      <c r="D674" s="222" t="s">
        <v>120</v>
      </c>
      <c r="E674" s="218">
        <v>26</v>
      </c>
    </row>
    <row r="675" spans="1:5" x14ac:dyDescent="0.35">
      <c r="A675" s="3" t="str">
        <f>IF(D675="","",(VLOOKUP($D675,KEY!$B$5:$D$74,3,FALSE)))</f>
        <v>Texas</v>
      </c>
      <c r="B675" s="221">
        <v>45200</v>
      </c>
      <c r="C675" s="221" t="str">
        <f>IFERROR(VLOOKUP($B675,KEY!$AE$19:$AH$60,2,FALSE),"")</f>
        <v>2023-Q4</v>
      </c>
      <c r="D675" s="222" t="s">
        <v>121</v>
      </c>
      <c r="E675" s="218">
        <v>21</v>
      </c>
    </row>
    <row r="676" spans="1:5" x14ac:dyDescent="0.35">
      <c r="A676" s="3" t="str">
        <f>IF(D676="","",(VLOOKUP($D676,KEY!$B$5:$D$74,3,FALSE)))</f>
        <v>Southern California</v>
      </c>
      <c r="B676" s="221">
        <v>45200</v>
      </c>
      <c r="C676" s="221" t="str">
        <f>IFERROR(VLOOKUP($B676,KEY!$AE$19:$AH$60,2,FALSE),"")</f>
        <v>2023-Q4</v>
      </c>
      <c r="D676" s="222" t="s">
        <v>122</v>
      </c>
      <c r="E676" s="218">
        <v>6</v>
      </c>
    </row>
    <row r="677" spans="1:5" x14ac:dyDescent="0.35">
      <c r="A677" s="3" t="str">
        <f>IF(D677="","",(VLOOKUP($D677,KEY!$B$5:$D$74,3,FALSE)))</f>
        <v>Orange County</v>
      </c>
      <c r="B677" s="221">
        <v>45200</v>
      </c>
      <c r="C677" s="221" t="str">
        <f>IFERROR(VLOOKUP($B677,KEY!$AE$19:$AH$60,2,FALSE),"")</f>
        <v>2023-Q4</v>
      </c>
      <c r="D677" s="222" t="s">
        <v>123</v>
      </c>
      <c r="E677" s="218">
        <v>16</v>
      </c>
    </row>
    <row r="678" spans="1:5" x14ac:dyDescent="0.35">
      <c r="A678" s="3" t="str">
        <f>IF(D678="","",(VLOOKUP($D678,KEY!$B$5:$D$74,3,FALSE)))</f>
        <v>Southern California</v>
      </c>
      <c r="B678" s="221">
        <v>45200</v>
      </c>
      <c r="C678" s="221" t="str">
        <f>IFERROR(VLOOKUP($B678,KEY!$AE$19:$AH$60,2,FALSE),"")</f>
        <v>2023-Q4</v>
      </c>
      <c r="D678" s="222" t="s">
        <v>124</v>
      </c>
      <c r="E678" s="218">
        <v>21</v>
      </c>
    </row>
    <row r="679" spans="1:5" x14ac:dyDescent="0.35">
      <c r="A679" s="3" t="str">
        <f>IF(D679="","",(VLOOKUP($D679,KEY!$B$5:$D$74,3,FALSE)))</f>
        <v>Northern California</v>
      </c>
      <c r="B679" s="221">
        <v>45200</v>
      </c>
      <c r="C679" s="221" t="str">
        <f>IFERROR(VLOOKUP($B679,KEY!$AE$19:$AH$60,2,FALSE),"")</f>
        <v>2023-Q4</v>
      </c>
      <c r="D679" s="222" t="s">
        <v>195</v>
      </c>
      <c r="E679" s="218">
        <v>5</v>
      </c>
    </row>
    <row r="680" spans="1:5" x14ac:dyDescent="0.35">
      <c r="A680" s="3" t="str">
        <f>IF(D680="","",(VLOOKUP($D680,KEY!$B$5:$D$74,3,FALSE)))</f>
        <v>Northern California</v>
      </c>
      <c r="B680" s="221">
        <v>45200</v>
      </c>
      <c r="C680" s="221" t="str">
        <f>IFERROR(VLOOKUP($B680,KEY!$AE$19:$AH$60,2,FALSE),"")</f>
        <v>2023-Q4</v>
      </c>
      <c r="D680" s="222" t="s">
        <v>125</v>
      </c>
      <c r="E680" s="218">
        <v>20</v>
      </c>
    </row>
    <row r="681" spans="1:5" x14ac:dyDescent="0.35">
      <c r="A681" s="3" t="str">
        <f>IF(D681="","",(VLOOKUP($D681,KEY!$B$5:$D$74,3,FALSE)))</f>
        <v>Orange County</v>
      </c>
      <c r="B681" s="221">
        <v>45200</v>
      </c>
      <c r="C681" s="221" t="str">
        <f>IFERROR(VLOOKUP($B681,KEY!$AE$19:$AH$60,2,FALSE),"")</f>
        <v>2023-Q4</v>
      </c>
      <c r="D681" s="222" t="s">
        <v>126</v>
      </c>
      <c r="E681" s="218">
        <v>33</v>
      </c>
    </row>
    <row r="682" spans="1:5" x14ac:dyDescent="0.35">
      <c r="A682" s="3" t="str">
        <f>IF(D682="","",(VLOOKUP($D682,KEY!$B$5:$D$74,3,FALSE)))</f>
        <v>Orange County</v>
      </c>
      <c r="B682" s="221">
        <v>45200</v>
      </c>
      <c r="C682" s="221" t="str">
        <f>IFERROR(VLOOKUP($B682,KEY!$AE$19:$AH$60,2,FALSE),"")</f>
        <v>2023-Q4</v>
      </c>
      <c r="D682" s="222" t="s">
        <v>127</v>
      </c>
      <c r="E682" s="218">
        <v>4</v>
      </c>
    </row>
    <row r="683" spans="1:5" x14ac:dyDescent="0.35">
      <c r="A683" s="3" t="str">
        <f>IF(D683="","",(VLOOKUP($D683,KEY!$B$5:$D$74,3,FALSE)))</f>
        <v>Texas</v>
      </c>
      <c r="B683" s="221">
        <v>45200</v>
      </c>
      <c r="C683" s="221" t="str">
        <f>IFERROR(VLOOKUP($B683,KEY!$AE$19:$AH$60,2,FALSE),"")</f>
        <v>2023-Q4</v>
      </c>
      <c r="D683" s="222" t="s">
        <v>128</v>
      </c>
      <c r="E683" s="218">
        <v>14</v>
      </c>
    </row>
    <row r="684" spans="1:5" x14ac:dyDescent="0.35">
      <c r="A684" s="3" t="str">
        <f>IF(D684="","",(VLOOKUP($D684,KEY!$B$5:$D$74,3,FALSE)))</f>
        <v>Northern California</v>
      </c>
      <c r="B684" s="221">
        <v>45200</v>
      </c>
      <c r="C684" s="221" t="str">
        <f>IFERROR(VLOOKUP($B684,KEY!$AE$19:$AH$60,2,FALSE),"")</f>
        <v>2023-Q4</v>
      </c>
      <c r="D684" s="222" t="s">
        <v>129</v>
      </c>
      <c r="E684" s="218">
        <v>14</v>
      </c>
    </row>
    <row r="685" spans="1:5" x14ac:dyDescent="0.35">
      <c r="A685" s="3" t="str">
        <f>IF(D685="","",(VLOOKUP($D685,KEY!$B$5:$D$74,3,FALSE)))</f>
        <v>Southern California</v>
      </c>
      <c r="B685" s="221">
        <v>45200</v>
      </c>
      <c r="C685" s="221" t="str">
        <f>IFERROR(VLOOKUP($B685,KEY!$AE$19:$AH$60,2,FALSE),"")</f>
        <v>2023-Q4</v>
      </c>
      <c r="D685" s="222" t="s">
        <v>130</v>
      </c>
      <c r="E685" s="218">
        <v>9</v>
      </c>
    </row>
    <row r="686" spans="1:5" x14ac:dyDescent="0.35">
      <c r="A686" s="3">
        <f>IF(D686="","",(VLOOKUP($D686,KEY!$B$5:$D$74,3,FALSE)))</f>
        <v>0</v>
      </c>
      <c r="B686" s="221">
        <v>45200</v>
      </c>
      <c r="C686" s="221" t="str">
        <f>IFERROR(VLOOKUP($B686,KEY!$AE$19:$AH$60,2,FALSE),"")</f>
        <v>2023-Q4</v>
      </c>
      <c r="D686" s="222" t="s">
        <v>131</v>
      </c>
      <c r="E686" s="218">
        <v>15</v>
      </c>
    </row>
    <row r="687" spans="1:5" x14ac:dyDescent="0.35">
      <c r="A687" s="3" t="e">
        <f>IF(D687="","",(VLOOKUP($D687,KEY!$B$5:$D$74,3,FALSE)))</f>
        <v>#N/A</v>
      </c>
      <c r="B687" s="221">
        <v>45200</v>
      </c>
      <c r="C687" s="221" t="str">
        <f>IFERROR(VLOOKUP($B687,KEY!$AE$19:$AH$60,2,FALSE),"")</f>
        <v>2023-Q4</v>
      </c>
      <c r="D687" s="222" t="s">
        <v>134</v>
      </c>
      <c r="E687" s="218">
        <v>4</v>
      </c>
    </row>
    <row r="688" spans="1:5" x14ac:dyDescent="0.35">
      <c r="A688" s="3" t="str">
        <f>IF(D688="","",(VLOOKUP($D688,KEY!$B$5:$D$74,3,FALSE)))</f>
        <v>Southern California</v>
      </c>
      <c r="B688" s="221">
        <v>45200</v>
      </c>
      <c r="C688" s="221" t="str">
        <f>IFERROR(VLOOKUP($B688,KEY!$AE$19:$AH$60,2,FALSE),"")</f>
        <v>2023-Q4</v>
      </c>
      <c r="D688" s="222" t="s">
        <v>135</v>
      </c>
      <c r="E688" s="218">
        <v>16</v>
      </c>
    </row>
    <row r="689" spans="1:5" x14ac:dyDescent="0.35">
      <c r="A689" s="3" t="str">
        <f>IF(D689="","",(VLOOKUP($D689,KEY!$B$5:$D$74,3,FALSE)))</f>
        <v>Arizona</v>
      </c>
      <c r="B689" s="221">
        <v>45200</v>
      </c>
      <c r="C689" s="221" t="str">
        <f>IFERROR(VLOOKUP($B689,KEY!$AE$19:$AH$60,2,FALSE),"")</f>
        <v>2023-Q4</v>
      </c>
      <c r="D689" s="222" t="s">
        <v>196</v>
      </c>
      <c r="E689" s="218">
        <v>5</v>
      </c>
    </row>
    <row r="690" spans="1:5" x14ac:dyDescent="0.35">
      <c r="A690" s="3" t="str">
        <f>IF(D690="","",(VLOOKUP($D690,KEY!$B$5:$D$74,3,FALSE)))</f>
        <v>Arizona</v>
      </c>
      <c r="B690" s="221">
        <v>45200</v>
      </c>
      <c r="C690" s="221" t="str">
        <f>IFERROR(VLOOKUP($B690,KEY!$AE$19:$AH$60,2,FALSE),"")</f>
        <v>2023-Q4</v>
      </c>
      <c r="D690" s="222" t="s">
        <v>197</v>
      </c>
      <c r="E690" s="218">
        <v>10</v>
      </c>
    </row>
    <row r="691" spans="1:5" x14ac:dyDescent="0.35">
      <c r="A691" s="3" t="str">
        <f>IF(D691="","",(VLOOKUP($D691,KEY!$B$5:$D$74,3,FALSE)))</f>
        <v>Texas</v>
      </c>
      <c r="B691" s="221">
        <v>45200</v>
      </c>
      <c r="C691" s="221" t="str">
        <f>IFERROR(VLOOKUP($B691,KEY!$AE$19:$AH$60,2,FALSE),"")</f>
        <v>2023-Q4</v>
      </c>
      <c r="D691" s="222" t="s">
        <v>136</v>
      </c>
      <c r="E691" s="218">
        <v>16</v>
      </c>
    </row>
    <row r="692" spans="1:5" x14ac:dyDescent="0.35">
      <c r="A692" s="3" t="str">
        <f>IF(D692="","",(VLOOKUP($D692,KEY!$B$5:$D$74,3,FALSE)))</f>
        <v>Arizona</v>
      </c>
      <c r="B692" s="221">
        <v>45200</v>
      </c>
      <c r="C692" s="221" t="str">
        <f>IFERROR(VLOOKUP($B692,KEY!$AE$19:$AH$60,2,FALSE),"")</f>
        <v>2023-Q4</v>
      </c>
      <c r="D692" s="222" t="s">
        <v>137</v>
      </c>
      <c r="E692" s="218">
        <v>9</v>
      </c>
    </row>
    <row r="693" spans="1:5" x14ac:dyDescent="0.35">
      <c r="A693" s="3" t="str">
        <f>IF(D693="","",(VLOOKUP($D693,KEY!$B$5:$D$74,3,FALSE)))</f>
        <v>Texas</v>
      </c>
      <c r="B693" s="221">
        <v>45200</v>
      </c>
      <c r="C693" s="221" t="str">
        <f>IFERROR(VLOOKUP($B693,KEY!$AE$19:$AH$60,2,FALSE),"")</f>
        <v>2023-Q4</v>
      </c>
      <c r="D693" s="222" t="s">
        <v>138</v>
      </c>
      <c r="E693" s="218">
        <v>8</v>
      </c>
    </row>
    <row r="694" spans="1:5" x14ac:dyDescent="0.35">
      <c r="A694" s="3" t="str">
        <f>IF(D694="","",(VLOOKUP($D694,KEY!$B$5:$D$74,3,FALSE)))</f>
        <v>Southern California</v>
      </c>
      <c r="B694" s="221">
        <v>45200</v>
      </c>
      <c r="C694" s="221" t="str">
        <f>IFERROR(VLOOKUP($B694,KEY!$AE$19:$AH$60,2,FALSE),"")</f>
        <v>2023-Q4</v>
      </c>
      <c r="D694" s="222" t="s">
        <v>139</v>
      </c>
      <c r="E694" s="218">
        <v>10</v>
      </c>
    </row>
    <row r="695" spans="1:5" x14ac:dyDescent="0.35">
      <c r="A695" s="3" t="str">
        <f>IF(D695="","",(VLOOKUP($D695,KEY!$B$5:$D$74,3,FALSE)))</f>
        <v>Orange County</v>
      </c>
      <c r="B695" s="221">
        <v>45200</v>
      </c>
      <c r="C695" s="221" t="str">
        <f>IFERROR(VLOOKUP($B695,KEY!$AE$19:$AH$60,2,FALSE),"")</f>
        <v>2023-Q4</v>
      </c>
      <c r="D695" s="222" t="s">
        <v>140</v>
      </c>
      <c r="E695" s="218">
        <v>3</v>
      </c>
    </row>
    <row r="696" spans="1:5" x14ac:dyDescent="0.35">
      <c r="A696" s="3" t="str">
        <f>IF(D696="","",(VLOOKUP($D696,KEY!$B$5:$D$74,3,FALSE)))</f>
        <v>Southern California</v>
      </c>
      <c r="B696" s="221">
        <v>45200</v>
      </c>
      <c r="C696" s="221" t="str">
        <f>IFERROR(VLOOKUP($B696,KEY!$AE$19:$AH$60,2,FALSE),"")</f>
        <v>2023-Q4</v>
      </c>
      <c r="D696" s="222" t="s">
        <v>142</v>
      </c>
      <c r="E696" s="218">
        <v>6</v>
      </c>
    </row>
    <row r="697" spans="1:5" x14ac:dyDescent="0.35">
      <c r="A697" s="3" t="str">
        <f>IF(D697="","",(VLOOKUP($D697,KEY!$B$5:$D$74,3,FALSE)))</f>
        <v>Arizona</v>
      </c>
      <c r="B697" s="221">
        <v>45200</v>
      </c>
      <c r="C697" s="221" t="str">
        <f>IFERROR(VLOOKUP($B697,KEY!$AE$19:$AH$60,2,FALSE),"")</f>
        <v>2023-Q4</v>
      </c>
      <c r="D697" s="222" t="s">
        <v>143</v>
      </c>
      <c r="E697" s="218">
        <v>7</v>
      </c>
    </row>
    <row r="698" spans="1:5" x14ac:dyDescent="0.35">
      <c r="A698" s="3" t="str">
        <f>IF(D698="","",(VLOOKUP($D698,KEY!$B$5:$D$74,3,FALSE)))</f>
        <v>Arizona</v>
      </c>
      <c r="B698" s="221">
        <v>45200</v>
      </c>
      <c r="C698" s="221" t="str">
        <f>IFERROR(VLOOKUP($B698,KEY!$AE$19:$AH$60,2,FALSE),"")</f>
        <v>2023-Q4</v>
      </c>
      <c r="D698" s="222" t="s">
        <v>144</v>
      </c>
      <c r="E698" s="218">
        <v>16</v>
      </c>
    </row>
    <row r="699" spans="1:5" x14ac:dyDescent="0.35">
      <c r="A699" s="3" t="str">
        <f>IF(D699="","",(VLOOKUP($D699,KEY!$B$5:$D$74,3,FALSE)))</f>
        <v>Southern California</v>
      </c>
      <c r="B699" s="221">
        <v>45200</v>
      </c>
      <c r="C699" s="221" t="str">
        <f>IFERROR(VLOOKUP($B699,KEY!$AE$19:$AH$60,2,FALSE),"")</f>
        <v>2023-Q4</v>
      </c>
      <c r="D699" s="222" t="s">
        <v>145</v>
      </c>
      <c r="E699" s="218">
        <v>15</v>
      </c>
    </row>
    <row r="700" spans="1:5" x14ac:dyDescent="0.35">
      <c r="A700" s="3" t="str">
        <f>IF(D700="","",(VLOOKUP($D700,KEY!$B$5:$D$74,3,FALSE)))</f>
        <v>Arizona</v>
      </c>
      <c r="B700" s="221">
        <v>45200</v>
      </c>
      <c r="C700" s="221" t="str">
        <f>IFERROR(VLOOKUP($B700,KEY!$AE$19:$AH$60,2,FALSE),"")</f>
        <v>2023-Q4</v>
      </c>
      <c r="D700" s="222" t="s">
        <v>146</v>
      </c>
      <c r="E700" s="218">
        <v>4</v>
      </c>
    </row>
    <row r="701" spans="1:5" x14ac:dyDescent="0.35">
      <c r="A701" s="3" t="str">
        <f>IF(D701="","",(VLOOKUP($D701,KEY!$B$5:$D$74,3,FALSE)))</f>
        <v>Texas</v>
      </c>
      <c r="B701" s="221">
        <v>45200</v>
      </c>
      <c r="C701" s="221" t="str">
        <f>IFERROR(VLOOKUP($B701,KEY!$AE$19:$AH$60,2,FALSE),"")</f>
        <v>2023-Q4</v>
      </c>
      <c r="D701" s="222" t="s">
        <v>147</v>
      </c>
      <c r="E701" s="218">
        <v>4</v>
      </c>
    </row>
    <row r="702" spans="1:5" x14ac:dyDescent="0.35">
      <c r="A702" s="3" t="str">
        <f>IF(D702="","",(VLOOKUP($D702,KEY!$B$5:$D$74,3,FALSE)))</f>
        <v>Northern California</v>
      </c>
      <c r="B702" s="221">
        <v>45200</v>
      </c>
      <c r="C702" s="221" t="str">
        <f>IFERROR(VLOOKUP($B702,KEY!$AE$19:$AH$60,2,FALSE),"")</f>
        <v>2023-Q4</v>
      </c>
      <c r="D702" s="222" t="s">
        <v>148</v>
      </c>
      <c r="E702" s="218">
        <v>4</v>
      </c>
    </row>
    <row r="703" spans="1:5" x14ac:dyDescent="0.35">
      <c r="A703" s="3" t="str">
        <f>IF(D703="","",(VLOOKUP($D703,KEY!$B$5:$D$74,3,FALSE)))</f>
        <v>Orange County</v>
      </c>
      <c r="B703" s="221">
        <v>45200</v>
      </c>
      <c r="C703" s="221" t="str">
        <f>IFERROR(VLOOKUP($B703,KEY!$AE$19:$AH$60,2,FALSE),"")</f>
        <v>2023-Q4</v>
      </c>
      <c r="D703" s="222" t="s">
        <v>149</v>
      </c>
      <c r="E703" s="218">
        <v>3</v>
      </c>
    </row>
    <row r="704" spans="1:5" x14ac:dyDescent="0.35">
      <c r="A704" s="3" t="str">
        <f>IF(D704="","",(VLOOKUP($D704,KEY!$B$5:$D$74,3,FALSE)))</f>
        <v>Southern California</v>
      </c>
      <c r="B704" s="221">
        <v>45200</v>
      </c>
      <c r="C704" s="221" t="str">
        <f>IFERROR(VLOOKUP($B704,KEY!$AE$19:$AH$60,2,FALSE),"")</f>
        <v>2023-Q4</v>
      </c>
      <c r="D704" s="222" t="s">
        <v>150</v>
      </c>
      <c r="E704" s="218">
        <v>3</v>
      </c>
    </row>
    <row r="705" spans="1:5" x14ac:dyDescent="0.35">
      <c r="A705" s="3" t="str">
        <f>IF(D705="","",(VLOOKUP($D705,KEY!$B$5:$D$74,3,FALSE)))</f>
        <v>Arizona</v>
      </c>
      <c r="B705" s="221">
        <v>45200</v>
      </c>
      <c r="C705" s="221" t="str">
        <f>IFERROR(VLOOKUP($B705,KEY!$AE$19:$AH$60,2,FALSE),"")</f>
        <v>2023-Q4</v>
      </c>
      <c r="D705" s="222" t="s">
        <v>151</v>
      </c>
      <c r="E705" s="218">
        <v>4</v>
      </c>
    </row>
    <row r="706" spans="1:5" x14ac:dyDescent="0.35">
      <c r="A706" s="3" t="str">
        <f>IF(D706="","",(VLOOKUP($D706,KEY!$B$5:$D$74,3,FALSE)))</f>
        <v>Northern California</v>
      </c>
      <c r="B706" s="221">
        <v>45200</v>
      </c>
      <c r="C706" s="221" t="str">
        <f>IFERROR(VLOOKUP($B706,KEY!$AE$19:$AH$60,2,FALSE),"")</f>
        <v>2023-Q4</v>
      </c>
      <c r="D706" s="222" t="s">
        <v>152</v>
      </c>
      <c r="E706" s="218">
        <v>13</v>
      </c>
    </row>
    <row r="707" spans="1:5" x14ac:dyDescent="0.35">
      <c r="A707" s="3" t="str">
        <f>IF(D707="","",(VLOOKUP($D707,KEY!$B$5:$D$74,3,FALSE)))</f>
        <v>Arizona</v>
      </c>
      <c r="B707" s="221">
        <v>45200</v>
      </c>
      <c r="C707" s="221" t="str">
        <f>IFERROR(VLOOKUP($B707,KEY!$AE$19:$AH$60,2,FALSE),"")</f>
        <v>2023-Q4</v>
      </c>
      <c r="D707" s="222" t="s">
        <v>153</v>
      </c>
      <c r="E707" s="218">
        <v>13</v>
      </c>
    </row>
    <row r="708" spans="1:5" x14ac:dyDescent="0.35">
      <c r="A708" s="3" t="str">
        <f>IF(D708="","",(VLOOKUP($D708,KEY!$B$5:$D$74,3,FALSE)))</f>
        <v>Northern California</v>
      </c>
      <c r="B708" s="221">
        <v>45200</v>
      </c>
      <c r="C708" s="221" t="str">
        <f>IFERROR(VLOOKUP($B708,KEY!$AE$19:$AH$60,2,FALSE),"")</f>
        <v>2023-Q4</v>
      </c>
      <c r="D708" s="222" t="s">
        <v>154</v>
      </c>
      <c r="E708" s="218">
        <v>6</v>
      </c>
    </row>
    <row r="709" spans="1:5" x14ac:dyDescent="0.35">
      <c r="A709" s="3" t="str">
        <f>IF(D709="","",(VLOOKUP($D709,KEY!$B$5:$D$74,3,FALSE)))</f>
        <v>Texas</v>
      </c>
      <c r="B709" s="221">
        <v>45200</v>
      </c>
      <c r="C709" s="221" t="str">
        <f>IFERROR(VLOOKUP($B709,KEY!$AE$19:$AH$60,2,FALSE),"")</f>
        <v>2023-Q4</v>
      </c>
      <c r="D709" s="222" t="s">
        <v>155</v>
      </c>
      <c r="E709" s="218">
        <v>22</v>
      </c>
    </row>
    <row r="710" spans="1:5" x14ac:dyDescent="0.35">
      <c r="A710" s="3" t="str">
        <f>IF(D710="","",(VLOOKUP($D710,KEY!$B$5:$D$74,3,FALSE)))</f>
        <v>Texas</v>
      </c>
      <c r="B710" s="221">
        <v>45200</v>
      </c>
      <c r="C710" s="221" t="str">
        <f>IFERROR(VLOOKUP($B710,KEY!$AE$19:$AH$60,2,FALSE),"")</f>
        <v>2023-Q4</v>
      </c>
      <c r="D710" s="222" t="s">
        <v>156</v>
      </c>
      <c r="E710" s="218">
        <v>20</v>
      </c>
    </row>
    <row r="711" spans="1:5" x14ac:dyDescent="0.35">
      <c r="A711" s="3" t="str">
        <f>IF(D711="","",(VLOOKUP($D711,KEY!$B$5:$D$74,3,FALSE)))</f>
        <v>Texas</v>
      </c>
      <c r="B711" s="221">
        <v>45200</v>
      </c>
      <c r="C711" s="221" t="str">
        <f>IFERROR(VLOOKUP($B711,KEY!$AE$19:$AH$60,2,FALSE),"")</f>
        <v>2023-Q4</v>
      </c>
      <c r="D711" s="222" t="s">
        <v>157</v>
      </c>
      <c r="E711" s="218">
        <v>21</v>
      </c>
    </row>
    <row r="712" spans="1:5" x14ac:dyDescent="0.35">
      <c r="A712" s="3" t="str">
        <f>IF(D712="","",(VLOOKUP($D712,KEY!$B$5:$D$74,3,FALSE)))</f>
        <v>Arizona</v>
      </c>
      <c r="B712" s="221">
        <v>45200</v>
      </c>
      <c r="C712" s="221" t="str">
        <f>IFERROR(VLOOKUP($B712,KEY!$AE$19:$AH$60,2,FALSE),"")</f>
        <v>2023-Q4</v>
      </c>
      <c r="D712" s="222" t="s">
        <v>158</v>
      </c>
      <c r="E712" s="218">
        <v>5</v>
      </c>
    </row>
    <row r="713" spans="1:5" x14ac:dyDescent="0.35">
      <c r="A713" s="3" t="str">
        <f>IF(D713="","",(VLOOKUP($D713,KEY!$B$5:$D$74,3,FALSE)))</f>
        <v>Orange County</v>
      </c>
      <c r="B713" s="221">
        <v>45200</v>
      </c>
      <c r="C713" s="221" t="str">
        <f>IFERROR(VLOOKUP($B713,KEY!$AE$19:$AH$60,2,FALSE),"")</f>
        <v>2023-Q4</v>
      </c>
      <c r="D713" s="222" t="s">
        <v>159</v>
      </c>
      <c r="E713" s="218">
        <v>8</v>
      </c>
    </row>
    <row r="714" spans="1:5" x14ac:dyDescent="0.35">
      <c r="A714" s="3" t="str">
        <f>IF(D714="","",(VLOOKUP($D714,KEY!$B$5:$D$74,3,FALSE)))</f>
        <v>Arizona</v>
      </c>
      <c r="B714" s="221">
        <v>45200</v>
      </c>
      <c r="C714" s="221" t="str">
        <f>IFERROR(VLOOKUP($B714,KEY!$AE$19:$AH$60,2,FALSE),"")</f>
        <v>2023-Q4</v>
      </c>
      <c r="D714" s="222" t="s">
        <v>160</v>
      </c>
      <c r="E714" s="218">
        <v>25</v>
      </c>
    </row>
    <row r="715" spans="1:5" x14ac:dyDescent="0.35">
      <c r="A715" s="3" t="str">
        <f>IF(D715="","",(VLOOKUP($D715,KEY!$B$5:$D$74,3,FALSE)))</f>
        <v>Northern California</v>
      </c>
      <c r="B715" s="221">
        <v>45200</v>
      </c>
      <c r="C715" s="221" t="str">
        <f>IFERROR(VLOOKUP($B715,KEY!$AE$19:$AH$60,2,FALSE),"")</f>
        <v>2023-Q4</v>
      </c>
      <c r="D715" s="222" t="s">
        <v>161</v>
      </c>
      <c r="E715" s="218">
        <v>21</v>
      </c>
    </row>
    <row r="716" spans="1:5" x14ac:dyDescent="0.35">
      <c r="A716" s="3" t="e">
        <f>IF(D716="","",(VLOOKUP($D716,KEY!$B$5:$D$74,3,FALSE)))</f>
        <v>#N/A</v>
      </c>
      <c r="B716" s="221">
        <v>45200</v>
      </c>
      <c r="C716" s="221" t="str">
        <f>IFERROR(VLOOKUP($B716,KEY!$AE$19:$AH$60,2,FALSE),"")</f>
        <v>2023-Q4</v>
      </c>
      <c r="D716" s="222" t="s">
        <v>162</v>
      </c>
      <c r="E716" s="218">
        <v>30</v>
      </c>
    </row>
    <row r="717" spans="1:5" x14ac:dyDescent="0.35">
      <c r="A717" s="3" t="str">
        <f>IF(D717="","",(VLOOKUP($D717,KEY!$B$5:$D$74,3,FALSE)))</f>
        <v>Arizona</v>
      </c>
      <c r="B717" s="221">
        <v>45200</v>
      </c>
      <c r="C717" s="221" t="str">
        <f>IFERROR(VLOOKUP($B717,KEY!$AE$19:$AH$60,2,FALSE),"")</f>
        <v>2023-Q4</v>
      </c>
      <c r="D717" s="222" t="s">
        <v>163</v>
      </c>
      <c r="E717" s="218">
        <v>17</v>
      </c>
    </row>
    <row r="718" spans="1:5" x14ac:dyDescent="0.35">
      <c r="A718" s="3" t="str">
        <f>IF(D718="","",(VLOOKUP($D718,KEY!$B$5:$D$74,3,FALSE)))</f>
        <v>Arizona</v>
      </c>
      <c r="B718" s="221">
        <v>45200</v>
      </c>
      <c r="C718" s="221" t="str">
        <f>IFERROR(VLOOKUP($B718,KEY!$AE$19:$AH$60,2,FALSE),"")</f>
        <v>2023-Q4</v>
      </c>
      <c r="D718" s="222" t="s">
        <v>164</v>
      </c>
      <c r="E718" s="218">
        <v>9</v>
      </c>
    </row>
    <row r="719" spans="1:5" x14ac:dyDescent="0.35">
      <c r="A719" s="3" t="str">
        <f>IF(D719="","",(VLOOKUP($D719,KEY!$B$5:$D$74,3,FALSE)))</f>
        <v>Orange County</v>
      </c>
      <c r="B719" s="221">
        <v>45200</v>
      </c>
      <c r="C719" s="221" t="str">
        <f>IFERROR(VLOOKUP($B719,KEY!$AE$19:$AH$60,2,FALSE),"")</f>
        <v>2023-Q4</v>
      </c>
      <c r="D719" s="222" t="s">
        <v>165</v>
      </c>
      <c r="E719" s="218">
        <v>6</v>
      </c>
    </row>
    <row r="720" spans="1:5" x14ac:dyDescent="0.35">
      <c r="A720" s="3" t="str">
        <f>IF(D720="","",(VLOOKUP($D720,KEY!$B$5:$D$74,3,FALSE)))</f>
        <v>Arizona</v>
      </c>
      <c r="B720" s="221">
        <v>45231</v>
      </c>
      <c r="C720" s="221" t="str">
        <f>IFERROR(VLOOKUP($B720,KEY!$AE$19:$AH$60,2,FALSE),"")</f>
        <v>2023-Q4</v>
      </c>
      <c r="D720" s="222" t="s">
        <v>111</v>
      </c>
      <c r="E720" s="218">
        <v>9</v>
      </c>
    </row>
    <row r="721" spans="1:5" x14ac:dyDescent="0.35">
      <c r="A721" s="3" t="str">
        <f>IF(D721="","",(VLOOKUP($D721,KEY!$B$5:$D$74,3,FALSE)))</f>
        <v>Southern California</v>
      </c>
      <c r="B721" s="221">
        <v>45231</v>
      </c>
      <c r="C721" s="221" t="str">
        <f>IFERROR(VLOOKUP($B721,KEY!$AE$19:$AH$60,2,FALSE),"")</f>
        <v>2023-Q4</v>
      </c>
      <c r="D721" s="222" t="s">
        <v>112</v>
      </c>
      <c r="E721" s="218">
        <v>4</v>
      </c>
    </row>
    <row r="722" spans="1:5" x14ac:dyDescent="0.35">
      <c r="A722" s="3" t="str">
        <f>IF(D722="","",(VLOOKUP($D722,KEY!$B$5:$D$74,3,FALSE)))</f>
        <v>Arizona</v>
      </c>
      <c r="B722" s="221">
        <v>45231</v>
      </c>
      <c r="C722" s="221" t="str">
        <f>IFERROR(VLOOKUP($B722,KEY!$AE$19:$AH$60,2,FALSE),"")</f>
        <v>2023-Q4</v>
      </c>
      <c r="D722" s="222" t="s">
        <v>113</v>
      </c>
      <c r="E722" s="218">
        <v>8</v>
      </c>
    </row>
    <row r="723" spans="1:5" x14ac:dyDescent="0.35">
      <c r="A723" s="3" t="str">
        <f>IF(D723="","",(VLOOKUP($D723,KEY!$B$5:$D$74,3,FALSE)))</f>
        <v>Southern California</v>
      </c>
      <c r="B723" s="221">
        <v>45231</v>
      </c>
      <c r="C723" s="221" t="str">
        <f>IFERROR(VLOOKUP($B723,KEY!$AE$19:$AH$60,2,FALSE),"")</f>
        <v>2023-Q4</v>
      </c>
      <c r="D723" s="222" t="s">
        <v>114</v>
      </c>
      <c r="E723" s="218">
        <v>7</v>
      </c>
    </row>
    <row r="724" spans="1:5" x14ac:dyDescent="0.35">
      <c r="A724" s="3" t="str">
        <f>IF(D724="","",(VLOOKUP($D724,KEY!$B$5:$D$74,3,FALSE)))</f>
        <v>Orange County</v>
      </c>
      <c r="B724" s="221">
        <v>45231</v>
      </c>
      <c r="C724" s="221" t="str">
        <f>IFERROR(VLOOKUP($B724,KEY!$AE$19:$AH$60,2,FALSE),"")</f>
        <v>2023-Q4</v>
      </c>
      <c r="D724" s="222" t="s">
        <v>115</v>
      </c>
      <c r="E724" s="218">
        <v>5</v>
      </c>
    </row>
    <row r="725" spans="1:5" x14ac:dyDescent="0.35">
      <c r="A725" s="3" t="str">
        <f>IF(D725="","",(VLOOKUP($D725,KEY!$B$5:$D$74,3,FALSE)))</f>
        <v>Arizona</v>
      </c>
      <c r="B725" s="221">
        <v>45231</v>
      </c>
      <c r="C725" s="221" t="str">
        <f>IFERROR(VLOOKUP($B725,KEY!$AE$19:$AH$60,2,FALSE),"")</f>
        <v>2023-Q4</v>
      </c>
      <c r="D725" s="222" t="s">
        <v>116</v>
      </c>
      <c r="E725" s="218">
        <v>13</v>
      </c>
    </row>
    <row r="726" spans="1:5" x14ac:dyDescent="0.35">
      <c r="A726" s="3" t="str">
        <f>IF(D726="","",(VLOOKUP($D726,KEY!$B$5:$D$74,3,FALSE)))</f>
        <v>Orange County</v>
      </c>
      <c r="B726" s="221">
        <v>45231</v>
      </c>
      <c r="C726" s="221" t="str">
        <f>IFERROR(VLOOKUP($B726,KEY!$AE$19:$AH$60,2,FALSE),"")</f>
        <v>2023-Q4</v>
      </c>
      <c r="D726" s="222" t="s">
        <v>117</v>
      </c>
      <c r="E726" s="218">
        <v>11</v>
      </c>
    </row>
    <row r="727" spans="1:5" x14ac:dyDescent="0.35">
      <c r="A727" s="3" t="str">
        <f>IF(D727="","",(VLOOKUP($D727,KEY!$B$5:$D$74,3,FALSE)))</f>
        <v>Northern California</v>
      </c>
      <c r="B727" s="221">
        <v>45231</v>
      </c>
      <c r="C727" s="221" t="str">
        <f>IFERROR(VLOOKUP($B727,KEY!$AE$19:$AH$60,2,FALSE),"")</f>
        <v>2023-Q4</v>
      </c>
      <c r="D727" s="222" t="s">
        <v>118</v>
      </c>
      <c r="E727" s="218">
        <v>12</v>
      </c>
    </row>
    <row r="728" spans="1:5" x14ac:dyDescent="0.35">
      <c r="A728" s="3" t="str">
        <f>IF(D728="","",(VLOOKUP($D728,KEY!$B$5:$D$74,3,FALSE)))</f>
        <v>Arizona</v>
      </c>
      <c r="B728" s="221">
        <v>45231</v>
      </c>
      <c r="C728" s="221" t="str">
        <f>IFERROR(VLOOKUP($B728,KEY!$AE$19:$AH$60,2,FALSE),"")</f>
        <v>2023-Q4</v>
      </c>
      <c r="D728" s="222" t="s">
        <v>119</v>
      </c>
      <c r="E728" s="218">
        <v>4</v>
      </c>
    </row>
    <row r="729" spans="1:5" x14ac:dyDescent="0.35">
      <c r="A729" s="3" t="str">
        <f>IF(D729="","",(VLOOKUP($D729,KEY!$B$5:$D$74,3,FALSE)))</f>
        <v>Arizona</v>
      </c>
      <c r="B729" s="221">
        <v>45231</v>
      </c>
      <c r="C729" s="221" t="str">
        <f>IFERROR(VLOOKUP($B729,KEY!$AE$19:$AH$60,2,FALSE),"")</f>
        <v>2023-Q4</v>
      </c>
      <c r="D729" s="222" t="s">
        <v>120</v>
      </c>
      <c r="E729" s="218">
        <v>26</v>
      </c>
    </row>
    <row r="730" spans="1:5" x14ac:dyDescent="0.35">
      <c r="A730" s="3" t="str">
        <f>IF(D730="","",(VLOOKUP($D730,KEY!$B$5:$D$74,3,FALSE)))</f>
        <v>Texas</v>
      </c>
      <c r="B730" s="221">
        <v>45231</v>
      </c>
      <c r="C730" s="221" t="str">
        <f>IFERROR(VLOOKUP($B730,KEY!$AE$19:$AH$60,2,FALSE),"")</f>
        <v>2023-Q4</v>
      </c>
      <c r="D730" s="222" t="s">
        <v>121</v>
      </c>
      <c r="E730" s="218">
        <v>21</v>
      </c>
    </row>
    <row r="731" spans="1:5" x14ac:dyDescent="0.35">
      <c r="A731" s="3" t="str">
        <f>IF(D731="","",(VLOOKUP($D731,KEY!$B$5:$D$74,3,FALSE)))</f>
        <v>Southern California</v>
      </c>
      <c r="B731" s="221">
        <v>45231</v>
      </c>
      <c r="C731" s="221" t="str">
        <f>IFERROR(VLOOKUP($B731,KEY!$AE$19:$AH$60,2,FALSE),"")</f>
        <v>2023-Q4</v>
      </c>
      <c r="D731" s="222" t="s">
        <v>122</v>
      </c>
      <c r="E731" s="218">
        <v>8</v>
      </c>
    </row>
    <row r="732" spans="1:5" x14ac:dyDescent="0.35">
      <c r="A732" s="3" t="str">
        <f>IF(D732="","",(VLOOKUP($D732,KEY!$B$5:$D$74,3,FALSE)))</f>
        <v>Orange County</v>
      </c>
      <c r="B732" s="221">
        <v>45231</v>
      </c>
      <c r="C732" s="221" t="str">
        <f>IFERROR(VLOOKUP($B732,KEY!$AE$19:$AH$60,2,FALSE),"")</f>
        <v>2023-Q4</v>
      </c>
      <c r="D732" s="222" t="s">
        <v>123</v>
      </c>
      <c r="E732" s="218">
        <v>16</v>
      </c>
    </row>
    <row r="733" spans="1:5" x14ac:dyDescent="0.35">
      <c r="A733" s="3" t="str">
        <f>IF(D733="","",(VLOOKUP($D733,KEY!$B$5:$D$74,3,FALSE)))</f>
        <v>Southern California</v>
      </c>
      <c r="B733" s="221">
        <v>45231</v>
      </c>
      <c r="C733" s="221" t="str">
        <f>IFERROR(VLOOKUP($B733,KEY!$AE$19:$AH$60,2,FALSE),"")</f>
        <v>2023-Q4</v>
      </c>
      <c r="D733" s="222" t="s">
        <v>124</v>
      </c>
      <c r="E733" s="218">
        <v>21</v>
      </c>
    </row>
    <row r="734" spans="1:5" x14ac:dyDescent="0.35">
      <c r="A734" s="3" t="str">
        <f>IF(D734="","",(VLOOKUP($D734,KEY!$B$5:$D$74,3,FALSE)))</f>
        <v>Northern California</v>
      </c>
      <c r="B734" s="221">
        <v>45231</v>
      </c>
      <c r="C734" s="221" t="str">
        <f>IFERROR(VLOOKUP($B734,KEY!$AE$19:$AH$60,2,FALSE),"")</f>
        <v>2023-Q4</v>
      </c>
      <c r="D734" s="222" t="s">
        <v>195</v>
      </c>
      <c r="E734" s="218">
        <v>6</v>
      </c>
    </row>
    <row r="735" spans="1:5" x14ac:dyDescent="0.35">
      <c r="A735" s="3" t="str">
        <f>IF(D735="","",(VLOOKUP($D735,KEY!$B$5:$D$74,3,FALSE)))</f>
        <v>Northern California</v>
      </c>
      <c r="B735" s="221">
        <v>45231</v>
      </c>
      <c r="C735" s="221" t="str">
        <f>IFERROR(VLOOKUP($B735,KEY!$AE$19:$AH$60,2,FALSE),"")</f>
        <v>2023-Q4</v>
      </c>
      <c r="D735" s="222" t="s">
        <v>125</v>
      </c>
      <c r="E735" s="218">
        <v>20</v>
      </c>
    </row>
    <row r="736" spans="1:5" x14ac:dyDescent="0.35">
      <c r="A736" s="3" t="str">
        <f>IF(D736="","",(VLOOKUP($D736,KEY!$B$5:$D$74,3,FALSE)))</f>
        <v>Orange County</v>
      </c>
      <c r="B736" s="221">
        <v>45231</v>
      </c>
      <c r="C736" s="221" t="str">
        <f>IFERROR(VLOOKUP($B736,KEY!$AE$19:$AH$60,2,FALSE),"")</f>
        <v>2023-Q4</v>
      </c>
      <c r="D736" s="222" t="s">
        <v>126</v>
      </c>
      <c r="E736" s="218">
        <v>36</v>
      </c>
    </row>
    <row r="737" spans="1:5" x14ac:dyDescent="0.35">
      <c r="A737" s="3" t="str">
        <f>IF(D737="","",(VLOOKUP($D737,KEY!$B$5:$D$74,3,FALSE)))</f>
        <v>Orange County</v>
      </c>
      <c r="B737" s="221">
        <v>45231</v>
      </c>
      <c r="C737" s="221" t="str">
        <f>IFERROR(VLOOKUP($B737,KEY!$AE$19:$AH$60,2,FALSE),"")</f>
        <v>2023-Q4</v>
      </c>
      <c r="D737" s="222" t="s">
        <v>127</v>
      </c>
      <c r="E737" s="218">
        <v>4</v>
      </c>
    </row>
    <row r="738" spans="1:5" x14ac:dyDescent="0.35">
      <c r="A738" s="3" t="str">
        <f>IF(D738="","",(VLOOKUP($D738,KEY!$B$5:$D$74,3,FALSE)))</f>
        <v>Texas</v>
      </c>
      <c r="B738" s="221">
        <v>45231</v>
      </c>
      <c r="C738" s="221" t="str">
        <f>IFERROR(VLOOKUP($B738,KEY!$AE$19:$AH$60,2,FALSE),"")</f>
        <v>2023-Q4</v>
      </c>
      <c r="D738" s="222" t="s">
        <v>128</v>
      </c>
      <c r="E738" s="218">
        <v>14</v>
      </c>
    </row>
    <row r="739" spans="1:5" x14ac:dyDescent="0.35">
      <c r="A739" s="3" t="str">
        <f>IF(D739="","",(VLOOKUP($D739,KEY!$B$5:$D$74,3,FALSE)))</f>
        <v>Northern California</v>
      </c>
      <c r="B739" s="221">
        <v>45231</v>
      </c>
      <c r="C739" s="221" t="str">
        <f>IFERROR(VLOOKUP($B739,KEY!$AE$19:$AH$60,2,FALSE),"")</f>
        <v>2023-Q4</v>
      </c>
      <c r="D739" s="222" t="s">
        <v>129</v>
      </c>
      <c r="E739" s="218">
        <v>14</v>
      </c>
    </row>
    <row r="740" spans="1:5" x14ac:dyDescent="0.35">
      <c r="A740" s="3" t="str">
        <f>IF(D740="","",(VLOOKUP($D740,KEY!$B$5:$D$74,3,FALSE)))</f>
        <v>Southern California</v>
      </c>
      <c r="B740" s="221">
        <v>45231</v>
      </c>
      <c r="C740" s="221" t="str">
        <f>IFERROR(VLOOKUP($B740,KEY!$AE$19:$AH$60,2,FALSE),"")</f>
        <v>2023-Q4</v>
      </c>
      <c r="D740" s="222" t="s">
        <v>130</v>
      </c>
      <c r="E740" s="218">
        <v>8</v>
      </c>
    </row>
    <row r="741" spans="1:5" x14ac:dyDescent="0.35">
      <c r="A741" s="3">
        <f>IF(D741="","",(VLOOKUP($D741,KEY!$B$5:$D$74,3,FALSE)))</f>
        <v>0</v>
      </c>
      <c r="B741" s="221">
        <v>45231</v>
      </c>
      <c r="C741" s="221" t="str">
        <f>IFERROR(VLOOKUP($B741,KEY!$AE$19:$AH$60,2,FALSE),"")</f>
        <v>2023-Q4</v>
      </c>
      <c r="D741" s="222" t="s">
        <v>131</v>
      </c>
      <c r="E741" s="218">
        <v>15</v>
      </c>
    </row>
    <row r="742" spans="1:5" x14ac:dyDescent="0.35">
      <c r="A742" s="3" t="str">
        <f>IF(D742="","",(VLOOKUP($D742,KEY!$B$5:$D$74,3,FALSE)))</f>
        <v>Arizona</v>
      </c>
      <c r="B742" s="221">
        <v>45231</v>
      </c>
      <c r="C742" s="221" t="str">
        <f>IFERROR(VLOOKUP($B742,KEY!$AE$19:$AH$60,2,FALSE),"")</f>
        <v>2023-Q4</v>
      </c>
      <c r="D742" s="3" t="s">
        <v>196</v>
      </c>
      <c r="E742" s="218">
        <v>5</v>
      </c>
    </row>
    <row r="743" spans="1:5" x14ac:dyDescent="0.35">
      <c r="A743" s="3" t="str">
        <f>IF(D743="","",(VLOOKUP($D743,KEY!$B$5:$D$74,3,FALSE)))</f>
        <v>Arizona</v>
      </c>
      <c r="B743" s="221">
        <v>45231</v>
      </c>
      <c r="C743" s="221" t="str">
        <f>IFERROR(VLOOKUP($B743,KEY!$AE$19:$AH$60,2,FALSE),"")</f>
        <v>2023-Q4</v>
      </c>
      <c r="D743" s="3" t="s">
        <v>197</v>
      </c>
      <c r="E743" s="218">
        <v>10</v>
      </c>
    </row>
    <row r="744" spans="1:5" x14ac:dyDescent="0.35">
      <c r="A744" s="3" t="e">
        <f>IF(D744="","",(VLOOKUP($D744,KEY!$B$5:$D$74,3,FALSE)))</f>
        <v>#N/A</v>
      </c>
      <c r="B744" s="221">
        <v>45231</v>
      </c>
      <c r="C744" s="221" t="str">
        <f>IFERROR(VLOOKUP($B744,KEY!$AE$19:$AH$60,2,FALSE),"")</f>
        <v>2023-Q4</v>
      </c>
      <c r="D744" s="3" t="s">
        <v>134</v>
      </c>
      <c r="E744" s="218">
        <v>4</v>
      </c>
    </row>
    <row r="745" spans="1:5" x14ac:dyDescent="0.35">
      <c r="A745" s="3" t="str">
        <f>IF(D745="","",(VLOOKUP($D745,KEY!$B$5:$D$74,3,FALSE)))</f>
        <v>Southern California</v>
      </c>
      <c r="B745" s="221">
        <v>45231</v>
      </c>
      <c r="C745" s="221" t="str">
        <f>IFERROR(VLOOKUP($B745,KEY!$AE$19:$AH$60,2,FALSE),"")</f>
        <v>2023-Q4</v>
      </c>
      <c r="D745" s="3" t="s">
        <v>135</v>
      </c>
      <c r="E745" s="218">
        <v>17</v>
      </c>
    </row>
    <row r="746" spans="1:5" x14ac:dyDescent="0.35">
      <c r="A746" s="3" t="str">
        <f>IF(D746="","",(VLOOKUP($D746,KEY!$B$5:$D$74,3,FALSE)))</f>
        <v>Texas</v>
      </c>
      <c r="B746" s="221">
        <v>45231</v>
      </c>
      <c r="C746" s="221" t="str">
        <f>IFERROR(VLOOKUP($B746,KEY!$AE$19:$AH$60,2,FALSE),"")</f>
        <v>2023-Q4</v>
      </c>
      <c r="D746" s="222" t="s">
        <v>136</v>
      </c>
      <c r="E746" s="218">
        <v>16</v>
      </c>
    </row>
    <row r="747" spans="1:5" x14ac:dyDescent="0.35">
      <c r="A747" s="3" t="str">
        <f>IF(D747="","",(VLOOKUP($D747,KEY!$B$5:$D$74,3,FALSE)))</f>
        <v>Arizona</v>
      </c>
      <c r="B747" s="221">
        <v>45231</v>
      </c>
      <c r="C747" s="221" t="str">
        <f>IFERROR(VLOOKUP($B747,KEY!$AE$19:$AH$60,2,FALSE),"")</f>
        <v>2023-Q4</v>
      </c>
      <c r="D747" s="222" t="s">
        <v>137</v>
      </c>
      <c r="E747" s="218">
        <v>9</v>
      </c>
    </row>
    <row r="748" spans="1:5" x14ac:dyDescent="0.35">
      <c r="A748" s="3" t="str">
        <f>IF(D748="","",(VLOOKUP($D748,KEY!$B$5:$D$74,3,FALSE)))</f>
        <v>Texas</v>
      </c>
      <c r="B748" s="221">
        <v>45231</v>
      </c>
      <c r="C748" s="221" t="str">
        <f>IFERROR(VLOOKUP($B748,KEY!$AE$19:$AH$60,2,FALSE),"")</f>
        <v>2023-Q4</v>
      </c>
      <c r="D748" s="222" t="s">
        <v>138</v>
      </c>
      <c r="E748" s="218">
        <v>8</v>
      </c>
    </row>
    <row r="749" spans="1:5" x14ac:dyDescent="0.35">
      <c r="A749" s="3" t="str">
        <f>IF(D749="","",(VLOOKUP($D749,KEY!$B$5:$D$74,3,FALSE)))</f>
        <v>Southern California</v>
      </c>
      <c r="B749" s="221">
        <v>45231</v>
      </c>
      <c r="C749" s="221" t="str">
        <f>IFERROR(VLOOKUP($B749,KEY!$AE$19:$AH$60,2,FALSE),"")</f>
        <v>2023-Q4</v>
      </c>
      <c r="D749" s="222" t="s">
        <v>139</v>
      </c>
      <c r="E749" s="218">
        <v>12</v>
      </c>
    </row>
    <row r="750" spans="1:5" x14ac:dyDescent="0.35">
      <c r="A750" s="3" t="str">
        <f>IF(D750="","",(VLOOKUP($D750,KEY!$B$5:$D$74,3,FALSE)))</f>
        <v>Orange County</v>
      </c>
      <c r="B750" s="221">
        <v>45231</v>
      </c>
      <c r="C750" s="221" t="str">
        <f>IFERROR(VLOOKUP($B750,KEY!$AE$19:$AH$60,2,FALSE),"")</f>
        <v>2023-Q4</v>
      </c>
      <c r="D750" s="222" t="s">
        <v>140</v>
      </c>
      <c r="E750" s="218">
        <v>3</v>
      </c>
    </row>
    <row r="751" spans="1:5" x14ac:dyDescent="0.35">
      <c r="A751" s="3" t="str">
        <f>IF(D751="","",(VLOOKUP($D751,KEY!$B$5:$D$74,3,FALSE)))</f>
        <v>Southern California</v>
      </c>
      <c r="B751" s="221">
        <v>45231</v>
      </c>
      <c r="C751" s="221" t="str">
        <f>IFERROR(VLOOKUP($B751,KEY!$AE$19:$AH$60,2,FALSE),"")</f>
        <v>2023-Q4</v>
      </c>
      <c r="D751" s="222" t="s">
        <v>142</v>
      </c>
      <c r="E751" s="218">
        <v>6</v>
      </c>
    </row>
    <row r="752" spans="1:5" x14ac:dyDescent="0.35">
      <c r="A752" s="3" t="str">
        <f>IF(D752="","",(VLOOKUP($D752,KEY!$B$5:$D$74,3,FALSE)))</f>
        <v>Arizona</v>
      </c>
      <c r="B752" s="221">
        <v>45231</v>
      </c>
      <c r="C752" s="221" t="str">
        <f>IFERROR(VLOOKUP($B752,KEY!$AE$19:$AH$60,2,FALSE),"")</f>
        <v>2023-Q4</v>
      </c>
      <c r="D752" s="222" t="s">
        <v>143</v>
      </c>
      <c r="E752" s="218">
        <v>7</v>
      </c>
    </row>
    <row r="753" spans="1:5" x14ac:dyDescent="0.35">
      <c r="A753" s="3" t="str">
        <f>IF(D753="","",(VLOOKUP($D753,KEY!$B$5:$D$74,3,FALSE)))</f>
        <v>Arizona</v>
      </c>
      <c r="B753" s="221">
        <v>45231</v>
      </c>
      <c r="C753" s="221" t="str">
        <f>IFERROR(VLOOKUP($B753,KEY!$AE$19:$AH$60,2,FALSE),"")</f>
        <v>2023-Q4</v>
      </c>
      <c r="D753" s="222" t="s">
        <v>144</v>
      </c>
      <c r="E753" s="218">
        <v>16</v>
      </c>
    </row>
    <row r="754" spans="1:5" x14ac:dyDescent="0.35">
      <c r="A754" s="3" t="str">
        <f>IF(D754="","",(VLOOKUP($D754,KEY!$B$5:$D$74,3,FALSE)))</f>
        <v>Southern California</v>
      </c>
      <c r="B754" s="221">
        <v>45231</v>
      </c>
      <c r="C754" s="221" t="str">
        <f>IFERROR(VLOOKUP($B754,KEY!$AE$19:$AH$60,2,FALSE),"")</f>
        <v>2023-Q4</v>
      </c>
      <c r="D754" s="222" t="s">
        <v>145</v>
      </c>
      <c r="E754" s="218">
        <v>14</v>
      </c>
    </row>
    <row r="755" spans="1:5" x14ac:dyDescent="0.35">
      <c r="A755" s="3" t="str">
        <f>IF(D755="","",(VLOOKUP($D755,KEY!$B$5:$D$74,3,FALSE)))</f>
        <v>Arizona</v>
      </c>
      <c r="B755" s="221">
        <v>45231</v>
      </c>
      <c r="C755" s="221" t="str">
        <f>IFERROR(VLOOKUP($B755,KEY!$AE$19:$AH$60,2,FALSE),"")</f>
        <v>2023-Q4</v>
      </c>
      <c r="D755" s="222" t="s">
        <v>146</v>
      </c>
      <c r="E755" s="218">
        <v>4</v>
      </c>
    </row>
    <row r="756" spans="1:5" x14ac:dyDescent="0.35">
      <c r="A756" s="3" t="str">
        <f>IF(D756="","",(VLOOKUP($D756,KEY!$B$5:$D$74,3,FALSE)))</f>
        <v>Texas</v>
      </c>
      <c r="B756" s="221">
        <v>45231</v>
      </c>
      <c r="C756" s="221" t="str">
        <f>IFERROR(VLOOKUP($B756,KEY!$AE$19:$AH$60,2,FALSE),"")</f>
        <v>2023-Q4</v>
      </c>
      <c r="D756" s="222" t="s">
        <v>147</v>
      </c>
      <c r="E756" s="218">
        <v>4</v>
      </c>
    </row>
    <row r="757" spans="1:5" x14ac:dyDescent="0.35">
      <c r="A757" s="3" t="str">
        <f>IF(D757="","",(VLOOKUP($D757,KEY!$B$5:$D$74,3,FALSE)))</f>
        <v>Northern California</v>
      </c>
      <c r="B757" s="221">
        <v>45231</v>
      </c>
      <c r="C757" s="221" t="str">
        <f>IFERROR(VLOOKUP($B757,KEY!$AE$19:$AH$60,2,FALSE),"")</f>
        <v>2023-Q4</v>
      </c>
      <c r="D757" s="222" t="s">
        <v>148</v>
      </c>
      <c r="E757" s="218">
        <v>4</v>
      </c>
    </row>
    <row r="758" spans="1:5" x14ac:dyDescent="0.35">
      <c r="A758" s="3" t="str">
        <f>IF(D758="","",(VLOOKUP($D758,KEY!$B$5:$D$74,3,FALSE)))</f>
        <v>Orange County</v>
      </c>
      <c r="B758" s="221">
        <v>45231</v>
      </c>
      <c r="C758" s="221" t="str">
        <f>IFERROR(VLOOKUP($B758,KEY!$AE$19:$AH$60,2,FALSE),"")</f>
        <v>2023-Q4</v>
      </c>
      <c r="D758" s="222" t="s">
        <v>149</v>
      </c>
      <c r="E758" s="218">
        <v>3</v>
      </c>
    </row>
    <row r="759" spans="1:5" x14ac:dyDescent="0.35">
      <c r="A759" s="3" t="str">
        <f>IF(D759="","",(VLOOKUP($D759,KEY!$B$5:$D$74,3,FALSE)))</f>
        <v>Southern California</v>
      </c>
      <c r="B759" s="221">
        <v>45231</v>
      </c>
      <c r="C759" s="221" t="str">
        <f>IFERROR(VLOOKUP($B759,KEY!$AE$19:$AH$60,2,FALSE),"")</f>
        <v>2023-Q4</v>
      </c>
      <c r="D759" s="222" t="s">
        <v>150</v>
      </c>
      <c r="E759" s="218">
        <v>3</v>
      </c>
    </row>
    <row r="760" spans="1:5" x14ac:dyDescent="0.35">
      <c r="A760" s="3" t="str">
        <f>IF(D760="","",(VLOOKUP($D760,KEY!$B$5:$D$74,3,FALSE)))</f>
        <v>Arizona</v>
      </c>
      <c r="B760" s="221">
        <v>45231</v>
      </c>
      <c r="C760" s="221" t="str">
        <f>IFERROR(VLOOKUP($B760,KEY!$AE$19:$AH$60,2,FALSE),"")</f>
        <v>2023-Q4</v>
      </c>
      <c r="D760" s="222" t="s">
        <v>151</v>
      </c>
      <c r="E760" s="218">
        <v>4</v>
      </c>
    </row>
    <row r="761" spans="1:5" x14ac:dyDescent="0.35">
      <c r="A761" s="3" t="str">
        <f>IF(D761="","",(VLOOKUP($D761,KEY!$B$5:$D$74,3,FALSE)))</f>
        <v>Northern California</v>
      </c>
      <c r="B761" s="221">
        <v>45231</v>
      </c>
      <c r="C761" s="221" t="str">
        <f>IFERROR(VLOOKUP($B761,KEY!$AE$19:$AH$60,2,FALSE),"")</f>
        <v>2023-Q4</v>
      </c>
      <c r="D761" s="222" t="s">
        <v>152</v>
      </c>
      <c r="E761" s="218">
        <v>13</v>
      </c>
    </row>
    <row r="762" spans="1:5" x14ac:dyDescent="0.35">
      <c r="A762" s="3" t="str">
        <f>IF(D762="","",(VLOOKUP($D762,KEY!$B$5:$D$74,3,FALSE)))</f>
        <v>Arizona</v>
      </c>
      <c r="B762" s="221">
        <v>45231</v>
      </c>
      <c r="C762" s="221" t="str">
        <f>IFERROR(VLOOKUP($B762,KEY!$AE$19:$AH$60,2,FALSE),"")</f>
        <v>2023-Q4</v>
      </c>
      <c r="D762" s="222" t="s">
        <v>153</v>
      </c>
      <c r="E762" s="218">
        <v>13</v>
      </c>
    </row>
    <row r="763" spans="1:5" x14ac:dyDescent="0.35">
      <c r="A763" s="3" t="str">
        <f>IF(D763="","",(VLOOKUP($D763,KEY!$B$5:$D$74,3,FALSE)))</f>
        <v>Northern California</v>
      </c>
      <c r="B763" s="221">
        <v>45231</v>
      </c>
      <c r="C763" s="221" t="str">
        <f>IFERROR(VLOOKUP($B763,KEY!$AE$19:$AH$60,2,FALSE),"")</f>
        <v>2023-Q4</v>
      </c>
      <c r="D763" s="222" t="s">
        <v>154</v>
      </c>
      <c r="E763" s="218">
        <v>6</v>
      </c>
    </row>
    <row r="764" spans="1:5" x14ac:dyDescent="0.35">
      <c r="A764" s="3" t="str">
        <f>IF(D764="","",(VLOOKUP($D764,KEY!$B$5:$D$74,3,FALSE)))</f>
        <v>Texas</v>
      </c>
      <c r="B764" s="221">
        <v>45231</v>
      </c>
      <c r="C764" s="221" t="str">
        <f>IFERROR(VLOOKUP($B764,KEY!$AE$19:$AH$60,2,FALSE),"")</f>
        <v>2023-Q4</v>
      </c>
      <c r="D764" s="222" t="s">
        <v>155</v>
      </c>
      <c r="E764" s="218">
        <v>23</v>
      </c>
    </row>
    <row r="765" spans="1:5" x14ac:dyDescent="0.35">
      <c r="A765" s="3" t="str">
        <f>IF(D765="","",(VLOOKUP($D765,KEY!$B$5:$D$74,3,FALSE)))</f>
        <v>Texas</v>
      </c>
      <c r="B765" s="221">
        <v>45231</v>
      </c>
      <c r="C765" s="221" t="str">
        <f>IFERROR(VLOOKUP($B765,KEY!$AE$19:$AH$60,2,FALSE),"")</f>
        <v>2023-Q4</v>
      </c>
      <c r="D765" s="222" t="s">
        <v>156</v>
      </c>
      <c r="E765" s="218">
        <v>20</v>
      </c>
    </row>
    <row r="766" spans="1:5" x14ac:dyDescent="0.35">
      <c r="A766" s="3" t="str">
        <f>IF(D766="","",(VLOOKUP($D766,KEY!$B$5:$D$74,3,FALSE)))</f>
        <v>Texas</v>
      </c>
      <c r="B766" s="221">
        <v>45231</v>
      </c>
      <c r="C766" s="221" t="str">
        <f>IFERROR(VLOOKUP($B766,KEY!$AE$19:$AH$60,2,FALSE),"")</f>
        <v>2023-Q4</v>
      </c>
      <c r="D766" s="222" t="s">
        <v>157</v>
      </c>
      <c r="E766" s="218">
        <v>22</v>
      </c>
    </row>
    <row r="767" spans="1:5" x14ac:dyDescent="0.35">
      <c r="A767" s="3" t="str">
        <f>IF(D767="","",(VLOOKUP($D767,KEY!$B$5:$D$74,3,FALSE)))</f>
        <v>Arizona</v>
      </c>
      <c r="B767" s="221">
        <v>45231</v>
      </c>
      <c r="C767" s="221" t="str">
        <f>IFERROR(VLOOKUP($B767,KEY!$AE$19:$AH$60,2,FALSE),"")</f>
        <v>2023-Q4</v>
      </c>
      <c r="D767" s="222" t="s">
        <v>158</v>
      </c>
      <c r="E767" s="218">
        <v>6</v>
      </c>
    </row>
    <row r="768" spans="1:5" x14ac:dyDescent="0.35">
      <c r="A768" s="3" t="str">
        <f>IF(D768="","",(VLOOKUP($D768,KEY!$B$5:$D$74,3,FALSE)))</f>
        <v>Orange County</v>
      </c>
      <c r="B768" s="221">
        <v>45231</v>
      </c>
      <c r="C768" s="221" t="str">
        <f>IFERROR(VLOOKUP($B768,KEY!$AE$19:$AH$60,2,FALSE),"")</f>
        <v>2023-Q4</v>
      </c>
      <c r="D768" s="222" t="s">
        <v>159</v>
      </c>
      <c r="E768" s="218">
        <v>8</v>
      </c>
    </row>
    <row r="769" spans="1:5" x14ac:dyDescent="0.35">
      <c r="A769" s="3" t="str">
        <f>IF(D769="","",(VLOOKUP($D769,KEY!$B$5:$D$74,3,FALSE)))</f>
        <v>Arizona</v>
      </c>
      <c r="B769" s="221">
        <v>45231</v>
      </c>
      <c r="C769" s="221" t="str">
        <f>IFERROR(VLOOKUP($B769,KEY!$AE$19:$AH$60,2,FALSE),"")</f>
        <v>2023-Q4</v>
      </c>
      <c r="D769" s="222" t="s">
        <v>160</v>
      </c>
      <c r="E769" s="218">
        <v>24</v>
      </c>
    </row>
    <row r="770" spans="1:5" x14ac:dyDescent="0.35">
      <c r="A770" s="3" t="str">
        <f>IF(D770="","",(VLOOKUP($D770,KEY!$B$5:$D$74,3,FALSE)))</f>
        <v>Northern California</v>
      </c>
      <c r="B770" s="221">
        <v>45231</v>
      </c>
      <c r="C770" s="221" t="str">
        <f>IFERROR(VLOOKUP($B770,KEY!$AE$19:$AH$60,2,FALSE),"")</f>
        <v>2023-Q4</v>
      </c>
      <c r="D770" s="222" t="s">
        <v>161</v>
      </c>
      <c r="E770" s="218">
        <v>20</v>
      </c>
    </row>
    <row r="771" spans="1:5" x14ac:dyDescent="0.35">
      <c r="A771" s="3" t="e">
        <f>IF(D771="","",(VLOOKUP($D771,KEY!$B$5:$D$74,3,FALSE)))</f>
        <v>#N/A</v>
      </c>
      <c r="B771" s="221">
        <v>45231</v>
      </c>
      <c r="C771" s="221" t="str">
        <f>IFERROR(VLOOKUP($B771,KEY!$AE$19:$AH$60,2,FALSE),"")</f>
        <v>2023-Q4</v>
      </c>
      <c r="D771" s="222" t="s">
        <v>162</v>
      </c>
      <c r="E771" s="218">
        <v>29</v>
      </c>
    </row>
    <row r="772" spans="1:5" x14ac:dyDescent="0.35">
      <c r="A772" s="3" t="str">
        <f>IF(D772="","",(VLOOKUP($D772,KEY!$B$5:$D$74,3,FALSE)))</f>
        <v>Arizona</v>
      </c>
      <c r="B772" s="221">
        <v>45231</v>
      </c>
      <c r="C772" s="221" t="str">
        <f>IFERROR(VLOOKUP($B772,KEY!$AE$19:$AH$60,2,FALSE),"")</f>
        <v>2023-Q4</v>
      </c>
      <c r="D772" s="222" t="s">
        <v>163</v>
      </c>
      <c r="E772" s="218">
        <v>17</v>
      </c>
    </row>
    <row r="773" spans="1:5" x14ac:dyDescent="0.35">
      <c r="A773" s="3" t="str">
        <f>IF(D773="","",(VLOOKUP($D773,KEY!$B$5:$D$74,3,FALSE)))</f>
        <v>Arizona</v>
      </c>
      <c r="B773" s="221">
        <v>45231</v>
      </c>
      <c r="C773" s="221" t="str">
        <f>IFERROR(VLOOKUP($B773,KEY!$AE$19:$AH$60,2,FALSE),"")</f>
        <v>2023-Q4</v>
      </c>
      <c r="D773" s="222" t="s">
        <v>164</v>
      </c>
      <c r="E773" s="218">
        <v>9</v>
      </c>
    </row>
    <row r="774" spans="1:5" x14ac:dyDescent="0.35">
      <c r="A774" s="3" t="str">
        <f>IF(D774="","",(VLOOKUP($D774,KEY!$B$5:$D$74,3,FALSE)))</f>
        <v>Orange County</v>
      </c>
      <c r="B774" s="221">
        <v>45231</v>
      </c>
      <c r="C774" s="221" t="str">
        <f>IFERROR(VLOOKUP($B774,KEY!$AE$19:$AH$60,2,FALSE),"")</f>
        <v>2023-Q4</v>
      </c>
      <c r="D774" s="222" t="s">
        <v>165</v>
      </c>
      <c r="E774" s="218">
        <v>8</v>
      </c>
    </row>
    <row r="775" spans="1:5" x14ac:dyDescent="0.35">
      <c r="A775" s="3" t="str">
        <f>IF(D775="","",(VLOOKUP($D775,KEY!$B$5:$D$74,3,FALSE)))</f>
        <v>Arizona</v>
      </c>
      <c r="B775" s="221">
        <v>45261</v>
      </c>
      <c r="C775" s="221" t="str">
        <f>IFERROR(VLOOKUP($B775,KEY!$AE$19:$AH$60,2,FALSE),"")</f>
        <v>2023-Q4</v>
      </c>
      <c r="D775" s="222" t="s">
        <v>111</v>
      </c>
      <c r="E775" s="218">
        <v>9</v>
      </c>
    </row>
    <row r="776" spans="1:5" x14ac:dyDescent="0.35">
      <c r="A776" s="3" t="str">
        <f>IF(D776="","",(VLOOKUP($D776,KEY!$B$5:$D$74,3,FALSE)))</f>
        <v>Southern California</v>
      </c>
      <c r="B776" s="221">
        <v>45261</v>
      </c>
      <c r="C776" s="221" t="str">
        <f>IFERROR(VLOOKUP($B776,KEY!$AE$19:$AH$60,2,FALSE),"")</f>
        <v>2023-Q4</v>
      </c>
      <c r="D776" s="222" t="s">
        <v>112</v>
      </c>
      <c r="E776" s="218">
        <v>4</v>
      </c>
    </row>
    <row r="777" spans="1:5" x14ac:dyDescent="0.35">
      <c r="A777" s="3" t="str">
        <f>IF(D777="","",(VLOOKUP($D777,KEY!$B$5:$D$74,3,FALSE)))</f>
        <v>Arizona</v>
      </c>
      <c r="B777" s="221">
        <v>45261</v>
      </c>
      <c r="C777" s="221" t="str">
        <f>IFERROR(VLOOKUP($B777,KEY!$AE$19:$AH$60,2,FALSE),"")</f>
        <v>2023-Q4</v>
      </c>
      <c r="D777" s="222" t="s">
        <v>113</v>
      </c>
      <c r="E777" s="218">
        <v>8</v>
      </c>
    </row>
    <row r="778" spans="1:5" x14ac:dyDescent="0.35">
      <c r="A778" s="3" t="str">
        <f>IF(D778="","",(VLOOKUP($D778,KEY!$B$5:$D$74,3,FALSE)))</f>
        <v>Southern California</v>
      </c>
      <c r="B778" s="221">
        <v>45261</v>
      </c>
      <c r="C778" s="221" t="str">
        <f>IFERROR(VLOOKUP($B778,KEY!$AE$19:$AH$60,2,FALSE),"")</f>
        <v>2023-Q4</v>
      </c>
      <c r="D778" s="222" t="s">
        <v>114</v>
      </c>
      <c r="E778" s="218">
        <v>7</v>
      </c>
    </row>
    <row r="779" spans="1:5" x14ac:dyDescent="0.35">
      <c r="A779" s="3" t="str">
        <f>IF(D779="","",(VLOOKUP($D779,KEY!$B$5:$D$74,3,FALSE)))</f>
        <v>Orange County</v>
      </c>
      <c r="B779" s="221">
        <v>45261</v>
      </c>
      <c r="C779" s="221" t="str">
        <f>IFERROR(VLOOKUP($B779,KEY!$AE$19:$AH$60,2,FALSE),"")</f>
        <v>2023-Q4</v>
      </c>
      <c r="D779" s="222" t="s">
        <v>115</v>
      </c>
      <c r="E779" s="218">
        <v>4</v>
      </c>
    </row>
    <row r="780" spans="1:5" x14ac:dyDescent="0.35">
      <c r="A780" s="3" t="str">
        <f>IF(D780="","",(VLOOKUP($D780,KEY!$B$5:$D$74,3,FALSE)))</f>
        <v>Arizona</v>
      </c>
      <c r="B780" s="221">
        <v>45261</v>
      </c>
      <c r="C780" s="221" t="str">
        <f>IFERROR(VLOOKUP($B780,KEY!$AE$19:$AH$60,2,FALSE),"")</f>
        <v>2023-Q4</v>
      </c>
      <c r="D780" s="222" t="s">
        <v>116</v>
      </c>
      <c r="E780" s="218">
        <v>14</v>
      </c>
    </row>
    <row r="781" spans="1:5" x14ac:dyDescent="0.35">
      <c r="A781" s="3" t="str">
        <f>IF(D781="","",(VLOOKUP($D781,KEY!$B$5:$D$74,3,FALSE)))</f>
        <v>Orange County</v>
      </c>
      <c r="B781" s="221">
        <v>45261</v>
      </c>
      <c r="C781" s="221" t="str">
        <f>IFERROR(VLOOKUP($B781,KEY!$AE$19:$AH$60,2,FALSE),"")</f>
        <v>2023-Q4</v>
      </c>
      <c r="D781" s="222" t="s">
        <v>117</v>
      </c>
      <c r="E781" s="218">
        <v>10</v>
      </c>
    </row>
    <row r="782" spans="1:5" x14ac:dyDescent="0.35">
      <c r="A782" s="3" t="str">
        <f>IF(D782="","",(VLOOKUP($D782,KEY!$B$5:$D$74,3,FALSE)))</f>
        <v>Northern California</v>
      </c>
      <c r="B782" s="221">
        <v>45261</v>
      </c>
      <c r="C782" s="221" t="str">
        <f>IFERROR(VLOOKUP($B782,KEY!$AE$19:$AH$60,2,FALSE),"")</f>
        <v>2023-Q4</v>
      </c>
      <c r="D782" s="222" t="s">
        <v>118</v>
      </c>
      <c r="E782" s="218">
        <v>12</v>
      </c>
    </row>
    <row r="783" spans="1:5" x14ac:dyDescent="0.35">
      <c r="A783" s="3" t="str">
        <f>IF(D783="","",(VLOOKUP($D783,KEY!$B$5:$D$74,3,FALSE)))</f>
        <v>Arizona</v>
      </c>
      <c r="B783" s="221">
        <v>45261</v>
      </c>
      <c r="C783" s="221" t="str">
        <f>IFERROR(VLOOKUP($B783,KEY!$AE$19:$AH$60,2,FALSE),"")</f>
        <v>2023-Q4</v>
      </c>
      <c r="D783" s="222" t="s">
        <v>119</v>
      </c>
      <c r="E783" s="218">
        <v>4</v>
      </c>
    </row>
    <row r="784" spans="1:5" x14ac:dyDescent="0.35">
      <c r="A784" s="3" t="str">
        <f>IF(D784="","",(VLOOKUP($D784,KEY!$B$5:$D$74,3,FALSE)))</f>
        <v>Arizona</v>
      </c>
      <c r="B784" s="221">
        <v>45261</v>
      </c>
      <c r="C784" s="221" t="str">
        <f>IFERROR(VLOOKUP($B784,KEY!$AE$19:$AH$60,2,FALSE),"")</f>
        <v>2023-Q4</v>
      </c>
      <c r="D784" s="222" t="s">
        <v>120</v>
      </c>
      <c r="E784" s="218">
        <v>26</v>
      </c>
    </row>
    <row r="785" spans="1:5" x14ac:dyDescent="0.35">
      <c r="A785" s="3" t="str">
        <f>IF(D785="","",(VLOOKUP($D785,KEY!$B$5:$D$74,3,FALSE)))</f>
        <v>Texas</v>
      </c>
      <c r="B785" s="221">
        <v>45261</v>
      </c>
      <c r="C785" s="221" t="str">
        <f>IFERROR(VLOOKUP($B785,KEY!$AE$19:$AH$60,2,FALSE),"")</f>
        <v>2023-Q4</v>
      </c>
      <c r="D785" s="222" t="s">
        <v>121</v>
      </c>
      <c r="E785" s="218">
        <v>21</v>
      </c>
    </row>
    <row r="786" spans="1:5" x14ac:dyDescent="0.35">
      <c r="A786" s="3" t="str">
        <f>IF(D786="","",(VLOOKUP($D786,KEY!$B$5:$D$74,3,FALSE)))</f>
        <v>Southern California</v>
      </c>
      <c r="B786" s="221">
        <v>45261</v>
      </c>
      <c r="C786" s="221" t="str">
        <f>IFERROR(VLOOKUP($B786,KEY!$AE$19:$AH$60,2,FALSE),"")</f>
        <v>2023-Q4</v>
      </c>
      <c r="D786" s="222" t="s">
        <v>122</v>
      </c>
      <c r="E786" s="218">
        <v>10</v>
      </c>
    </row>
    <row r="787" spans="1:5" x14ac:dyDescent="0.35">
      <c r="A787" s="3" t="str">
        <f>IF(D787="","",(VLOOKUP($D787,KEY!$B$5:$D$74,3,FALSE)))</f>
        <v>Orange County</v>
      </c>
      <c r="B787" s="221">
        <v>45261</v>
      </c>
      <c r="C787" s="221" t="str">
        <f>IFERROR(VLOOKUP($B787,KEY!$AE$19:$AH$60,2,FALSE),"")</f>
        <v>2023-Q4</v>
      </c>
      <c r="D787" s="222" t="s">
        <v>123</v>
      </c>
      <c r="E787" s="218">
        <v>18</v>
      </c>
    </row>
    <row r="788" spans="1:5" x14ac:dyDescent="0.35">
      <c r="A788" s="3" t="str">
        <f>IF(D788="","",(VLOOKUP($D788,KEY!$B$5:$D$74,3,FALSE)))</f>
        <v>Southern California</v>
      </c>
      <c r="B788" s="221">
        <v>45261</v>
      </c>
      <c r="C788" s="221" t="str">
        <f>IFERROR(VLOOKUP($B788,KEY!$AE$19:$AH$60,2,FALSE),"")</f>
        <v>2023-Q4</v>
      </c>
      <c r="D788" s="222" t="s">
        <v>124</v>
      </c>
      <c r="E788" s="218">
        <v>21</v>
      </c>
    </row>
    <row r="789" spans="1:5" x14ac:dyDescent="0.35">
      <c r="A789" s="3" t="str">
        <f>IF(D789="","",(VLOOKUP($D789,KEY!$B$5:$D$74,3,FALSE)))</f>
        <v>Northern California</v>
      </c>
      <c r="B789" s="221">
        <v>45261</v>
      </c>
      <c r="C789" s="221" t="str">
        <f>IFERROR(VLOOKUP($B789,KEY!$AE$19:$AH$60,2,FALSE),"")</f>
        <v>2023-Q4</v>
      </c>
      <c r="D789" s="222" t="s">
        <v>195</v>
      </c>
      <c r="E789" s="218">
        <v>6</v>
      </c>
    </row>
    <row r="790" spans="1:5" x14ac:dyDescent="0.35">
      <c r="A790" s="3" t="str">
        <f>IF(D790="","",(VLOOKUP($D790,KEY!$B$5:$D$74,3,FALSE)))</f>
        <v>Northern California</v>
      </c>
      <c r="B790" s="221">
        <v>45261</v>
      </c>
      <c r="C790" s="221" t="str">
        <f>IFERROR(VLOOKUP($B790,KEY!$AE$19:$AH$60,2,FALSE),"")</f>
        <v>2023-Q4</v>
      </c>
      <c r="D790" s="222" t="s">
        <v>125</v>
      </c>
      <c r="E790" s="218">
        <v>20</v>
      </c>
    </row>
    <row r="791" spans="1:5" x14ac:dyDescent="0.35">
      <c r="A791" s="3" t="str">
        <f>IF(D791="","",(VLOOKUP($D791,KEY!$B$5:$D$74,3,FALSE)))</f>
        <v>Orange County</v>
      </c>
      <c r="B791" s="221">
        <v>45261</v>
      </c>
      <c r="C791" s="221" t="str">
        <f>IFERROR(VLOOKUP($B791,KEY!$AE$19:$AH$60,2,FALSE),"")</f>
        <v>2023-Q4</v>
      </c>
      <c r="D791" s="222" t="s">
        <v>126</v>
      </c>
      <c r="E791" s="218">
        <v>38</v>
      </c>
    </row>
    <row r="792" spans="1:5" x14ac:dyDescent="0.35">
      <c r="A792" s="3" t="str">
        <f>IF(D792="","",(VLOOKUP($D792,KEY!$B$5:$D$74,3,FALSE)))</f>
        <v>Orange County</v>
      </c>
      <c r="B792" s="221">
        <v>45261</v>
      </c>
      <c r="C792" s="221" t="str">
        <f>IFERROR(VLOOKUP($B792,KEY!$AE$19:$AH$60,2,FALSE),"")</f>
        <v>2023-Q4</v>
      </c>
      <c r="D792" s="222" t="s">
        <v>127</v>
      </c>
      <c r="E792" s="218">
        <v>5</v>
      </c>
    </row>
    <row r="793" spans="1:5" x14ac:dyDescent="0.35">
      <c r="A793" s="3" t="str">
        <f>IF(D793="","",(VLOOKUP($D793,KEY!$B$5:$D$74,3,FALSE)))</f>
        <v>Texas</v>
      </c>
      <c r="B793" s="221">
        <v>45261</v>
      </c>
      <c r="C793" s="221" t="str">
        <f>IFERROR(VLOOKUP($B793,KEY!$AE$19:$AH$60,2,FALSE),"")</f>
        <v>2023-Q4</v>
      </c>
      <c r="D793" s="222" t="s">
        <v>128</v>
      </c>
      <c r="E793" s="218">
        <v>15</v>
      </c>
    </row>
    <row r="794" spans="1:5" x14ac:dyDescent="0.35">
      <c r="A794" s="3" t="str">
        <f>IF(D794="","",(VLOOKUP($D794,KEY!$B$5:$D$74,3,FALSE)))</f>
        <v>Northern California</v>
      </c>
      <c r="B794" s="221">
        <v>45261</v>
      </c>
      <c r="C794" s="221" t="str">
        <f>IFERROR(VLOOKUP($B794,KEY!$AE$19:$AH$60,2,FALSE),"")</f>
        <v>2023-Q4</v>
      </c>
      <c r="D794" s="222" t="s">
        <v>129</v>
      </c>
      <c r="E794" s="218">
        <v>14</v>
      </c>
    </row>
    <row r="795" spans="1:5" x14ac:dyDescent="0.35">
      <c r="A795" s="3" t="str">
        <f>IF(D795="","",(VLOOKUP($D795,KEY!$B$5:$D$74,3,FALSE)))</f>
        <v>Southern California</v>
      </c>
      <c r="B795" s="221">
        <v>45261</v>
      </c>
      <c r="C795" s="221" t="str">
        <f>IFERROR(VLOOKUP($B795,KEY!$AE$19:$AH$60,2,FALSE),"")</f>
        <v>2023-Q4</v>
      </c>
      <c r="D795" s="222" t="s">
        <v>130</v>
      </c>
      <c r="E795" s="218">
        <v>8</v>
      </c>
    </row>
    <row r="796" spans="1:5" x14ac:dyDescent="0.35">
      <c r="A796" s="3">
        <f>IF(D796="","",(VLOOKUP($D796,KEY!$B$5:$D$74,3,FALSE)))</f>
        <v>0</v>
      </c>
      <c r="B796" s="221">
        <v>45261</v>
      </c>
      <c r="C796" s="221" t="str">
        <f>IFERROR(VLOOKUP($B796,KEY!$AE$19:$AH$60,2,FALSE),"")</f>
        <v>2023-Q4</v>
      </c>
      <c r="D796" s="222" t="s">
        <v>131</v>
      </c>
      <c r="E796" s="218">
        <v>16</v>
      </c>
    </row>
    <row r="797" spans="1:5" x14ac:dyDescent="0.35">
      <c r="A797" s="3" t="e">
        <f>IF(D797="","",(VLOOKUP($D797,KEY!$B$5:$D$74,3,FALSE)))</f>
        <v>#N/A</v>
      </c>
      <c r="B797" s="221">
        <v>45261</v>
      </c>
      <c r="C797" s="221" t="str">
        <f>IFERROR(VLOOKUP($B797,KEY!$AE$19:$AH$60,2,FALSE),"")</f>
        <v>2023-Q4</v>
      </c>
      <c r="D797" s="222" t="s">
        <v>134</v>
      </c>
      <c r="E797" s="218">
        <v>4</v>
      </c>
    </row>
    <row r="798" spans="1:5" x14ac:dyDescent="0.35">
      <c r="A798" s="3" t="str">
        <f>IF(D798="","",(VLOOKUP($D798,KEY!$B$5:$D$74,3,FALSE)))</f>
        <v>Southern California</v>
      </c>
      <c r="B798" s="221">
        <v>45261</v>
      </c>
      <c r="C798" s="221" t="str">
        <f>IFERROR(VLOOKUP($B798,KEY!$AE$19:$AH$60,2,FALSE),"")</f>
        <v>2023-Q4</v>
      </c>
      <c r="D798" s="222" t="s">
        <v>135</v>
      </c>
      <c r="E798" s="218">
        <v>17</v>
      </c>
    </row>
    <row r="799" spans="1:5" x14ac:dyDescent="0.35">
      <c r="A799" s="3" t="str">
        <f>IF(D799="","",(VLOOKUP($D799,KEY!$B$5:$D$74,3,FALSE)))</f>
        <v>Arizona</v>
      </c>
      <c r="B799" s="221">
        <v>45261</v>
      </c>
      <c r="C799" s="221" t="str">
        <f>IFERROR(VLOOKUP($B799,KEY!$AE$19:$AH$60,2,FALSE),"")</f>
        <v>2023-Q4</v>
      </c>
      <c r="D799" s="222" t="s">
        <v>196</v>
      </c>
      <c r="E799" s="218">
        <v>5</v>
      </c>
    </row>
    <row r="800" spans="1:5" x14ac:dyDescent="0.35">
      <c r="A800" s="3" t="str">
        <f>IF(D800="","",(VLOOKUP($D800,KEY!$B$5:$D$74,3,FALSE)))</f>
        <v>Arizona</v>
      </c>
      <c r="B800" s="221">
        <v>45261</v>
      </c>
      <c r="C800" s="221" t="str">
        <f>IFERROR(VLOOKUP($B800,KEY!$AE$19:$AH$60,2,FALSE),"")</f>
        <v>2023-Q4</v>
      </c>
      <c r="D800" s="222" t="s">
        <v>197</v>
      </c>
      <c r="E800" s="218">
        <v>10</v>
      </c>
    </row>
    <row r="801" spans="1:5" x14ac:dyDescent="0.35">
      <c r="A801" s="3" t="str">
        <f>IF(D801="","",(VLOOKUP($D801,KEY!$B$5:$D$74,3,FALSE)))</f>
        <v>Texas</v>
      </c>
      <c r="B801" s="221">
        <v>45261</v>
      </c>
      <c r="C801" s="221" t="str">
        <f>IFERROR(VLOOKUP($B801,KEY!$AE$19:$AH$60,2,FALSE),"")</f>
        <v>2023-Q4</v>
      </c>
      <c r="D801" s="222" t="s">
        <v>136</v>
      </c>
      <c r="E801" s="218">
        <v>16</v>
      </c>
    </row>
    <row r="802" spans="1:5" x14ac:dyDescent="0.35">
      <c r="A802" s="3" t="str">
        <f>IF(D802="","",(VLOOKUP($D802,KEY!$B$5:$D$74,3,FALSE)))</f>
        <v>Arizona</v>
      </c>
      <c r="B802" s="221">
        <v>45261</v>
      </c>
      <c r="C802" s="221" t="str">
        <f>IFERROR(VLOOKUP($B802,KEY!$AE$19:$AH$60,2,FALSE),"")</f>
        <v>2023-Q4</v>
      </c>
      <c r="D802" s="222" t="s">
        <v>137</v>
      </c>
      <c r="E802" s="218">
        <v>9</v>
      </c>
    </row>
    <row r="803" spans="1:5" x14ac:dyDescent="0.35">
      <c r="A803" s="3" t="str">
        <f>IF(D803="","",(VLOOKUP($D803,KEY!$B$5:$D$74,3,FALSE)))</f>
        <v>Texas</v>
      </c>
      <c r="B803" s="221">
        <v>45261</v>
      </c>
      <c r="C803" s="221" t="str">
        <f>IFERROR(VLOOKUP($B803,KEY!$AE$19:$AH$60,2,FALSE),"")</f>
        <v>2023-Q4</v>
      </c>
      <c r="D803" s="222" t="s">
        <v>138</v>
      </c>
      <c r="E803" s="218">
        <v>8</v>
      </c>
    </row>
    <row r="804" spans="1:5" x14ac:dyDescent="0.35">
      <c r="A804" s="3" t="str">
        <f>IF(D804="","",(VLOOKUP($D804,KEY!$B$5:$D$74,3,FALSE)))</f>
        <v>Southern California</v>
      </c>
      <c r="B804" s="221">
        <v>45261</v>
      </c>
      <c r="C804" s="221" t="str">
        <f>IFERROR(VLOOKUP($B804,KEY!$AE$19:$AH$60,2,FALSE),"")</f>
        <v>2023-Q4</v>
      </c>
      <c r="D804" s="222" t="s">
        <v>139</v>
      </c>
      <c r="E804" s="218">
        <v>13</v>
      </c>
    </row>
    <row r="805" spans="1:5" x14ac:dyDescent="0.35">
      <c r="A805" s="3" t="str">
        <f>IF(D805="","",(VLOOKUP($D805,KEY!$B$5:$D$74,3,FALSE)))</f>
        <v>Orange County</v>
      </c>
      <c r="B805" s="221">
        <v>45261</v>
      </c>
      <c r="C805" s="221" t="str">
        <f>IFERROR(VLOOKUP($B805,KEY!$AE$19:$AH$60,2,FALSE),"")</f>
        <v>2023-Q4</v>
      </c>
      <c r="D805" s="222" t="s">
        <v>140</v>
      </c>
      <c r="E805" s="218">
        <v>3</v>
      </c>
    </row>
    <row r="806" spans="1:5" x14ac:dyDescent="0.35">
      <c r="A806" s="3" t="str">
        <f>IF(D806="","",(VLOOKUP($D806,KEY!$B$5:$D$74,3,FALSE)))</f>
        <v>Southern California</v>
      </c>
      <c r="B806" s="221">
        <v>45261</v>
      </c>
      <c r="C806" s="221" t="str">
        <f>IFERROR(VLOOKUP($B806,KEY!$AE$19:$AH$60,2,FALSE),"")</f>
        <v>2023-Q4</v>
      </c>
      <c r="D806" s="222" t="s">
        <v>142</v>
      </c>
      <c r="E806" s="218">
        <v>6</v>
      </c>
    </row>
    <row r="807" spans="1:5" x14ac:dyDescent="0.35">
      <c r="A807" s="3" t="str">
        <f>IF(D807="","",(VLOOKUP($D807,KEY!$B$5:$D$74,3,FALSE)))</f>
        <v>Arizona</v>
      </c>
      <c r="B807" s="221">
        <v>45261</v>
      </c>
      <c r="C807" s="221" t="str">
        <f>IFERROR(VLOOKUP($B807,KEY!$AE$19:$AH$60,2,FALSE),"")</f>
        <v>2023-Q4</v>
      </c>
      <c r="D807" s="222" t="s">
        <v>143</v>
      </c>
      <c r="E807" s="218">
        <v>8</v>
      </c>
    </row>
    <row r="808" spans="1:5" x14ac:dyDescent="0.35">
      <c r="A808" s="3" t="str">
        <f>IF(D808="","",(VLOOKUP($D808,KEY!$B$5:$D$74,3,FALSE)))</f>
        <v>Arizona</v>
      </c>
      <c r="B808" s="221">
        <v>45261</v>
      </c>
      <c r="C808" s="221" t="str">
        <f>IFERROR(VLOOKUP($B808,KEY!$AE$19:$AH$60,2,FALSE),"")</f>
        <v>2023-Q4</v>
      </c>
      <c r="D808" s="222" t="s">
        <v>144</v>
      </c>
      <c r="E808" s="218">
        <v>16</v>
      </c>
    </row>
    <row r="809" spans="1:5" x14ac:dyDescent="0.35">
      <c r="A809" s="3" t="str">
        <f>IF(D809="","",(VLOOKUP($D809,KEY!$B$5:$D$74,3,FALSE)))</f>
        <v>Southern California</v>
      </c>
      <c r="B809" s="221">
        <v>45261</v>
      </c>
      <c r="C809" s="221" t="str">
        <f>IFERROR(VLOOKUP($B809,KEY!$AE$19:$AH$60,2,FALSE),"")</f>
        <v>2023-Q4</v>
      </c>
      <c r="D809" s="222" t="s">
        <v>145</v>
      </c>
      <c r="E809" s="218">
        <v>14</v>
      </c>
    </row>
    <row r="810" spans="1:5" x14ac:dyDescent="0.35">
      <c r="A810" s="3" t="str">
        <f>IF(D810="","",(VLOOKUP($D810,KEY!$B$5:$D$74,3,FALSE)))</f>
        <v>Arizona</v>
      </c>
      <c r="B810" s="221">
        <v>45261</v>
      </c>
      <c r="C810" s="221" t="str">
        <f>IFERROR(VLOOKUP($B810,KEY!$AE$19:$AH$60,2,FALSE),"")</f>
        <v>2023-Q4</v>
      </c>
      <c r="D810" s="222" t="s">
        <v>146</v>
      </c>
      <c r="E810" s="218">
        <v>4</v>
      </c>
    </row>
    <row r="811" spans="1:5" x14ac:dyDescent="0.35">
      <c r="A811" s="3" t="str">
        <f>IF(D811="","",(VLOOKUP($D811,KEY!$B$5:$D$74,3,FALSE)))</f>
        <v>Texas</v>
      </c>
      <c r="B811" s="221">
        <v>45261</v>
      </c>
      <c r="C811" s="221" t="str">
        <f>IFERROR(VLOOKUP($B811,KEY!$AE$19:$AH$60,2,FALSE),"")</f>
        <v>2023-Q4</v>
      </c>
      <c r="D811" s="222" t="s">
        <v>147</v>
      </c>
      <c r="E811" s="218">
        <v>4</v>
      </c>
    </row>
    <row r="812" spans="1:5" x14ac:dyDescent="0.35">
      <c r="A812" s="3" t="str">
        <f>IF(D812="","",(VLOOKUP($D812,KEY!$B$5:$D$74,3,FALSE)))</f>
        <v>Northern California</v>
      </c>
      <c r="B812" s="221">
        <v>45261</v>
      </c>
      <c r="C812" s="221" t="str">
        <f>IFERROR(VLOOKUP($B812,KEY!$AE$19:$AH$60,2,FALSE),"")</f>
        <v>2023-Q4</v>
      </c>
      <c r="D812" s="222" t="s">
        <v>148</v>
      </c>
      <c r="E812" s="218">
        <v>4</v>
      </c>
    </row>
    <row r="813" spans="1:5" x14ac:dyDescent="0.35">
      <c r="A813" s="3" t="str">
        <f>IF(D813="","",(VLOOKUP($D813,KEY!$B$5:$D$74,3,FALSE)))</f>
        <v>Orange County</v>
      </c>
      <c r="B813" s="221">
        <v>45261</v>
      </c>
      <c r="C813" s="221" t="str">
        <f>IFERROR(VLOOKUP($B813,KEY!$AE$19:$AH$60,2,FALSE),"")</f>
        <v>2023-Q4</v>
      </c>
      <c r="D813" s="222" t="s">
        <v>149</v>
      </c>
      <c r="E813" s="218">
        <v>3</v>
      </c>
    </row>
    <row r="814" spans="1:5" x14ac:dyDescent="0.35">
      <c r="A814" s="3" t="str">
        <f>IF(D814="","",(VLOOKUP($D814,KEY!$B$5:$D$74,3,FALSE)))</f>
        <v>Southern California</v>
      </c>
      <c r="B814" s="221">
        <v>45261</v>
      </c>
      <c r="C814" s="221" t="str">
        <f>IFERROR(VLOOKUP($B814,KEY!$AE$19:$AH$60,2,FALSE),"")</f>
        <v>2023-Q4</v>
      </c>
      <c r="D814" s="222" t="s">
        <v>150</v>
      </c>
      <c r="E814" s="218">
        <v>5</v>
      </c>
    </row>
    <row r="815" spans="1:5" x14ac:dyDescent="0.35">
      <c r="A815" s="3" t="str">
        <f>IF(D815="","",(VLOOKUP($D815,KEY!$B$5:$D$74,3,FALSE)))</f>
        <v>Arizona</v>
      </c>
      <c r="B815" s="221">
        <v>45261</v>
      </c>
      <c r="C815" s="221" t="str">
        <f>IFERROR(VLOOKUP($B815,KEY!$AE$19:$AH$60,2,FALSE),"")</f>
        <v>2023-Q4</v>
      </c>
      <c r="D815" s="222" t="s">
        <v>151</v>
      </c>
      <c r="E815" s="218">
        <v>4</v>
      </c>
    </row>
    <row r="816" spans="1:5" x14ac:dyDescent="0.35">
      <c r="A816" s="3" t="str">
        <f>IF(D816="","",(VLOOKUP($D816,KEY!$B$5:$D$74,3,FALSE)))</f>
        <v>Northern California</v>
      </c>
      <c r="B816" s="221">
        <v>45261</v>
      </c>
      <c r="C816" s="221" t="str">
        <f>IFERROR(VLOOKUP($B816,KEY!$AE$19:$AH$60,2,FALSE),"")</f>
        <v>2023-Q4</v>
      </c>
      <c r="D816" s="222" t="s">
        <v>152</v>
      </c>
      <c r="E816" s="218">
        <v>13</v>
      </c>
    </row>
    <row r="817" spans="1:5" x14ac:dyDescent="0.35">
      <c r="A817" s="3" t="str">
        <f>IF(D817="","",(VLOOKUP($D817,KEY!$B$5:$D$74,3,FALSE)))</f>
        <v>Arizona</v>
      </c>
      <c r="B817" s="221">
        <v>45261</v>
      </c>
      <c r="C817" s="221" t="str">
        <f>IFERROR(VLOOKUP($B817,KEY!$AE$19:$AH$60,2,FALSE),"")</f>
        <v>2023-Q4</v>
      </c>
      <c r="D817" s="222" t="s">
        <v>153</v>
      </c>
      <c r="E817" s="218">
        <v>13</v>
      </c>
    </row>
    <row r="818" spans="1:5" x14ac:dyDescent="0.35">
      <c r="A818" s="3" t="str">
        <f>IF(D818="","",(VLOOKUP($D818,KEY!$B$5:$D$74,3,FALSE)))</f>
        <v>Northern California</v>
      </c>
      <c r="B818" s="221">
        <v>45261</v>
      </c>
      <c r="C818" s="221" t="str">
        <f>IFERROR(VLOOKUP($B818,KEY!$AE$19:$AH$60,2,FALSE),"")</f>
        <v>2023-Q4</v>
      </c>
      <c r="D818" s="222" t="s">
        <v>154</v>
      </c>
      <c r="E818" s="218">
        <v>8</v>
      </c>
    </row>
    <row r="819" spans="1:5" x14ac:dyDescent="0.35">
      <c r="A819" s="3" t="str">
        <f>IF(D819="","",(VLOOKUP($D819,KEY!$B$5:$D$74,3,FALSE)))</f>
        <v>Texas</v>
      </c>
      <c r="B819" s="221">
        <v>45261</v>
      </c>
      <c r="C819" s="221" t="str">
        <f>IFERROR(VLOOKUP($B819,KEY!$AE$19:$AH$60,2,FALSE),"")</f>
        <v>2023-Q4</v>
      </c>
      <c r="D819" s="222" t="s">
        <v>155</v>
      </c>
      <c r="E819" s="218">
        <v>23</v>
      </c>
    </row>
    <row r="820" spans="1:5" x14ac:dyDescent="0.35">
      <c r="A820" s="3" t="str">
        <f>IF(D820="","",(VLOOKUP($D820,KEY!$B$5:$D$74,3,FALSE)))</f>
        <v>Texas</v>
      </c>
      <c r="B820" s="221">
        <v>45261</v>
      </c>
      <c r="C820" s="221" t="str">
        <f>IFERROR(VLOOKUP($B820,KEY!$AE$19:$AH$60,2,FALSE),"")</f>
        <v>2023-Q4</v>
      </c>
      <c r="D820" s="222" t="s">
        <v>156</v>
      </c>
      <c r="E820" s="218">
        <v>18</v>
      </c>
    </row>
    <row r="821" spans="1:5" x14ac:dyDescent="0.35">
      <c r="A821" s="3" t="str">
        <f>IF(D821="","",(VLOOKUP($D821,KEY!$B$5:$D$74,3,FALSE)))</f>
        <v>Texas</v>
      </c>
      <c r="B821" s="221">
        <v>45261</v>
      </c>
      <c r="C821" s="221" t="str">
        <f>IFERROR(VLOOKUP($B821,KEY!$AE$19:$AH$60,2,FALSE),"")</f>
        <v>2023-Q4</v>
      </c>
      <c r="D821" s="222" t="s">
        <v>157</v>
      </c>
      <c r="E821" s="218">
        <v>26</v>
      </c>
    </row>
    <row r="822" spans="1:5" x14ac:dyDescent="0.35">
      <c r="A822" s="3" t="str">
        <f>IF(D822="","",(VLOOKUP($D822,KEY!$B$5:$D$74,3,FALSE)))</f>
        <v>Arizona</v>
      </c>
      <c r="B822" s="221">
        <v>45261</v>
      </c>
      <c r="C822" s="221" t="str">
        <f>IFERROR(VLOOKUP($B822,KEY!$AE$19:$AH$60,2,FALSE),"")</f>
        <v>2023-Q4</v>
      </c>
      <c r="D822" s="222" t="s">
        <v>158</v>
      </c>
      <c r="E822" s="218">
        <v>6</v>
      </c>
    </row>
    <row r="823" spans="1:5" x14ac:dyDescent="0.35">
      <c r="A823" s="3" t="str">
        <f>IF(D823="","",(VLOOKUP($D823,KEY!$B$5:$D$74,3,FALSE)))</f>
        <v>Orange County</v>
      </c>
      <c r="B823" s="221">
        <v>45261</v>
      </c>
      <c r="C823" s="221" t="str">
        <f>IFERROR(VLOOKUP($B823,KEY!$AE$19:$AH$60,2,FALSE),"")</f>
        <v>2023-Q4</v>
      </c>
      <c r="D823" s="222" t="s">
        <v>159</v>
      </c>
      <c r="E823" s="218">
        <v>8</v>
      </c>
    </row>
    <row r="824" spans="1:5" x14ac:dyDescent="0.35">
      <c r="A824" s="3" t="str">
        <f>IF(D824="","",(VLOOKUP($D824,KEY!$B$5:$D$74,3,FALSE)))</f>
        <v>Arizona</v>
      </c>
      <c r="B824" s="221">
        <v>45261</v>
      </c>
      <c r="C824" s="221" t="str">
        <f>IFERROR(VLOOKUP($B824,KEY!$AE$19:$AH$60,2,FALSE),"")</f>
        <v>2023-Q4</v>
      </c>
      <c r="D824" s="222" t="s">
        <v>160</v>
      </c>
      <c r="E824" s="218">
        <v>23</v>
      </c>
    </row>
    <row r="825" spans="1:5" x14ac:dyDescent="0.35">
      <c r="A825" s="3" t="str">
        <f>IF(D825="","",(VLOOKUP($D825,KEY!$B$5:$D$74,3,FALSE)))</f>
        <v>Northern California</v>
      </c>
      <c r="B825" s="221">
        <v>45261</v>
      </c>
      <c r="C825" s="221" t="str">
        <f>IFERROR(VLOOKUP($B825,KEY!$AE$19:$AH$60,2,FALSE),"")</f>
        <v>2023-Q4</v>
      </c>
      <c r="D825" s="222" t="s">
        <v>161</v>
      </c>
      <c r="E825" s="218">
        <v>20</v>
      </c>
    </row>
    <row r="826" spans="1:5" x14ac:dyDescent="0.35">
      <c r="A826" s="3" t="e">
        <f>IF(D826="","",(VLOOKUP($D826,KEY!$B$5:$D$74,3,FALSE)))</f>
        <v>#N/A</v>
      </c>
      <c r="B826" s="221">
        <v>45261</v>
      </c>
      <c r="C826" s="221" t="str">
        <f>IFERROR(VLOOKUP($B826,KEY!$AE$19:$AH$60,2,FALSE),"")</f>
        <v>2023-Q4</v>
      </c>
      <c r="D826" s="222" t="s">
        <v>162</v>
      </c>
      <c r="E826" s="218">
        <v>29</v>
      </c>
    </row>
    <row r="827" spans="1:5" x14ac:dyDescent="0.35">
      <c r="A827" s="3" t="str">
        <f>IF(D827="","",(VLOOKUP($D827,KEY!$B$5:$D$74,3,FALSE)))</f>
        <v>Arizona</v>
      </c>
      <c r="B827" s="221">
        <v>45261</v>
      </c>
      <c r="C827" s="221" t="str">
        <f>IFERROR(VLOOKUP($B827,KEY!$AE$19:$AH$60,2,FALSE),"")</f>
        <v>2023-Q4</v>
      </c>
      <c r="D827" s="222" t="s">
        <v>163</v>
      </c>
      <c r="E827" s="218">
        <v>17</v>
      </c>
    </row>
    <row r="828" spans="1:5" x14ac:dyDescent="0.35">
      <c r="A828" s="3" t="str">
        <f>IF(D828="","",(VLOOKUP($D828,KEY!$B$5:$D$74,3,FALSE)))</f>
        <v>Arizona</v>
      </c>
      <c r="B828" s="221">
        <v>45261</v>
      </c>
      <c r="C828" s="221" t="str">
        <f>IFERROR(VLOOKUP($B828,KEY!$AE$19:$AH$60,2,FALSE),"")</f>
        <v>2023-Q4</v>
      </c>
      <c r="D828" s="222" t="s">
        <v>164</v>
      </c>
      <c r="E828" s="218">
        <v>7</v>
      </c>
    </row>
    <row r="829" spans="1:5" x14ac:dyDescent="0.35">
      <c r="A829" s="3" t="str">
        <f>IF(D829="","",(VLOOKUP($D829,KEY!$B$5:$D$74,3,FALSE)))</f>
        <v>Orange County</v>
      </c>
      <c r="B829" s="221">
        <v>45261</v>
      </c>
      <c r="C829" s="221" t="str">
        <f>IFERROR(VLOOKUP($B829,KEY!$AE$19:$AH$60,2,FALSE),"")</f>
        <v>2023-Q4</v>
      </c>
      <c r="D829" s="222" t="s">
        <v>165</v>
      </c>
      <c r="E829" s="218">
        <v>8</v>
      </c>
    </row>
    <row r="830" spans="1:5" x14ac:dyDescent="0.35">
      <c r="A830" s="3" t="str">
        <f>IF(D830="","",(VLOOKUP($D830,KEY!$B$5:$D$74,3,FALSE)))</f>
        <v>Arizona</v>
      </c>
      <c r="B830" s="221">
        <v>45292</v>
      </c>
      <c r="C830" s="221" t="str">
        <f>IFERROR(VLOOKUP($B830,KEY!$AE$19:$AH$60,2,FALSE),"")</f>
        <v>2024-Q1</v>
      </c>
      <c r="D830" s="222" t="s">
        <v>111</v>
      </c>
      <c r="E830" s="218">
        <v>8</v>
      </c>
    </row>
    <row r="831" spans="1:5" x14ac:dyDescent="0.35">
      <c r="A831" s="3" t="str">
        <f>IF(D831="","",(VLOOKUP($D831,KEY!$B$5:$D$74,3,FALSE)))</f>
        <v>Southern California</v>
      </c>
      <c r="B831" s="221">
        <v>45292</v>
      </c>
      <c r="C831" s="221" t="str">
        <f>IFERROR(VLOOKUP($B831,KEY!$AE$19:$AH$60,2,FALSE),"")</f>
        <v>2024-Q1</v>
      </c>
      <c r="D831" s="222" t="s">
        <v>112</v>
      </c>
      <c r="E831" s="218">
        <v>4</v>
      </c>
    </row>
    <row r="832" spans="1:5" x14ac:dyDescent="0.35">
      <c r="A832" s="3" t="str">
        <f>IF(D832="","",(VLOOKUP($D832,KEY!$B$5:$D$74,3,FALSE)))</f>
        <v>Arizona</v>
      </c>
      <c r="B832" s="221">
        <v>45292</v>
      </c>
      <c r="C832" s="221" t="str">
        <f>IFERROR(VLOOKUP($B832,KEY!$AE$19:$AH$60,2,FALSE),"")</f>
        <v>2024-Q1</v>
      </c>
      <c r="D832" s="222" t="s">
        <v>113</v>
      </c>
      <c r="E832" s="218">
        <v>8</v>
      </c>
    </row>
    <row r="833" spans="1:5" x14ac:dyDescent="0.35">
      <c r="A833" s="3" t="str">
        <f>IF(D833="","",(VLOOKUP($D833,KEY!$B$5:$D$74,3,FALSE)))</f>
        <v>Southern California</v>
      </c>
      <c r="B833" s="221">
        <v>45292</v>
      </c>
      <c r="C833" s="221" t="str">
        <f>IFERROR(VLOOKUP($B833,KEY!$AE$19:$AH$60,2,FALSE),"")</f>
        <v>2024-Q1</v>
      </c>
      <c r="D833" s="222" t="s">
        <v>114</v>
      </c>
      <c r="E833" s="218">
        <v>6</v>
      </c>
    </row>
    <row r="834" spans="1:5" x14ac:dyDescent="0.35">
      <c r="A834" s="3" t="str">
        <f>IF(D834="","",(VLOOKUP($D834,KEY!$B$5:$D$74,3,FALSE)))</f>
        <v>Orange County</v>
      </c>
      <c r="B834" s="221">
        <v>45292</v>
      </c>
      <c r="C834" s="221" t="str">
        <f>IFERROR(VLOOKUP($B834,KEY!$AE$19:$AH$60,2,FALSE),"")</f>
        <v>2024-Q1</v>
      </c>
      <c r="D834" s="222" t="s">
        <v>115</v>
      </c>
      <c r="E834" s="218">
        <v>4</v>
      </c>
    </row>
    <row r="835" spans="1:5" x14ac:dyDescent="0.35">
      <c r="A835" s="3" t="str">
        <f>IF(D835="","",(VLOOKUP($D835,KEY!$B$5:$D$74,3,FALSE)))</f>
        <v>Arizona</v>
      </c>
      <c r="B835" s="221">
        <v>45292</v>
      </c>
      <c r="C835" s="221" t="str">
        <f>IFERROR(VLOOKUP($B835,KEY!$AE$19:$AH$60,2,FALSE),"")</f>
        <v>2024-Q1</v>
      </c>
      <c r="D835" s="222" t="s">
        <v>116</v>
      </c>
      <c r="E835" s="218">
        <v>12</v>
      </c>
    </row>
    <row r="836" spans="1:5" x14ac:dyDescent="0.35">
      <c r="A836" s="3" t="str">
        <f>IF(D836="","",(VLOOKUP($D836,KEY!$B$5:$D$74,3,FALSE)))</f>
        <v>Orange County</v>
      </c>
      <c r="B836" s="221">
        <v>45292</v>
      </c>
      <c r="C836" s="221" t="str">
        <f>IFERROR(VLOOKUP($B836,KEY!$AE$19:$AH$60,2,FALSE),"")</f>
        <v>2024-Q1</v>
      </c>
      <c r="D836" s="222" t="s">
        <v>117</v>
      </c>
      <c r="E836" s="218">
        <v>10</v>
      </c>
    </row>
    <row r="837" spans="1:5" x14ac:dyDescent="0.35">
      <c r="A837" s="3" t="str">
        <f>IF(D837="","",(VLOOKUP($D837,KEY!$B$5:$D$74,3,FALSE)))</f>
        <v>Northern California</v>
      </c>
      <c r="B837" s="221">
        <v>45292</v>
      </c>
      <c r="C837" s="221" t="str">
        <f>IFERROR(VLOOKUP($B837,KEY!$AE$19:$AH$60,2,FALSE),"")</f>
        <v>2024-Q1</v>
      </c>
      <c r="D837" s="222" t="s">
        <v>118</v>
      </c>
      <c r="E837" s="218">
        <v>13</v>
      </c>
    </row>
    <row r="838" spans="1:5" x14ac:dyDescent="0.35">
      <c r="A838" s="3" t="str">
        <f>IF(D838="","",(VLOOKUP($D838,KEY!$B$5:$D$74,3,FALSE)))</f>
        <v>Arizona</v>
      </c>
      <c r="B838" s="221">
        <v>45292</v>
      </c>
      <c r="C838" s="221" t="str">
        <f>IFERROR(VLOOKUP($B838,KEY!$AE$19:$AH$60,2,FALSE),"")</f>
        <v>2024-Q1</v>
      </c>
      <c r="D838" s="222" t="s">
        <v>119</v>
      </c>
      <c r="E838" s="218">
        <v>4</v>
      </c>
    </row>
    <row r="839" spans="1:5" x14ac:dyDescent="0.35">
      <c r="A839" s="3" t="str">
        <f>IF(D839="","",(VLOOKUP($D839,KEY!$B$5:$D$74,3,FALSE)))</f>
        <v>Arizona</v>
      </c>
      <c r="B839" s="221">
        <v>45292</v>
      </c>
      <c r="C839" s="221" t="str">
        <f>IFERROR(VLOOKUP($B839,KEY!$AE$19:$AH$60,2,FALSE),"")</f>
        <v>2024-Q1</v>
      </c>
      <c r="D839" s="222" t="s">
        <v>120</v>
      </c>
      <c r="E839" s="218">
        <v>25</v>
      </c>
    </row>
    <row r="840" spans="1:5" x14ac:dyDescent="0.35">
      <c r="A840" s="3" t="str">
        <f>IF(D840="","",(VLOOKUP($D840,KEY!$B$5:$D$74,3,FALSE)))</f>
        <v>Texas</v>
      </c>
      <c r="B840" s="221">
        <v>45292</v>
      </c>
      <c r="C840" s="221" t="str">
        <f>IFERROR(VLOOKUP($B840,KEY!$AE$19:$AH$60,2,FALSE),"")</f>
        <v>2024-Q1</v>
      </c>
      <c r="D840" s="222" t="s">
        <v>121</v>
      </c>
      <c r="E840" s="218">
        <v>19</v>
      </c>
    </row>
    <row r="841" spans="1:5" x14ac:dyDescent="0.35">
      <c r="A841" s="3" t="str">
        <f>IF(D841="","",(VLOOKUP($D841,KEY!$B$5:$D$74,3,FALSE)))</f>
        <v>Southern California</v>
      </c>
      <c r="B841" s="221">
        <v>45292</v>
      </c>
      <c r="C841" s="221" t="str">
        <f>IFERROR(VLOOKUP($B841,KEY!$AE$19:$AH$60,2,FALSE),"")</f>
        <v>2024-Q1</v>
      </c>
      <c r="D841" s="222" t="s">
        <v>122</v>
      </c>
      <c r="E841" s="218">
        <v>10</v>
      </c>
    </row>
    <row r="842" spans="1:5" x14ac:dyDescent="0.35">
      <c r="A842" s="3" t="str">
        <f>IF(D842="","",(VLOOKUP($D842,KEY!$B$5:$D$74,3,FALSE)))</f>
        <v>Orange County</v>
      </c>
      <c r="B842" s="221">
        <v>45292</v>
      </c>
      <c r="C842" s="221" t="str">
        <f>IFERROR(VLOOKUP($B842,KEY!$AE$19:$AH$60,2,FALSE),"")</f>
        <v>2024-Q1</v>
      </c>
      <c r="D842" s="222" t="s">
        <v>123</v>
      </c>
      <c r="E842" s="218">
        <v>15</v>
      </c>
    </row>
    <row r="843" spans="1:5" x14ac:dyDescent="0.35">
      <c r="A843" s="3" t="str">
        <f>IF(D843="","",(VLOOKUP($D843,KEY!$B$5:$D$74,3,FALSE)))</f>
        <v>Southern California</v>
      </c>
      <c r="B843" s="221">
        <v>45292</v>
      </c>
      <c r="C843" s="221" t="str">
        <f>IFERROR(VLOOKUP($B843,KEY!$AE$19:$AH$60,2,FALSE),"")</f>
        <v>2024-Q1</v>
      </c>
      <c r="D843" s="222" t="s">
        <v>124</v>
      </c>
      <c r="E843" s="218">
        <v>21</v>
      </c>
    </row>
    <row r="844" spans="1:5" x14ac:dyDescent="0.35">
      <c r="A844" s="3" t="str">
        <f>IF(D844="","",(VLOOKUP($D844,KEY!$B$5:$D$74,3,FALSE)))</f>
        <v>Northern California</v>
      </c>
      <c r="B844" s="221">
        <v>45292</v>
      </c>
      <c r="C844" s="221" t="str">
        <f>IFERROR(VLOOKUP($B844,KEY!$AE$19:$AH$60,2,FALSE),"")</f>
        <v>2024-Q1</v>
      </c>
      <c r="D844" s="222" t="s">
        <v>195</v>
      </c>
      <c r="E844" s="218">
        <v>4</v>
      </c>
    </row>
    <row r="845" spans="1:5" x14ac:dyDescent="0.35">
      <c r="A845" s="3" t="str">
        <f>IF(D845="","",(VLOOKUP($D845,KEY!$B$5:$D$74,3,FALSE)))</f>
        <v>Northern California</v>
      </c>
      <c r="B845" s="221">
        <v>45292</v>
      </c>
      <c r="C845" s="221" t="str">
        <f>IFERROR(VLOOKUP($B845,KEY!$AE$19:$AH$60,2,FALSE),"")</f>
        <v>2024-Q1</v>
      </c>
      <c r="D845" s="222" t="s">
        <v>125</v>
      </c>
      <c r="E845" s="218">
        <v>19</v>
      </c>
    </row>
    <row r="846" spans="1:5" x14ac:dyDescent="0.35">
      <c r="A846" s="3" t="str">
        <f>IF(D846="","",(VLOOKUP($D846,KEY!$B$5:$D$74,3,FALSE)))</f>
        <v>Orange County</v>
      </c>
      <c r="B846" s="221">
        <v>45292</v>
      </c>
      <c r="C846" s="221" t="str">
        <f>IFERROR(VLOOKUP($B846,KEY!$AE$19:$AH$60,2,FALSE),"")</f>
        <v>2024-Q1</v>
      </c>
      <c r="D846" s="222" t="s">
        <v>126</v>
      </c>
      <c r="E846" s="218">
        <v>33</v>
      </c>
    </row>
    <row r="847" spans="1:5" x14ac:dyDescent="0.35">
      <c r="A847" s="3" t="str">
        <f>IF(D847="","",(VLOOKUP($D847,KEY!$B$5:$D$74,3,FALSE)))</f>
        <v>Orange County</v>
      </c>
      <c r="B847" s="221">
        <v>45292</v>
      </c>
      <c r="C847" s="221" t="str">
        <f>IFERROR(VLOOKUP($B847,KEY!$AE$19:$AH$60,2,FALSE),"")</f>
        <v>2024-Q1</v>
      </c>
      <c r="D847" s="222" t="s">
        <v>127</v>
      </c>
      <c r="E847" s="218">
        <v>4</v>
      </c>
    </row>
    <row r="848" spans="1:5" x14ac:dyDescent="0.35">
      <c r="A848" s="3" t="str">
        <f>IF(D848="","",(VLOOKUP($D848,KEY!$B$5:$D$74,3,FALSE)))</f>
        <v>Texas</v>
      </c>
      <c r="B848" s="221">
        <v>45292</v>
      </c>
      <c r="C848" s="221" t="str">
        <f>IFERROR(VLOOKUP($B848,KEY!$AE$19:$AH$60,2,FALSE),"")</f>
        <v>2024-Q1</v>
      </c>
      <c r="D848" s="222" t="s">
        <v>128</v>
      </c>
      <c r="E848" s="218">
        <v>17</v>
      </c>
    </row>
    <row r="849" spans="1:5" x14ac:dyDescent="0.35">
      <c r="A849" s="3" t="str">
        <f>IF(D849="","",(VLOOKUP($D849,KEY!$B$5:$D$74,3,FALSE)))</f>
        <v>Northern California</v>
      </c>
      <c r="B849" s="221">
        <v>45292</v>
      </c>
      <c r="C849" s="221" t="str">
        <f>IFERROR(VLOOKUP($B849,KEY!$AE$19:$AH$60,2,FALSE),"")</f>
        <v>2024-Q1</v>
      </c>
      <c r="D849" s="222" t="s">
        <v>129</v>
      </c>
      <c r="E849" s="218">
        <v>15</v>
      </c>
    </row>
    <row r="850" spans="1:5" x14ac:dyDescent="0.35">
      <c r="A850" s="3" t="str">
        <f>IF(D850="","",(VLOOKUP($D850,KEY!$B$5:$D$74,3,FALSE)))</f>
        <v>Southern California</v>
      </c>
      <c r="B850" s="221">
        <v>45292</v>
      </c>
      <c r="C850" s="221" t="str">
        <f>IFERROR(VLOOKUP($B850,KEY!$AE$19:$AH$60,2,FALSE),"")</f>
        <v>2024-Q1</v>
      </c>
      <c r="D850" s="222" t="s">
        <v>130</v>
      </c>
      <c r="E850" s="218">
        <v>6</v>
      </c>
    </row>
    <row r="851" spans="1:5" x14ac:dyDescent="0.35">
      <c r="A851" s="3">
        <f>IF(D851="","",(VLOOKUP($D851,KEY!$B$5:$D$74,3,FALSE)))</f>
        <v>0</v>
      </c>
      <c r="B851" s="221">
        <v>45292</v>
      </c>
      <c r="C851" s="221" t="str">
        <f>IFERROR(VLOOKUP($B851,KEY!$AE$19:$AH$60,2,FALSE),"")</f>
        <v>2024-Q1</v>
      </c>
      <c r="D851" s="222" t="s">
        <v>131</v>
      </c>
      <c r="E851" s="218">
        <v>15</v>
      </c>
    </row>
    <row r="852" spans="1:5" x14ac:dyDescent="0.35">
      <c r="A852" s="3" t="e">
        <f>IF(D852="","",(VLOOKUP($D852,KEY!$B$5:$D$74,3,FALSE)))</f>
        <v>#N/A</v>
      </c>
      <c r="B852" s="221">
        <v>45292</v>
      </c>
      <c r="C852" s="221" t="str">
        <f>IFERROR(VLOOKUP($B852,KEY!$AE$19:$AH$60,2,FALSE),"")</f>
        <v>2024-Q1</v>
      </c>
      <c r="D852" s="222" t="s">
        <v>134</v>
      </c>
      <c r="E852" s="218">
        <v>4</v>
      </c>
    </row>
    <row r="853" spans="1:5" x14ac:dyDescent="0.35">
      <c r="A853" s="3" t="str">
        <f>IF(D853="","",(VLOOKUP($D853,KEY!$B$5:$D$74,3,FALSE)))</f>
        <v>Southern California</v>
      </c>
      <c r="B853" s="221">
        <v>45292</v>
      </c>
      <c r="C853" s="221" t="str">
        <f>IFERROR(VLOOKUP($B853,KEY!$AE$19:$AH$60,2,FALSE),"")</f>
        <v>2024-Q1</v>
      </c>
      <c r="D853" s="222" t="s">
        <v>135</v>
      </c>
      <c r="E853" s="218">
        <v>17</v>
      </c>
    </row>
    <row r="854" spans="1:5" x14ac:dyDescent="0.35">
      <c r="A854" s="3" t="str">
        <f>IF(D854="","",(VLOOKUP($D854,KEY!$B$5:$D$74,3,FALSE)))</f>
        <v>Arizona</v>
      </c>
      <c r="B854" s="221">
        <v>45292</v>
      </c>
      <c r="C854" s="221" t="str">
        <f>IFERROR(VLOOKUP($B854,KEY!$AE$19:$AH$60,2,FALSE),"")</f>
        <v>2024-Q1</v>
      </c>
      <c r="D854" s="222" t="s">
        <v>196</v>
      </c>
      <c r="E854" s="218">
        <v>4</v>
      </c>
    </row>
    <row r="855" spans="1:5" x14ac:dyDescent="0.35">
      <c r="A855" s="3" t="str">
        <f>IF(D855="","",(VLOOKUP($D855,KEY!$B$5:$D$74,3,FALSE)))</f>
        <v>Arizona</v>
      </c>
      <c r="B855" s="221">
        <v>45292</v>
      </c>
      <c r="C855" s="221" t="str">
        <f>IFERROR(VLOOKUP($B855,KEY!$AE$19:$AH$60,2,FALSE),"")</f>
        <v>2024-Q1</v>
      </c>
      <c r="D855" s="222" t="s">
        <v>197</v>
      </c>
      <c r="E855" s="218">
        <v>8</v>
      </c>
    </row>
    <row r="856" spans="1:5" x14ac:dyDescent="0.35">
      <c r="A856" s="3" t="str">
        <f>IF(D856="","",(VLOOKUP($D856,KEY!$B$5:$D$74,3,FALSE)))</f>
        <v>Texas</v>
      </c>
      <c r="B856" s="221">
        <v>45292</v>
      </c>
      <c r="C856" s="221" t="str">
        <f>IFERROR(VLOOKUP($B856,KEY!$AE$19:$AH$60,2,FALSE),"")</f>
        <v>2024-Q1</v>
      </c>
      <c r="D856" s="222" t="s">
        <v>136</v>
      </c>
      <c r="E856" s="218">
        <v>14</v>
      </c>
    </row>
    <row r="857" spans="1:5" x14ac:dyDescent="0.35">
      <c r="A857" s="3" t="str">
        <f>IF(D857="","",(VLOOKUP($D857,KEY!$B$5:$D$74,3,FALSE)))</f>
        <v>Arizona</v>
      </c>
      <c r="B857" s="221">
        <v>45292</v>
      </c>
      <c r="C857" s="221" t="str">
        <f>IFERROR(VLOOKUP($B857,KEY!$AE$19:$AH$60,2,FALSE),"")</f>
        <v>2024-Q1</v>
      </c>
      <c r="D857" s="222" t="s">
        <v>137</v>
      </c>
      <c r="E857" s="218">
        <v>7</v>
      </c>
    </row>
    <row r="858" spans="1:5" x14ac:dyDescent="0.35">
      <c r="A858" s="3" t="str">
        <f>IF(D858="","",(VLOOKUP($D858,KEY!$B$5:$D$74,3,FALSE)))</f>
        <v>Texas</v>
      </c>
      <c r="B858" s="221">
        <v>45292</v>
      </c>
      <c r="C858" s="221" t="str">
        <f>IFERROR(VLOOKUP($B858,KEY!$AE$19:$AH$60,2,FALSE),"")</f>
        <v>2024-Q1</v>
      </c>
      <c r="D858" s="222" t="s">
        <v>138</v>
      </c>
      <c r="E858" s="218">
        <v>5</v>
      </c>
    </row>
    <row r="859" spans="1:5" x14ac:dyDescent="0.35">
      <c r="A859" s="3" t="str">
        <f>IF(D859="","",(VLOOKUP($D859,KEY!$B$5:$D$74,3,FALSE)))</f>
        <v>Southern California</v>
      </c>
      <c r="B859" s="221">
        <v>45292</v>
      </c>
      <c r="C859" s="221" t="str">
        <f>IFERROR(VLOOKUP($B859,KEY!$AE$19:$AH$60,2,FALSE),"")</f>
        <v>2024-Q1</v>
      </c>
      <c r="D859" s="222" t="s">
        <v>139</v>
      </c>
      <c r="E859" s="218">
        <v>13</v>
      </c>
    </row>
    <row r="860" spans="1:5" x14ac:dyDescent="0.35">
      <c r="A860" s="3" t="str">
        <f>IF(D860="","",(VLOOKUP($D860,KEY!$B$5:$D$74,3,FALSE)))</f>
        <v>Orange County</v>
      </c>
      <c r="B860" s="221">
        <v>45292</v>
      </c>
      <c r="C860" s="221" t="str">
        <f>IFERROR(VLOOKUP($B860,KEY!$AE$19:$AH$60,2,FALSE),"")</f>
        <v>2024-Q1</v>
      </c>
      <c r="D860" s="222" t="s">
        <v>140</v>
      </c>
      <c r="E860" s="218">
        <v>3</v>
      </c>
    </row>
    <row r="861" spans="1:5" x14ac:dyDescent="0.35">
      <c r="A861" s="3" t="str">
        <f>IF(D861="","",(VLOOKUP($D861,KEY!$B$5:$D$74,3,FALSE)))</f>
        <v>Southern California</v>
      </c>
      <c r="B861" s="221">
        <v>45292</v>
      </c>
      <c r="C861" s="221" t="str">
        <f>IFERROR(VLOOKUP($B861,KEY!$AE$19:$AH$60,2,FALSE),"")</f>
        <v>2024-Q1</v>
      </c>
      <c r="D861" s="222" t="s">
        <v>142</v>
      </c>
      <c r="E861" s="218">
        <v>5</v>
      </c>
    </row>
    <row r="862" spans="1:5" x14ac:dyDescent="0.35">
      <c r="A862" s="3" t="str">
        <f>IF(D862="","",(VLOOKUP($D862,KEY!$B$5:$D$74,3,FALSE)))</f>
        <v>Arizona</v>
      </c>
      <c r="B862" s="221">
        <v>45292</v>
      </c>
      <c r="C862" s="221" t="str">
        <f>IFERROR(VLOOKUP($B862,KEY!$AE$19:$AH$60,2,FALSE),"")</f>
        <v>2024-Q1</v>
      </c>
      <c r="D862" s="222" t="s">
        <v>143</v>
      </c>
      <c r="E862" s="218">
        <v>8</v>
      </c>
    </row>
    <row r="863" spans="1:5" x14ac:dyDescent="0.35">
      <c r="A863" s="3" t="str">
        <f>IF(D863="","",(VLOOKUP($D863,KEY!$B$5:$D$74,3,FALSE)))</f>
        <v>Arizona</v>
      </c>
      <c r="B863" s="221">
        <v>45292</v>
      </c>
      <c r="C863" s="221" t="str">
        <f>IFERROR(VLOOKUP($B863,KEY!$AE$19:$AH$60,2,FALSE),"")</f>
        <v>2024-Q1</v>
      </c>
      <c r="D863" s="222" t="s">
        <v>144</v>
      </c>
      <c r="E863" s="218">
        <v>16</v>
      </c>
    </row>
    <row r="864" spans="1:5" x14ac:dyDescent="0.35">
      <c r="A864" s="3" t="str">
        <f>IF(D864="","",(VLOOKUP($D864,KEY!$B$5:$D$74,3,FALSE)))</f>
        <v>Southern California</v>
      </c>
      <c r="B864" s="221">
        <v>45292</v>
      </c>
      <c r="C864" s="221" t="str">
        <f>IFERROR(VLOOKUP($B864,KEY!$AE$19:$AH$60,2,FALSE),"")</f>
        <v>2024-Q1</v>
      </c>
      <c r="D864" s="222" t="s">
        <v>145</v>
      </c>
      <c r="E864" s="218">
        <v>14</v>
      </c>
    </row>
    <row r="865" spans="1:5" x14ac:dyDescent="0.35">
      <c r="A865" s="3" t="str">
        <f>IF(D865="","",(VLOOKUP($D865,KEY!$B$5:$D$74,3,FALSE)))</f>
        <v>Arizona</v>
      </c>
      <c r="B865" s="221">
        <v>45292</v>
      </c>
      <c r="C865" s="221" t="str">
        <f>IFERROR(VLOOKUP($B865,KEY!$AE$19:$AH$60,2,FALSE),"")</f>
        <v>2024-Q1</v>
      </c>
      <c r="D865" s="222" t="s">
        <v>146</v>
      </c>
      <c r="E865" s="218">
        <v>4</v>
      </c>
    </row>
    <row r="866" spans="1:5" x14ac:dyDescent="0.35">
      <c r="A866" s="3" t="str">
        <f>IF(D866="","",(VLOOKUP($D866,KEY!$B$5:$D$74,3,FALSE)))</f>
        <v>Texas</v>
      </c>
      <c r="B866" s="221">
        <v>45292</v>
      </c>
      <c r="C866" s="221" t="str">
        <f>IFERROR(VLOOKUP($B866,KEY!$AE$19:$AH$60,2,FALSE),"")</f>
        <v>2024-Q1</v>
      </c>
      <c r="D866" s="222" t="s">
        <v>147</v>
      </c>
      <c r="E866" s="218">
        <v>5</v>
      </c>
    </row>
    <row r="867" spans="1:5" x14ac:dyDescent="0.35">
      <c r="A867" s="3" t="str">
        <f>IF(D867="","",(VLOOKUP($D867,KEY!$B$5:$D$74,3,FALSE)))</f>
        <v>Northern California</v>
      </c>
      <c r="B867" s="221">
        <v>45292</v>
      </c>
      <c r="C867" s="221" t="str">
        <f>IFERROR(VLOOKUP($B867,KEY!$AE$19:$AH$60,2,FALSE),"")</f>
        <v>2024-Q1</v>
      </c>
      <c r="D867" s="222" t="s">
        <v>148</v>
      </c>
      <c r="E867" s="218">
        <v>4</v>
      </c>
    </row>
    <row r="868" spans="1:5" x14ac:dyDescent="0.35">
      <c r="A868" s="3" t="str">
        <f>IF(D868="","",(VLOOKUP($D868,KEY!$B$5:$D$74,3,FALSE)))</f>
        <v>Orange County</v>
      </c>
      <c r="B868" s="221">
        <v>45292</v>
      </c>
      <c r="C868" s="221" t="str">
        <f>IFERROR(VLOOKUP($B868,KEY!$AE$19:$AH$60,2,FALSE),"")</f>
        <v>2024-Q1</v>
      </c>
      <c r="D868" s="222" t="s">
        <v>149</v>
      </c>
      <c r="E868" s="218">
        <v>2</v>
      </c>
    </row>
    <row r="869" spans="1:5" x14ac:dyDescent="0.35">
      <c r="A869" s="3" t="str">
        <f>IF(D869="","",(VLOOKUP($D869,KEY!$B$5:$D$74,3,FALSE)))</f>
        <v>Southern California</v>
      </c>
      <c r="B869" s="221">
        <v>45292</v>
      </c>
      <c r="C869" s="221" t="str">
        <f>IFERROR(VLOOKUP($B869,KEY!$AE$19:$AH$60,2,FALSE),"")</f>
        <v>2024-Q1</v>
      </c>
      <c r="D869" s="222" t="s">
        <v>150</v>
      </c>
      <c r="E869" s="218">
        <v>5</v>
      </c>
    </row>
    <row r="870" spans="1:5" x14ac:dyDescent="0.35">
      <c r="A870" s="3" t="str">
        <f>IF(D870="","",(VLOOKUP($D870,KEY!$B$5:$D$74,3,FALSE)))</f>
        <v>Arizona</v>
      </c>
      <c r="B870" s="221">
        <v>45292</v>
      </c>
      <c r="C870" s="221" t="str">
        <f>IFERROR(VLOOKUP($B870,KEY!$AE$19:$AH$60,2,FALSE),"")</f>
        <v>2024-Q1</v>
      </c>
      <c r="D870" s="222" t="s">
        <v>151</v>
      </c>
      <c r="E870" s="218">
        <v>3</v>
      </c>
    </row>
    <row r="871" spans="1:5" x14ac:dyDescent="0.35">
      <c r="A871" s="3" t="str">
        <f>IF(D871="","",(VLOOKUP($D871,KEY!$B$5:$D$74,3,FALSE)))</f>
        <v>Northern California</v>
      </c>
      <c r="B871" s="221">
        <v>45292</v>
      </c>
      <c r="C871" s="221" t="str">
        <f>IFERROR(VLOOKUP($B871,KEY!$AE$19:$AH$60,2,FALSE),"")</f>
        <v>2024-Q1</v>
      </c>
      <c r="D871" s="222" t="s">
        <v>152</v>
      </c>
      <c r="E871" s="218">
        <v>13</v>
      </c>
    </row>
    <row r="872" spans="1:5" x14ac:dyDescent="0.35">
      <c r="A872" s="3" t="str">
        <f>IF(D872="","",(VLOOKUP($D872,KEY!$B$5:$D$74,3,FALSE)))</f>
        <v>Arizona</v>
      </c>
      <c r="B872" s="221">
        <v>45292</v>
      </c>
      <c r="C872" s="221" t="str">
        <f>IFERROR(VLOOKUP($B872,KEY!$AE$19:$AH$60,2,FALSE),"")</f>
        <v>2024-Q1</v>
      </c>
      <c r="D872" s="222" t="s">
        <v>153</v>
      </c>
      <c r="E872" s="218">
        <v>12</v>
      </c>
    </row>
    <row r="873" spans="1:5" x14ac:dyDescent="0.35">
      <c r="A873" s="3" t="str">
        <f>IF(D873="","",(VLOOKUP($D873,KEY!$B$5:$D$74,3,FALSE)))</f>
        <v>Northern California</v>
      </c>
      <c r="B873" s="221">
        <v>45292</v>
      </c>
      <c r="C873" s="221" t="str">
        <f>IFERROR(VLOOKUP($B873,KEY!$AE$19:$AH$60,2,FALSE),"")</f>
        <v>2024-Q1</v>
      </c>
      <c r="D873" s="222" t="s">
        <v>154</v>
      </c>
      <c r="E873" s="218">
        <v>5</v>
      </c>
    </row>
    <row r="874" spans="1:5" x14ac:dyDescent="0.35">
      <c r="A874" s="3" t="str">
        <f>IF(D874="","",(VLOOKUP($D874,KEY!$B$5:$D$74,3,FALSE)))</f>
        <v>Texas</v>
      </c>
      <c r="B874" s="221">
        <v>45292</v>
      </c>
      <c r="C874" s="221" t="str">
        <f>IFERROR(VLOOKUP($B874,KEY!$AE$19:$AH$60,2,FALSE),"")</f>
        <v>2024-Q1</v>
      </c>
      <c r="D874" s="222" t="s">
        <v>155</v>
      </c>
      <c r="E874" s="218">
        <v>23</v>
      </c>
    </row>
    <row r="875" spans="1:5" x14ac:dyDescent="0.35">
      <c r="A875" s="3" t="str">
        <f>IF(D875="","",(VLOOKUP($D875,KEY!$B$5:$D$74,3,FALSE)))</f>
        <v>Texas</v>
      </c>
      <c r="B875" s="221">
        <v>45292</v>
      </c>
      <c r="C875" s="221" t="str">
        <f>IFERROR(VLOOKUP($B875,KEY!$AE$19:$AH$60,2,FALSE),"")</f>
        <v>2024-Q1</v>
      </c>
      <c r="D875" s="222" t="s">
        <v>156</v>
      </c>
      <c r="E875" s="218">
        <v>19</v>
      </c>
    </row>
    <row r="876" spans="1:5" x14ac:dyDescent="0.35">
      <c r="A876" s="3" t="str">
        <f>IF(D876="","",(VLOOKUP($D876,KEY!$B$5:$D$74,3,FALSE)))</f>
        <v>Texas</v>
      </c>
      <c r="B876" s="221">
        <v>45292</v>
      </c>
      <c r="C876" s="221" t="str">
        <f>IFERROR(VLOOKUP($B876,KEY!$AE$19:$AH$60,2,FALSE),"")</f>
        <v>2024-Q1</v>
      </c>
      <c r="D876" s="222" t="s">
        <v>157</v>
      </c>
      <c r="E876" s="218">
        <v>22</v>
      </c>
    </row>
    <row r="877" spans="1:5" x14ac:dyDescent="0.35">
      <c r="A877" s="3" t="str">
        <f>IF(D877="","",(VLOOKUP($D877,KEY!$B$5:$D$74,3,FALSE)))</f>
        <v>Arizona</v>
      </c>
      <c r="B877" s="221">
        <v>45292</v>
      </c>
      <c r="C877" s="221" t="str">
        <f>IFERROR(VLOOKUP($B877,KEY!$AE$19:$AH$60,2,FALSE),"")</f>
        <v>2024-Q1</v>
      </c>
      <c r="D877" s="222" t="s">
        <v>158</v>
      </c>
      <c r="E877" s="218">
        <v>5</v>
      </c>
    </row>
    <row r="878" spans="1:5" x14ac:dyDescent="0.35">
      <c r="A878" s="3" t="str">
        <f>IF(D878="","",(VLOOKUP($D878,KEY!$B$5:$D$74,3,FALSE)))</f>
        <v>Orange County</v>
      </c>
      <c r="B878" s="221">
        <v>45292</v>
      </c>
      <c r="C878" s="221" t="str">
        <f>IFERROR(VLOOKUP($B878,KEY!$AE$19:$AH$60,2,FALSE),"")</f>
        <v>2024-Q1</v>
      </c>
      <c r="D878" s="222" t="s">
        <v>159</v>
      </c>
      <c r="E878" s="218">
        <v>8</v>
      </c>
    </row>
    <row r="879" spans="1:5" x14ac:dyDescent="0.35">
      <c r="A879" s="3" t="str">
        <f>IF(D879="","",(VLOOKUP($D879,KEY!$B$5:$D$74,3,FALSE)))</f>
        <v>Arizona</v>
      </c>
      <c r="B879" s="221">
        <v>45292</v>
      </c>
      <c r="C879" s="221" t="str">
        <f>IFERROR(VLOOKUP($B879,KEY!$AE$19:$AH$60,2,FALSE),"")</f>
        <v>2024-Q1</v>
      </c>
      <c r="D879" s="222" t="s">
        <v>160</v>
      </c>
      <c r="E879" s="218">
        <v>22</v>
      </c>
    </row>
    <row r="880" spans="1:5" x14ac:dyDescent="0.35">
      <c r="A880" s="3" t="str">
        <f>IF(D880="","",(VLOOKUP($D880,KEY!$B$5:$D$74,3,FALSE)))</f>
        <v>Northern California</v>
      </c>
      <c r="B880" s="221">
        <v>45292</v>
      </c>
      <c r="C880" s="221" t="str">
        <f>IFERROR(VLOOKUP($B880,KEY!$AE$19:$AH$60,2,FALSE),"")</f>
        <v>2024-Q1</v>
      </c>
      <c r="D880" s="222" t="s">
        <v>161</v>
      </c>
      <c r="E880" s="218">
        <v>20</v>
      </c>
    </row>
    <row r="881" spans="1:5" x14ac:dyDescent="0.35">
      <c r="A881" s="3" t="e">
        <f>IF(D881="","",(VLOOKUP($D881,KEY!$B$5:$D$74,3,FALSE)))</f>
        <v>#N/A</v>
      </c>
      <c r="B881" s="221">
        <v>45292</v>
      </c>
      <c r="C881" s="221" t="str">
        <f>IFERROR(VLOOKUP($B881,KEY!$AE$19:$AH$60,2,FALSE),"")</f>
        <v>2024-Q1</v>
      </c>
      <c r="D881" s="222" t="s">
        <v>162</v>
      </c>
      <c r="E881" s="218">
        <v>34</v>
      </c>
    </row>
    <row r="882" spans="1:5" x14ac:dyDescent="0.35">
      <c r="A882" s="3" t="str">
        <f>IF(D882="","",(VLOOKUP($D882,KEY!$B$5:$D$74,3,FALSE)))</f>
        <v>Arizona</v>
      </c>
      <c r="B882" s="221">
        <v>45292</v>
      </c>
      <c r="C882" s="221" t="str">
        <f>IFERROR(VLOOKUP($B882,KEY!$AE$19:$AH$60,2,FALSE),"")</f>
        <v>2024-Q1</v>
      </c>
      <c r="D882" s="222" t="s">
        <v>163</v>
      </c>
      <c r="E882" s="218">
        <v>17</v>
      </c>
    </row>
    <row r="883" spans="1:5" x14ac:dyDescent="0.35">
      <c r="A883" s="3" t="str">
        <f>IF(D883="","",(VLOOKUP($D883,KEY!$B$5:$D$74,3,FALSE)))</f>
        <v>Arizona</v>
      </c>
      <c r="B883" s="221">
        <v>45292</v>
      </c>
      <c r="C883" s="221" t="str">
        <f>IFERROR(VLOOKUP($B883,KEY!$AE$19:$AH$60,2,FALSE),"")</f>
        <v>2024-Q1</v>
      </c>
      <c r="D883" s="222" t="s">
        <v>164</v>
      </c>
      <c r="E883" s="218">
        <v>7</v>
      </c>
    </row>
    <row r="884" spans="1:5" x14ac:dyDescent="0.35">
      <c r="A884" s="3" t="str">
        <f>IF(D884="","",(VLOOKUP($D884,KEY!$B$5:$D$74,3,FALSE)))</f>
        <v>Orange County</v>
      </c>
      <c r="B884" s="221">
        <v>45292</v>
      </c>
      <c r="C884" s="221" t="str">
        <f>IFERROR(VLOOKUP($B884,KEY!$AE$19:$AH$60,2,FALSE),"")</f>
        <v>2024-Q1</v>
      </c>
      <c r="D884" s="222" t="s">
        <v>165</v>
      </c>
      <c r="E884" s="218">
        <v>8</v>
      </c>
    </row>
    <row r="885" spans="1:5" x14ac:dyDescent="0.35">
      <c r="A885" s="3" t="str">
        <f>IF(D885="","",(VLOOKUP($D885,KEY!$B$5:$D$74,3,FALSE)))</f>
        <v>Arizona</v>
      </c>
      <c r="B885" s="221">
        <v>45323</v>
      </c>
      <c r="C885" s="221" t="str">
        <f>IFERROR(VLOOKUP($B885,KEY!$AE$19:$AH$60,2,FALSE),"")</f>
        <v>2024-Q1</v>
      </c>
      <c r="D885" s="222" t="s">
        <v>111</v>
      </c>
      <c r="E885" s="218">
        <v>8</v>
      </c>
    </row>
    <row r="886" spans="1:5" x14ac:dyDescent="0.35">
      <c r="A886" s="3" t="str">
        <f>IF(D886="","",(VLOOKUP($D886,KEY!$B$5:$D$74,3,FALSE)))</f>
        <v>Southern California</v>
      </c>
      <c r="B886" s="221">
        <v>45323</v>
      </c>
      <c r="C886" s="221" t="str">
        <f>IFERROR(VLOOKUP($B886,KEY!$AE$19:$AH$60,2,FALSE),"")</f>
        <v>2024-Q1</v>
      </c>
      <c r="D886" s="222" t="s">
        <v>112</v>
      </c>
      <c r="E886" s="218">
        <v>4</v>
      </c>
    </row>
    <row r="887" spans="1:5" x14ac:dyDescent="0.35">
      <c r="A887" s="3" t="str">
        <f>IF(D887="","",(VLOOKUP($D887,KEY!$B$5:$D$74,3,FALSE)))</f>
        <v>Arizona</v>
      </c>
      <c r="B887" s="221">
        <v>45323</v>
      </c>
      <c r="C887" s="221" t="str">
        <f>IFERROR(VLOOKUP($B887,KEY!$AE$19:$AH$60,2,FALSE),"")</f>
        <v>2024-Q1</v>
      </c>
      <c r="D887" s="222" t="s">
        <v>113</v>
      </c>
      <c r="E887" s="218">
        <v>9</v>
      </c>
    </row>
    <row r="888" spans="1:5" x14ac:dyDescent="0.35">
      <c r="A888" s="3" t="str">
        <f>IF(D888="","",(VLOOKUP($D888,KEY!$B$5:$D$74,3,FALSE)))</f>
        <v>Southern California</v>
      </c>
      <c r="B888" s="221">
        <v>45323</v>
      </c>
      <c r="C888" s="221" t="str">
        <f>IFERROR(VLOOKUP($B888,KEY!$AE$19:$AH$60,2,FALSE),"")</f>
        <v>2024-Q1</v>
      </c>
      <c r="D888" s="222" t="s">
        <v>114</v>
      </c>
      <c r="E888" s="218">
        <v>7</v>
      </c>
    </row>
    <row r="889" spans="1:5" x14ac:dyDescent="0.35">
      <c r="A889" s="3" t="str">
        <f>IF(D889="","",(VLOOKUP($D889,KEY!$B$5:$D$74,3,FALSE)))</f>
        <v>Orange County</v>
      </c>
      <c r="B889" s="221">
        <v>45323</v>
      </c>
      <c r="C889" s="221" t="str">
        <f>IFERROR(VLOOKUP($B889,KEY!$AE$19:$AH$60,2,FALSE),"")</f>
        <v>2024-Q1</v>
      </c>
      <c r="D889" s="222" t="s">
        <v>115</v>
      </c>
      <c r="E889" s="218">
        <v>6</v>
      </c>
    </row>
    <row r="890" spans="1:5" x14ac:dyDescent="0.35">
      <c r="A890" s="3" t="str">
        <f>IF(D890="","",(VLOOKUP($D890,KEY!$B$5:$D$74,3,FALSE)))</f>
        <v>Arizona</v>
      </c>
      <c r="B890" s="221">
        <v>45323</v>
      </c>
      <c r="C890" s="221" t="str">
        <f>IFERROR(VLOOKUP($B890,KEY!$AE$19:$AH$60,2,FALSE),"")</f>
        <v>2024-Q1</v>
      </c>
      <c r="D890" s="222" t="s">
        <v>116</v>
      </c>
      <c r="E890" s="218">
        <v>15</v>
      </c>
    </row>
    <row r="891" spans="1:5" x14ac:dyDescent="0.35">
      <c r="A891" s="3" t="str">
        <f>IF(D891="","",(VLOOKUP($D891,KEY!$B$5:$D$74,3,FALSE)))</f>
        <v>Orange County</v>
      </c>
      <c r="B891" s="221">
        <v>45323</v>
      </c>
      <c r="C891" s="221" t="str">
        <f>IFERROR(VLOOKUP($B891,KEY!$AE$19:$AH$60,2,FALSE),"")</f>
        <v>2024-Q1</v>
      </c>
      <c r="D891" s="222" t="s">
        <v>117</v>
      </c>
      <c r="E891" s="218">
        <v>9</v>
      </c>
    </row>
    <row r="892" spans="1:5" x14ac:dyDescent="0.35">
      <c r="A892" s="3" t="str">
        <f>IF(D892="","",(VLOOKUP($D892,KEY!$B$5:$D$74,3,FALSE)))</f>
        <v>Northern California</v>
      </c>
      <c r="B892" s="221">
        <v>45323</v>
      </c>
      <c r="C892" s="221" t="str">
        <f>IFERROR(VLOOKUP($B892,KEY!$AE$19:$AH$60,2,FALSE),"")</f>
        <v>2024-Q1</v>
      </c>
      <c r="D892" s="222" t="s">
        <v>118</v>
      </c>
      <c r="E892" s="218">
        <v>13</v>
      </c>
    </row>
    <row r="893" spans="1:5" x14ac:dyDescent="0.35">
      <c r="A893" s="3" t="str">
        <f>IF(D893="","",(VLOOKUP($D893,KEY!$B$5:$D$74,3,FALSE)))</f>
        <v>Arizona</v>
      </c>
      <c r="B893" s="221">
        <v>45323</v>
      </c>
      <c r="C893" s="221" t="str">
        <f>IFERROR(VLOOKUP($B893,KEY!$AE$19:$AH$60,2,FALSE),"")</f>
        <v>2024-Q1</v>
      </c>
      <c r="D893" s="222" t="s">
        <v>119</v>
      </c>
      <c r="E893" s="218">
        <v>4</v>
      </c>
    </row>
    <row r="894" spans="1:5" x14ac:dyDescent="0.35">
      <c r="A894" s="3" t="str">
        <f>IF(D894="","",(VLOOKUP($D894,KEY!$B$5:$D$74,3,FALSE)))</f>
        <v>Arizona</v>
      </c>
      <c r="B894" s="221">
        <v>45323</v>
      </c>
      <c r="C894" s="221" t="str">
        <f>IFERROR(VLOOKUP($B894,KEY!$AE$19:$AH$60,2,FALSE),"")</f>
        <v>2024-Q1</v>
      </c>
      <c r="D894" s="222" t="s">
        <v>120</v>
      </c>
      <c r="E894" s="218">
        <v>28</v>
      </c>
    </row>
    <row r="895" spans="1:5" x14ac:dyDescent="0.35">
      <c r="A895" s="3" t="str">
        <f>IF(D895="","",(VLOOKUP($D895,KEY!$B$5:$D$74,3,FALSE)))</f>
        <v>Texas</v>
      </c>
      <c r="B895" s="221">
        <v>45323</v>
      </c>
      <c r="C895" s="221" t="str">
        <f>IFERROR(VLOOKUP($B895,KEY!$AE$19:$AH$60,2,FALSE),"")</f>
        <v>2024-Q1</v>
      </c>
      <c r="D895" s="222" t="s">
        <v>121</v>
      </c>
      <c r="E895" s="218">
        <v>21</v>
      </c>
    </row>
    <row r="896" spans="1:5" x14ac:dyDescent="0.35">
      <c r="A896" s="3" t="str">
        <f>IF(D896="","",(VLOOKUP($D896,KEY!$B$5:$D$74,3,FALSE)))</f>
        <v>Southern California</v>
      </c>
      <c r="B896" s="221">
        <v>45323</v>
      </c>
      <c r="C896" s="221" t="str">
        <f>IFERROR(VLOOKUP($B896,KEY!$AE$19:$AH$60,2,FALSE),"")</f>
        <v>2024-Q1</v>
      </c>
      <c r="D896" s="222" t="s">
        <v>122</v>
      </c>
      <c r="E896" s="218">
        <v>10</v>
      </c>
    </row>
    <row r="897" spans="1:5" x14ac:dyDescent="0.35">
      <c r="A897" s="3" t="str">
        <f>IF(D897="","",(VLOOKUP($D897,KEY!$B$5:$D$74,3,FALSE)))</f>
        <v>Orange County</v>
      </c>
      <c r="B897" s="221">
        <v>45323</v>
      </c>
      <c r="C897" s="221" t="str">
        <f>IFERROR(VLOOKUP($B897,KEY!$AE$19:$AH$60,2,FALSE),"")</f>
        <v>2024-Q1</v>
      </c>
      <c r="D897" s="222" t="s">
        <v>123</v>
      </c>
      <c r="E897" s="218">
        <v>18</v>
      </c>
    </row>
    <row r="898" spans="1:5" x14ac:dyDescent="0.35">
      <c r="A898" s="3" t="str">
        <f>IF(D898="","",(VLOOKUP($D898,KEY!$B$5:$D$74,3,FALSE)))</f>
        <v>Southern California</v>
      </c>
      <c r="B898" s="221">
        <v>45323</v>
      </c>
      <c r="C898" s="221" t="str">
        <f>IFERROR(VLOOKUP($B898,KEY!$AE$19:$AH$60,2,FALSE),"")</f>
        <v>2024-Q1</v>
      </c>
      <c r="D898" s="222" t="s">
        <v>124</v>
      </c>
      <c r="E898" s="218">
        <v>23</v>
      </c>
    </row>
    <row r="899" spans="1:5" x14ac:dyDescent="0.35">
      <c r="A899" s="3" t="str">
        <f>IF(D899="","",(VLOOKUP($D899,KEY!$B$5:$D$74,3,FALSE)))</f>
        <v>Northern California</v>
      </c>
      <c r="B899" s="221">
        <v>45323</v>
      </c>
      <c r="C899" s="221" t="str">
        <f>IFERROR(VLOOKUP($B899,KEY!$AE$19:$AH$60,2,FALSE),"")</f>
        <v>2024-Q1</v>
      </c>
      <c r="D899" s="222" t="s">
        <v>195</v>
      </c>
      <c r="E899" s="218">
        <v>6</v>
      </c>
    </row>
    <row r="900" spans="1:5" x14ac:dyDescent="0.35">
      <c r="A900" s="3" t="str">
        <f>IF(D900="","",(VLOOKUP($D900,KEY!$B$5:$D$74,3,FALSE)))</f>
        <v>Northern California</v>
      </c>
      <c r="B900" s="221">
        <v>45323</v>
      </c>
      <c r="C900" s="221" t="str">
        <f>IFERROR(VLOOKUP($B900,KEY!$AE$19:$AH$60,2,FALSE),"")</f>
        <v>2024-Q1</v>
      </c>
      <c r="D900" s="222" t="s">
        <v>125</v>
      </c>
      <c r="E900" s="218">
        <v>18</v>
      </c>
    </row>
    <row r="901" spans="1:5" x14ac:dyDescent="0.35">
      <c r="A901" s="3" t="str">
        <f>IF(D901="","",(VLOOKUP($D901,KEY!$B$5:$D$74,3,FALSE)))</f>
        <v>Orange County</v>
      </c>
      <c r="B901" s="221">
        <v>45323</v>
      </c>
      <c r="C901" s="221" t="str">
        <f>IFERROR(VLOOKUP($B901,KEY!$AE$19:$AH$60,2,FALSE),"")</f>
        <v>2024-Q1</v>
      </c>
      <c r="D901" s="222" t="s">
        <v>126</v>
      </c>
      <c r="E901" s="218">
        <v>33</v>
      </c>
    </row>
    <row r="902" spans="1:5" x14ac:dyDescent="0.35">
      <c r="A902" s="3" t="str">
        <f>IF(D902="","",(VLOOKUP($D902,KEY!$B$5:$D$74,3,FALSE)))</f>
        <v>Orange County</v>
      </c>
      <c r="B902" s="221">
        <v>45323</v>
      </c>
      <c r="C902" s="221" t="str">
        <f>IFERROR(VLOOKUP($B902,KEY!$AE$19:$AH$60,2,FALSE),"")</f>
        <v>2024-Q1</v>
      </c>
      <c r="D902" s="222" t="s">
        <v>127</v>
      </c>
      <c r="E902" s="218">
        <v>4</v>
      </c>
    </row>
    <row r="903" spans="1:5" x14ac:dyDescent="0.35">
      <c r="A903" s="3" t="str">
        <f>IF(D903="","",(VLOOKUP($D903,KEY!$B$5:$D$74,3,FALSE)))</f>
        <v>Texas</v>
      </c>
      <c r="B903" s="221">
        <v>45323</v>
      </c>
      <c r="C903" s="221" t="str">
        <f>IFERROR(VLOOKUP($B903,KEY!$AE$19:$AH$60,2,FALSE),"")</f>
        <v>2024-Q1</v>
      </c>
      <c r="D903" s="222" t="s">
        <v>128</v>
      </c>
      <c r="E903" s="218">
        <v>12</v>
      </c>
    </row>
    <row r="904" spans="1:5" x14ac:dyDescent="0.35">
      <c r="A904" s="3" t="str">
        <f>IF(D904="","",(VLOOKUP($D904,KEY!$B$5:$D$74,3,FALSE)))</f>
        <v>Northern California</v>
      </c>
      <c r="B904" s="221">
        <v>45323</v>
      </c>
      <c r="C904" s="221" t="str">
        <f>IFERROR(VLOOKUP($B904,KEY!$AE$19:$AH$60,2,FALSE),"")</f>
        <v>2024-Q1</v>
      </c>
      <c r="D904" s="222" t="s">
        <v>129</v>
      </c>
      <c r="E904" s="218">
        <v>17</v>
      </c>
    </row>
    <row r="905" spans="1:5" x14ac:dyDescent="0.35">
      <c r="A905" s="3" t="str">
        <f>IF(D905="","",(VLOOKUP($D905,KEY!$B$5:$D$74,3,FALSE)))</f>
        <v>Southern California</v>
      </c>
      <c r="B905" s="221">
        <v>45323</v>
      </c>
      <c r="C905" s="221" t="str">
        <f>IFERROR(VLOOKUP($B905,KEY!$AE$19:$AH$60,2,FALSE),"")</f>
        <v>2024-Q1</v>
      </c>
      <c r="D905" s="222" t="s">
        <v>130</v>
      </c>
      <c r="E905" s="218">
        <v>9</v>
      </c>
    </row>
    <row r="906" spans="1:5" x14ac:dyDescent="0.35">
      <c r="A906" s="3">
        <f>IF(D906="","",(VLOOKUP($D906,KEY!$B$5:$D$74,3,FALSE)))</f>
        <v>0</v>
      </c>
      <c r="B906" s="221">
        <v>45323</v>
      </c>
      <c r="C906" s="221" t="str">
        <f>IFERROR(VLOOKUP($B906,KEY!$AE$19:$AH$60,2,FALSE),"")</f>
        <v>2024-Q1</v>
      </c>
      <c r="D906" s="222" t="s">
        <v>131</v>
      </c>
      <c r="E906" s="218">
        <v>16</v>
      </c>
    </row>
    <row r="907" spans="1:5" x14ac:dyDescent="0.35">
      <c r="A907" s="3" t="e">
        <f>IF(D907="","",(VLOOKUP($D907,KEY!$B$5:$D$74,3,FALSE)))</f>
        <v>#N/A</v>
      </c>
      <c r="B907" s="221">
        <v>45323</v>
      </c>
      <c r="C907" s="221" t="str">
        <f>IFERROR(VLOOKUP($B907,KEY!$AE$19:$AH$60,2,FALSE),"")</f>
        <v>2024-Q1</v>
      </c>
      <c r="D907" s="222" t="s">
        <v>134</v>
      </c>
      <c r="E907" s="218">
        <v>3</v>
      </c>
    </row>
    <row r="908" spans="1:5" x14ac:dyDescent="0.35">
      <c r="A908" s="3" t="str">
        <f>IF(D908="","",(VLOOKUP($D908,KEY!$B$5:$D$74,3,FALSE)))</f>
        <v>Southern California</v>
      </c>
      <c r="B908" s="221">
        <v>45323</v>
      </c>
      <c r="C908" s="221" t="str">
        <f>IFERROR(VLOOKUP($B908,KEY!$AE$19:$AH$60,2,FALSE),"")</f>
        <v>2024-Q1</v>
      </c>
      <c r="D908" s="222" t="s">
        <v>135</v>
      </c>
      <c r="E908" s="218">
        <v>16</v>
      </c>
    </row>
    <row r="909" spans="1:5" x14ac:dyDescent="0.35">
      <c r="A909" s="3" t="str">
        <f>IF(D909="","",(VLOOKUP($D909,KEY!$B$5:$D$74,3,FALSE)))</f>
        <v>Arizona</v>
      </c>
      <c r="B909" s="221">
        <v>45323</v>
      </c>
      <c r="C909" s="221" t="str">
        <f>IFERROR(VLOOKUP($B909,KEY!$AE$19:$AH$60,2,FALSE),"")</f>
        <v>2024-Q1</v>
      </c>
      <c r="D909" s="222" t="s">
        <v>196</v>
      </c>
      <c r="E909" s="218">
        <v>5</v>
      </c>
    </row>
    <row r="910" spans="1:5" x14ac:dyDescent="0.35">
      <c r="A910" s="3" t="str">
        <f>IF(D910="","",(VLOOKUP($D910,KEY!$B$5:$D$74,3,FALSE)))</f>
        <v>Arizona</v>
      </c>
      <c r="B910" s="221">
        <v>45323</v>
      </c>
      <c r="C910" s="221" t="str">
        <f>IFERROR(VLOOKUP($B910,KEY!$AE$19:$AH$60,2,FALSE),"")</f>
        <v>2024-Q1</v>
      </c>
      <c r="D910" s="222" t="s">
        <v>197</v>
      </c>
      <c r="E910" s="218">
        <v>11</v>
      </c>
    </row>
    <row r="911" spans="1:5" x14ac:dyDescent="0.35">
      <c r="A911" s="3" t="str">
        <f>IF(D911="","",(VLOOKUP($D911,KEY!$B$5:$D$74,3,FALSE)))</f>
        <v>Texas</v>
      </c>
      <c r="B911" s="221">
        <v>45323</v>
      </c>
      <c r="C911" s="221" t="str">
        <f>IFERROR(VLOOKUP($B911,KEY!$AE$19:$AH$60,2,FALSE),"")</f>
        <v>2024-Q1</v>
      </c>
      <c r="D911" s="222" t="s">
        <v>136</v>
      </c>
      <c r="E911" s="218">
        <v>15</v>
      </c>
    </row>
    <row r="912" spans="1:5" x14ac:dyDescent="0.35">
      <c r="A912" s="3" t="str">
        <f>IF(D912="","",(VLOOKUP($D912,KEY!$B$5:$D$74,3,FALSE)))</f>
        <v>Arizona</v>
      </c>
      <c r="B912" s="221">
        <v>45323</v>
      </c>
      <c r="C912" s="221" t="str">
        <f>IFERROR(VLOOKUP($B912,KEY!$AE$19:$AH$60,2,FALSE),"")</f>
        <v>2024-Q1</v>
      </c>
      <c r="D912" s="222" t="s">
        <v>137</v>
      </c>
      <c r="E912" s="218">
        <v>9</v>
      </c>
    </row>
    <row r="913" spans="1:5" x14ac:dyDescent="0.35">
      <c r="A913" s="3" t="str">
        <f>IF(D913="","",(VLOOKUP($D913,KEY!$B$5:$D$74,3,FALSE)))</f>
        <v>Texas</v>
      </c>
      <c r="B913" s="221">
        <v>45323</v>
      </c>
      <c r="C913" s="221" t="str">
        <f>IFERROR(VLOOKUP($B913,KEY!$AE$19:$AH$60,2,FALSE),"")</f>
        <v>2024-Q1</v>
      </c>
      <c r="D913" s="222" t="s">
        <v>138</v>
      </c>
      <c r="E913" s="218">
        <v>8</v>
      </c>
    </row>
    <row r="914" spans="1:5" x14ac:dyDescent="0.35">
      <c r="A914" s="3" t="str">
        <f>IF(D914="","",(VLOOKUP($D914,KEY!$B$5:$D$74,3,FALSE)))</f>
        <v>Southern California</v>
      </c>
      <c r="B914" s="221">
        <v>45323</v>
      </c>
      <c r="C914" s="221" t="str">
        <f>IFERROR(VLOOKUP($B914,KEY!$AE$19:$AH$60,2,FALSE),"")</f>
        <v>2024-Q1</v>
      </c>
      <c r="D914" s="222" t="s">
        <v>139</v>
      </c>
      <c r="E914" s="218">
        <v>12</v>
      </c>
    </row>
    <row r="915" spans="1:5" x14ac:dyDescent="0.35">
      <c r="A915" s="3" t="str">
        <f>IF(D915="","",(VLOOKUP($D915,KEY!$B$5:$D$74,3,FALSE)))</f>
        <v>Orange County</v>
      </c>
      <c r="B915" s="221">
        <v>45323</v>
      </c>
      <c r="C915" s="221" t="str">
        <f>IFERROR(VLOOKUP($B915,KEY!$AE$19:$AH$60,2,FALSE),"")</f>
        <v>2024-Q1</v>
      </c>
      <c r="D915" s="222" t="s">
        <v>140</v>
      </c>
      <c r="E915" s="218">
        <v>3</v>
      </c>
    </row>
    <row r="916" spans="1:5" x14ac:dyDescent="0.35">
      <c r="A916" s="3" t="str">
        <f>IF(D916="","",(VLOOKUP($D916,KEY!$B$5:$D$74,3,FALSE)))</f>
        <v>Southern California</v>
      </c>
      <c r="B916" s="221">
        <v>45323</v>
      </c>
      <c r="C916" s="221" t="str">
        <f>IFERROR(VLOOKUP($B916,KEY!$AE$19:$AH$60,2,FALSE),"")</f>
        <v>2024-Q1</v>
      </c>
      <c r="D916" s="222" t="s">
        <v>142</v>
      </c>
      <c r="E916" s="218">
        <v>4</v>
      </c>
    </row>
    <row r="917" spans="1:5" x14ac:dyDescent="0.35">
      <c r="A917" s="3" t="str">
        <f>IF(D917="","",(VLOOKUP($D917,KEY!$B$5:$D$74,3,FALSE)))</f>
        <v>Arizona</v>
      </c>
      <c r="B917" s="221">
        <v>45323</v>
      </c>
      <c r="C917" s="221" t="str">
        <f>IFERROR(VLOOKUP($B917,KEY!$AE$19:$AH$60,2,FALSE),"")</f>
        <v>2024-Q1</v>
      </c>
      <c r="D917" s="222" t="s">
        <v>143</v>
      </c>
      <c r="E917" s="218">
        <v>8</v>
      </c>
    </row>
    <row r="918" spans="1:5" x14ac:dyDescent="0.35">
      <c r="A918" s="3" t="str">
        <f>IF(D918="","",(VLOOKUP($D918,KEY!$B$5:$D$74,3,FALSE)))</f>
        <v>Arizona</v>
      </c>
      <c r="B918" s="221">
        <v>45323</v>
      </c>
      <c r="C918" s="221" t="str">
        <f>IFERROR(VLOOKUP($B918,KEY!$AE$19:$AH$60,2,FALSE),"")</f>
        <v>2024-Q1</v>
      </c>
      <c r="D918" s="222" t="s">
        <v>144</v>
      </c>
      <c r="E918" s="218">
        <v>19</v>
      </c>
    </row>
    <row r="919" spans="1:5" x14ac:dyDescent="0.35">
      <c r="A919" s="3" t="str">
        <f>IF(D919="","",(VLOOKUP($D919,KEY!$B$5:$D$74,3,FALSE)))</f>
        <v>Southern California</v>
      </c>
      <c r="B919" s="221">
        <v>45323</v>
      </c>
      <c r="C919" s="221" t="str">
        <f>IFERROR(VLOOKUP($B919,KEY!$AE$19:$AH$60,2,FALSE),"")</f>
        <v>2024-Q1</v>
      </c>
      <c r="D919" s="222" t="s">
        <v>145</v>
      </c>
      <c r="E919" s="218">
        <v>14</v>
      </c>
    </row>
    <row r="920" spans="1:5" x14ac:dyDescent="0.35">
      <c r="A920" s="3" t="str">
        <f>IF(D920="","",(VLOOKUP($D920,KEY!$B$5:$D$74,3,FALSE)))</f>
        <v>Arizona</v>
      </c>
      <c r="B920" s="221">
        <v>45323</v>
      </c>
      <c r="C920" s="221" t="str">
        <f>IFERROR(VLOOKUP($B920,KEY!$AE$19:$AH$60,2,FALSE),"")</f>
        <v>2024-Q1</v>
      </c>
      <c r="D920" s="222" t="s">
        <v>146</v>
      </c>
      <c r="E920" s="218">
        <v>4</v>
      </c>
    </row>
    <row r="921" spans="1:5" x14ac:dyDescent="0.35">
      <c r="A921" s="3" t="str">
        <f>IF(D921="","",(VLOOKUP($D921,KEY!$B$5:$D$74,3,FALSE)))</f>
        <v>Texas</v>
      </c>
      <c r="B921" s="221">
        <v>45323</v>
      </c>
      <c r="C921" s="221" t="str">
        <f>IFERROR(VLOOKUP($B921,KEY!$AE$19:$AH$60,2,FALSE),"")</f>
        <v>2024-Q1</v>
      </c>
      <c r="D921" s="222" t="s">
        <v>147</v>
      </c>
      <c r="E921" s="218">
        <v>4</v>
      </c>
    </row>
    <row r="922" spans="1:5" x14ac:dyDescent="0.35">
      <c r="A922" s="3" t="str">
        <f>IF(D922="","",(VLOOKUP($D922,KEY!$B$5:$D$74,3,FALSE)))</f>
        <v>Northern California</v>
      </c>
      <c r="B922" s="221">
        <v>45323</v>
      </c>
      <c r="C922" s="221" t="str">
        <f>IFERROR(VLOOKUP($B922,KEY!$AE$19:$AH$60,2,FALSE),"")</f>
        <v>2024-Q1</v>
      </c>
      <c r="D922" s="222" t="s">
        <v>148</v>
      </c>
      <c r="E922" s="218">
        <v>4</v>
      </c>
    </row>
    <row r="923" spans="1:5" x14ac:dyDescent="0.35">
      <c r="A923" s="3" t="str">
        <f>IF(D923="","",(VLOOKUP($D923,KEY!$B$5:$D$74,3,FALSE)))</f>
        <v>Orange County</v>
      </c>
      <c r="B923" s="221">
        <v>45323</v>
      </c>
      <c r="C923" s="221" t="str">
        <f>IFERROR(VLOOKUP($B923,KEY!$AE$19:$AH$60,2,FALSE),"")</f>
        <v>2024-Q1</v>
      </c>
      <c r="D923" s="222" t="s">
        <v>149</v>
      </c>
      <c r="E923" s="218">
        <v>3</v>
      </c>
    </row>
    <row r="924" spans="1:5" x14ac:dyDescent="0.35">
      <c r="A924" s="3" t="str">
        <f>IF(D924="","",(VLOOKUP($D924,KEY!$B$5:$D$74,3,FALSE)))</f>
        <v>Southern California</v>
      </c>
      <c r="B924" s="221">
        <v>45323</v>
      </c>
      <c r="C924" s="221" t="str">
        <f>IFERROR(VLOOKUP($B924,KEY!$AE$19:$AH$60,2,FALSE),"")</f>
        <v>2024-Q1</v>
      </c>
      <c r="D924" s="222" t="s">
        <v>150</v>
      </c>
      <c r="E924" s="218">
        <v>5</v>
      </c>
    </row>
    <row r="925" spans="1:5" x14ac:dyDescent="0.35">
      <c r="A925" s="3" t="str">
        <f>IF(D925="","",(VLOOKUP($D925,KEY!$B$5:$D$74,3,FALSE)))</f>
        <v>Arizona</v>
      </c>
      <c r="B925" s="221">
        <v>45323</v>
      </c>
      <c r="C925" s="221" t="str">
        <f>IFERROR(VLOOKUP($B925,KEY!$AE$19:$AH$60,2,FALSE),"")</f>
        <v>2024-Q1</v>
      </c>
      <c r="D925" s="222" t="s">
        <v>151</v>
      </c>
      <c r="E925" s="218">
        <v>4</v>
      </c>
    </row>
    <row r="926" spans="1:5" x14ac:dyDescent="0.35">
      <c r="A926" s="3" t="str">
        <f>IF(D926="","",(VLOOKUP($D926,KEY!$B$5:$D$74,3,FALSE)))</f>
        <v>Northern California</v>
      </c>
      <c r="B926" s="221">
        <v>45323</v>
      </c>
      <c r="C926" s="221" t="str">
        <f>IFERROR(VLOOKUP($B926,KEY!$AE$19:$AH$60,2,FALSE),"")</f>
        <v>2024-Q1</v>
      </c>
      <c r="D926" s="222" t="s">
        <v>152</v>
      </c>
      <c r="E926" s="218">
        <v>13</v>
      </c>
    </row>
    <row r="927" spans="1:5" x14ac:dyDescent="0.35">
      <c r="A927" s="3" t="str">
        <f>IF(D927="","",(VLOOKUP($D927,KEY!$B$5:$D$74,3,FALSE)))</f>
        <v>Arizona</v>
      </c>
      <c r="B927" s="221">
        <v>45323</v>
      </c>
      <c r="C927" s="221" t="str">
        <f>IFERROR(VLOOKUP($B927,KEY!$AE$19:$AH$60,2,FALSE),"")</f>
        <v>2024-Q1</v>
      </c>
      <c r="D927" s="222" t="s">
        <v>153</v>
      </c>
      <c r="E927" s="218">
        <v>13</v>
      </c>
    </row>
    <row r="928" spans="1:5" x14ac:dyDescent="0.35">
      <c r="A928" s="3" t="str">
        <f>IF(D928="","",(VLOOKUP($D928,KEY!$B$5:$D$74,3,FALSE)))</f>
        <v>Northern California</v>
      </c>
      <c r="B928" s="221">
        <v>45323</v>
      </c>
      <c r="C928" s="221" t="str">
        <f>IFERROR(VLOOKUP($B928,KEY!$AE$19:$AH$60,2,FALSE),"")</f>
        <v>2024-Q1</v>
      </c>
      <c r="D928" s="222" t="s">
        <v>154</v>
      </c>
      <c r="E928" s="218">
        <v>7</v>
      </c>
    </row>
    <row r="929" spans="1:5" x14ac:dyDescent="0.35">
      <c r="A929" s="3" t="str">
        <f>IF(D929="","",(VLOOKUP($D929,KEY!$B$5:$D$74,3,FALSE)))</f>
        <v>Texas</v>
      </c>
      <c r="B929" s="221">
        <v>45323</v>
      </c>
      <c r="C929" s="221" t="str">
        <f>IFERROR(VLOOKUP($B929,KEY!$AE$19:$AH$60,2,FALSE),"")</f>
        <v>2024-Q1</v>
      </c>
      <c r="D929" s="222" t="s">
        <v>155</v>
      </c>
      <c r="E929" s="218">
        <v>25</v>
      </c>
    </row>
    <row r="930" spans="1:5" x14ac:dyDescent="0.35">
      <c r="A930" s="3" t="str">
        <f>IF(D930="","",(VLOOKUP($D930,KEY!$B$5:$D$74,3,FALSE)))</f>
        <v>Texas</v>
      </c>
      <c r="B930" s="221">
        <v>45323</v>
      </c>
      <c r="C930" s="221" t="str">
        <f>IFERROR(VLOOKUP($B930,KEY!$AE$19:$AH$60,2,FALSE),"")</f>
        <v>2024-Q1</v>
      </c>
      <c r="D930" s="222" t="s">
        <v>156</v>
      </c>
      <c r="E930" s="218">
        <v>21</v>
      </c>
    </row>
    <row r="931" spans="1:5" x14ac:dyDescent="0.35">
      <c r="A931" s="3" t="str">
        <f>IF(D931="","",(VLOOKUP($D931,KEY!$B$5:$D$74,3,FALSE)))</f>
        <v>Texas</v>
      </c>
      <c r="B931" s="221">
        <v>45323</v>
      </c>
      <c r="C931" s="221" t="str">
        <f>IFERROR(VLOOKUP($B931,KEY!$AE$19:$AH$60,2,FALSE),"")</f>
        <v>2024-Q1</v>
      </c>
      <c r="D931" s="222" t="s">
        <v>157</v>
      </c>
      <c r="E931" s="218">
        <v>34</v>
      </c>
    </row>
    <row r="932" spans="1:5" x14ac:dyDescent="0.35">
      <c r="A932" s="3" t="str">
        <f>IF(D932="","",(VLOOKUP($D932,KEY!$B$5:$D$74,3,FALSE)))</f>
        <v>Arizona</v>
      </c>
      <c r="B932" s="221">
        <v>45323</v>
      </c>
      <c r="C932" s="221" t="str">
        <f>IFERROR(VLOOKUP($B932,KEY!$AE$19:$AH$60,2,FALSE),"")</f>
        <v>2024-Q1</v>
      </c>
      <c r="D932" s="222" t="s">
        <v>158</v>
      </c>
      <c r="E932" s="218">
        <v>6</v>
      </c>
    </row>
    <row r="933" spans="1:5" x14ac:dyDescent="0.35">
      <c r="A933" s="3" t="str">
        <f>IF(D933="","",(VLOOKUP($D933,KEY!$B$5:$D$74,3,FALSE)))</f>
        <v>Orange County</v>
      </c>
      <c r="B933" s="221">
        <v>45323</v>
      </c>
      <c r="C933" s="221" t="str">
        <f>IFERROR(VLOOKUP($B933,KEY!$AE$19:$AH$60,2,FALSE),"")</f>
        <v>2024-Q1</v>
      </c>
      <c r="D933" s="222" t="s">
        <v>159</v>
      </c>
      <c r="E933" s="218">
        <v>8</v>
      </c>
    </row>
    <row r="934" spans="1:5" x14ac:dyDescent="0.35">
      <c r="A934" s="3" t="str">
        <f>IF(D934="","",(VLOOKUP($D934,KEY!$B$5:$D$74,3,FALSE)))</f>
        <v>Arizona</v>
      </c>
      <c r="B934" s="221">
        <v>45323</v>
      </c>
      <c r="C934" s="221" t="str">
        <f>IFERROR(VLOOKUP($B934,KEY!$AE$19:$AH$60,2,FALSE),"")</f>
        <v>2024-Q1</v>
      </c>
      <c r="D934" s="222" t="s">
        <v>160</v>
      </c>
      <c r="E934" s="218">
        <v>22</v>
      </c>
    </row>
    <row r="935" spans="1:5" x14ac:dyDescent="0.35">
      <c r="A935" s="3" t="str">
        <f>IF(D935="","",(VLOOKUP($D935,KEY!$B$5:$D$74,3,FALSE)))</f>
        <v>Northern California</v>
      </c>
      <c r="B935" s="221">
        <v>45323</v>
      </c>
      <c r="C935" s="221" t="str">
        <f>IFERROR(VLOOKUP($B935,KEY!$AE$19:$AH$60,2,FALSE),"")</f>
        <v>2024-Q1</v>
      </c>
      <c r="D935" s="222" t="s">
        <v>161</v>
      </c>
      <c r="E935" s="218">
        <v>21</v>
      </c>
    </row>
    <row r="936" spans="1:5" x14ac:dyDescent="0.35">
      <c r="A936" s="3" t="e">
        <f>IF(D936="","",(VLOOKUP($D936,KEY!$B$5:$D$74,3,FALSE)))</f>
        <v>#N/A</v>
      </c>
      <c r="B936" s="221">
        <v>45323</v>
      </c>
      <c r="C936" s="221" t="str">
        <f>IFERROR(VLOOKUP($B936,KEY!$AE$19:$AH$60,2,FALSE),"")</f>
        <v>2024-Q1</v>
      </c>
      <c r="D936" s="222" t="s">
        <v>162</v>
      </c>
      <c r="E936" s="218">
        <v>31</v>
      </c>
    </row>
    <row r="937" spans="1:5" x14ac:dyDescent="0.35">
      <c r="A937" s="3" t="str">
        <f>IF(D937="","",(VLOOKUP($D937,KEY!$B$5:$D$74,3,FALSE)))</f>
        <v>Arizona</v>
      </c>
      <c r="B937" s="221">
        <v>45323</v>
      </c>
      <c r="C937" s="221" t="str">
        <f>IFERROR(VLOOKUP($B937,KEY!$AE$19:$AH$60,2,FALSE),"")</f>
        <v>2024-Q1</v>
      </c>
      <c r="D937" s="222" t="s">
        <v>163</v>
      </c>
      <c r="E937" s="218">
        <v>19</v>
      </c>
    </row>
    <row r="938" spans="1:5" x14ac:dyDescent="0.35">
      <c r="A938" s="3" t="str">
        <f>IF(D938="","",(VLOOKUP($D938,KEY!$B$5:$D$74,3,FALSE)))</f>
        <v>Arizona</v>
      </c>
      <c r="B938" s="221">
        <v>45323</v>
      </c>
      <c r="C938" s="221" t="str">
        <f>IFERROR(VLOOKUP($B938,KEY!$AE$19:$AH$60,2,FALSE),"")</f>
        <v>2024-Q1</v>
      </c>
      <c r="D938" s="222" t="s">
        <v>164</v>
      </c>
      <c r="E938" s="218">
        <v>6</v>
      </c>
    </row>
    <row r="939" spans="1:5" x14ac:dyDescent="0.35">
      <c r="A939" s="3" t="str">
        <f>IF(D939="","",(VLOOKUP($D939,KEY!$B$5:$D$74,3,FALSE)))</f>
        <v>Orange County</v>
      </c>
      <c r="B939" s="221">
        <v>45323</v>
      </c>
      <c r="C939" s="221" t="str">
        <f>IFERROR(VLOOKUP($B939,KEY!$AE$19:$AH$60,2,FALSE),"")</f>
        <v>2024-Q1</v>
      </c>
      <c r="D939" s="222" t="s">
        <v>165</v>
      </c>
      <c r="E939" s="218">
        <v>9</v>
      </c>
    </row>
    <row r="940" spans="1:5" x14ac:dyDescent="0.35">
      <c r="A940" s="3" t="str">
        <f>IF(D940="","",(VLOOKUP($D940,KEY!$B$5:$D$74,3,FALSE)))</f>
        <v>Arizona</v>
      </c>
      <c r="B940" s="221">
        <v>45352</v>
      </c>
      <c r="C940" s="221" t="str">
        <f>IFERROR(VLOOKUP($B940,KEY!$AE$19:$AH$60,2,FALSE),"")</f>
        <v>2024-Q1</v>
      </c>
      <c r="D940" s="222" t="s">
        <v>111</v>
      </c>
      <c r="E940" s="218">
        <v>8</v>
      </c>
    </row>
    <row r="941" spans="1:5" x14ac:dyDescent="0.35">
      <c r="A941" s="3" t="str">
        <f>IF(D941="","",(VLOOKUP($D941,KEY!$B$5:$D$74,3,FALSE)))</f>
        <v>Southern California</v>
      </c>
      <c r="B941" s="221">
        <v>45352</v>
      </c>
      <c r="C941" s="221" t="str">
        <f>IFERROR(VLOOKUP($B941,KEY!$AE$19:$AH$60,2,FALSE),"")</f>
        <v>2024-Q1</v>
      </c>
      <c r="D941" s="222" t="s">
        <v>112</v>
      </c>
      <c r="E941" s="218">
        <v>4</v>
      </c>
    </row>
    <row r="942" spans="1:5" x14ac:dyDescent="0.35">
      <c r="A942" s="3" t="str">
        <f>IF(D942="","",(VLOOKUP($D942,KEY!$B$5:$D$74,3,FALSE)))</f>
        <v>Arizona</v>
      </c>
      <c r="B942" s="221">
        <v>45352</v>
      </c>
      <c r="C942" s="221" t="str">
        <f>IFERROR(VLOOKUP($B942,KEY!$AE$19:$AH$60,2,FALSE),"")</f>
        <v>2024-Q1</v>
      </c>
      <c r="D942" s="222" t="s">
        <v>113</v>
      </c>
      <c r="E942" s="218">
        <v>8</v>
      </c>
    </row>
    <row r="943" spans="1:5" x14ac:dyDescent="0.35">
      <c r="A943" s="3" t="str">
        <f>IF(D943="","",(VLOOKUP($D943,KEY!$B$5:$D$74,3,FALSE)))</f>
        <v>Southern California</v>
      </c>
      <c r="B943" s="221">
        <v>45352</v>
      </c>
      <c r="C943" s="221" t="str">
        <f>IFERROR(VLOOKUP($B943,KEY!$AE$19:$AH$60,2,FALSE),"")</f>
        <v>2024-Q1</v>
      </c>
      <c r="D943" s="222" t="s">
        <v>114</v>
      </c>
      <c r="E943" s="218">
        <v>7</v>
      </c>
    </row>
    <row r="944" spans="1:5" x14ac:dyDescent="0.35">
      <c r="A944" s="3" t="str">
        <f>IF(D944="","",(VLOOKUP($D944,KEY!$B$5:$D$74,3,FALSE)))</f>
        <v>Orange County</v>
      </c>
      <c r="B944" s="221">
        <v>45352</v>
      </c>
      <c r="C944" s="221" t="str">
        <f>IFERROR(VLOOKUP($B944,KEY!$AE$19:$AH$60,2,FALSE),"")</f>
        <v>2024-Q1</v>
      </c>
      <c r="D944" s="222" t="s">
        <v>115</v>
      </c>
      <c r="E944" s="218">
        <v>6</v>
      </c>
    </row>
    <row r="945" spans="1:5" x14ac:dyDescent="0.35">
      <c r="A945" s="3" t="str">
        <f>IF(D945="","",(VLOOKUP($D945,KEY!$B$5:$D$74,3,FALSE)))</f>
        <v>Arizona</v>
      </c>
      <c r="B945" s="221">
        <v>45352</v>
      </c>
      <c r="C945" s="221" t="str">
        <f>IFERROR(VLOOKUP($B945,KEY!$AE$19:$AH$60,2,FALSE),"")</f>
        <v>2024-Q1</v>
      </c>
      <c r="D945" s="222" t="s">
        <v>116</v>
      </c>
      <c r="E945" s="218">
        <v>10</v>
      </c>
    </row>
    <row r="946" spans="1:5" x14ac:dyDescent="0.35">
      <c r="A946" s="3" t="str">
        <f>IF(D946="","",(VLOOKUP($D946,KEY!$B$5:$D$74,3,FALSE)))</f>
        <v>Orange County</v>
      </c>
      <c r="B946" s="221">
        <v>45352</v>
      </c>
      <c r="C946" s="221" t="str">
        <f>IFERROR(VLOOKUP($B946,KEY!$AE$19:$AH$60,2,FALSE),"")</f>
        <v>2024-Q1</v>
      </c>
      <c r="D946" s="222" t="s">
        <v>117</v>
      </c>
      <c r="E946" s="218">
        <v>7</v>
      </c>
    </row>
    <row r="947" spans="1:5" x14ac:dyDescent="0.35">
      <c r="A947" s="3" t="str">
        <f>IF(D947="","",(VLOOKUP($D947,KEY!$B$5:$D$74,3,FALSE)))</f>
        <v>Northern California</v>
      </c>
      <c r="B947" s="221">
        <v>45352</v>
      </c>
      <c r="C947" s="221" t="str">
        <f>IFERROR(VLOOKUP($B947,KEY!$AE$19:$AH$60,2,FALSE),"")</f>
        <v>2024-Q1</v>
      </c>
      <c r="D947" s="222" t="s">
        <v>118</v>
      </c>
      <c r="E947" s="218">
        <v>13</v>
      </c>
    </row>
    <row r="948" spans="1:5" x14ac:dyDescent="0.35">
      <c r="A948" s="3" t="str">
        <f>IF(D948="","",(VLOOKUP($D948,KEY!$B$5:$D$74,3,FALSE)))</f>
        <v>Arizona</v>
      </c>
      <c r="B948" s="221">
        <v>45352</v>
      </c>
      <c r="C948" s="221" t="str">
        <f>IFERROR(VLOOKUP($B948,KEY!$AE$19:$AH$60,2,FALSE),"")</f>
        <v>2024-Q1</v>
      </c>
      <c r="D948" s="222" t="s">
        <v>119</v>
      </c>
      <c r="E948" s="218">
        <v>4</v>
      </c>
    </row>
    <row r="949" spans="1:5" x14ac:dyDescent="0.35">
      <c r="A949" s="3" t="str">
        <f>IF(D949="","",(VLOOKUP($D949,KEY!$B$5:$D$74,3,FALSE)))</f>
        <v>Arizona</v>
      </c>
      <c r="B949" s="221">
        <v>45352</v>
      </c>
      <c r="C949" s="221" t="str">
        <f>IFERROR(VLOOKUP($B949,KEY!$AE$19:$AH$60,2,FALSE),"")</f>
        <v>2024-Q1</v>
      </c>
      <c r="D949" s="222" t="s">
        <v>120</v>
      </c>
      <c r="E949" s="218">
        <v>28</v>
      </c>
    </row>
    <row r="950" spans="1:5" x14ac:dyDescent="0.35">
      <c r="A950" s="3" t="str">
        <f>IF(D950="","",(VLOOKUP($D950,KEY!$B$5:$D$74,3,FALSE)))</f>
        <v>Texas</v>
      </c>
      <c r="B950" s="221">
        <v>45352</v>
      </c>
      <c r="C950" s="221" t="str">
        <f>IFERROR(VLOOKUP($B950,KEY!$AE$19:$AH$60,2,FALSE),"")</f>
        <v>2024-Q1</v>
      </c>
      <c r="D950" s="222" t="s">
        <v>121</v>
      </c>
      <c r="E950" s="218">
        <v>21</v>
      </c>
    </row>
    <row r="951" spans="1:5" x14ac:dyDescent="0.35">
      <c r="A951" s="3" t="str">
        <f>IF(D951="","",(VLOOKUP($D951,KEY!$B$5:$D$74,3,FALSE)))</f>
        <v>Southern California</v>
      </c>
      <c r="B951" s="221">
        <v>45352</v>
      </c>
      <c r="C951" s="221" t="str">
        <f>IFERROR(VLOOKUP($B951,KEY!$AE$19:$AH$60,2,FALSE),"")</f>
        <v>2024-Q1</v>
      </c>
      <c r="D951" s="222" t="s">
        <v>122</v>
      </c>
      <c r="E951" s="218">
        <v>10</v>
      </c>
    </row>
    <row r="952" spans="1:5" x14ac:dyDescent="0.35">
      <c r="A952" s="3" t="str">
        <f>IF(D952="","",(VLOOKUP($D952,KEY!$B$5:$D$74,3,FALSE)))</f>
        <v>Orange County</v>
      </c>
      <c r="B952" s="221">
        <v>45352</v>
      </c>
      <c r="C952" s="221" t="str">
        <f>IFERROR(VLOOKUP($B952,KEY!$AE$19:$AH$60,2,FALSE),"")</f>
        <v>2024-Q1</v>
      </c>
      <c r="D952" s="222" t="s">
        <v>123</v>
      </c>
      <c r="E952" s="218">
        <v>18</v>
      </c>
    </row>
    <row r="953" spans="1:5" x14ac:dyDescent="0.35">
      <c r="A953" s="3" t="str">
        <f>IF(D953="","",(VLOOKUP($D953,KEY!$B$5:$D$74,3,FALSE)))</f>
        <v>Southern California</v>
      </c>
      <c r="B953" s="221">
        <v>45352</v>
      </c>
      <c r="C953" s="221" t="str">
        <f>IFERROR(VLOOKUP($B953,KEY!$AE$19:$AH$60,2,FALSE),"")</f>
        <v>2024-Q1</v>
      </c>
      <c r="D953" s="222" t="s">
        <v>124</v>
      </c>
      <c r="E953" s="218">
        <v>23</v>
      </c>
    </row>
    <row r="954" spans="1:5" x14ac:dyDescent="0.35">
      <c r="A954" s="3" t="str">
        <f>IF(D954="","",(VLOOKUP($D954,KEY!$B$5:$D$74,3,FALSE)))</f>
        <v>Northern California</v>
      </c>
      <c r="B954" s="221">
        <v>45352</v>
      </c>
      <c r="C954" s="221" t="str">
        <f>IFERROR(VLOOKUP($B954,KEY!$AE$19:$AH$60,2,FALSE),"")</f>
        <v>2024-Q1</v>
      </c>
      <c r="D954" s="222" t="s">
        <v>195</v>
      </c>
      <c r="E954" s="218">
        <v>6</v>
      </c>
    </row>
    <row r="955" spans="1:5" x14ac:dyDescent="0.35">
      <c r="A955" s="3" t="str">
        <f>IF(D955="","",(VLOOKUP($D955,KEY!$B$5:$D$74,3,FALSE)))</f>
        <v>Northern California</v>
      </c>
      <c r="B955" s="221">
        <v>45352</v>
      </c>
      <c r="C955" s="221" t="str">
        <f>IFERROR(VLOOKUP($B955,KEY!$AE$19:$AH$60,2,FALSE),"")</f>
        <v>2024-Q1</v>
      </c>
      <c r="D955" s="222" t="s">
        <v>125</v>
      </c>
      <c r="E955" s="218">
        <v>18</v>
      </c>
    </row>
    <row r="956" spans="1:5" x14ac:dyDescent="0.35">
      <c r="A956" s="3" t="str">
        <f>IF(D956="","",(VLOOKUP($D956,KEY!$B$5:$D$74,3,FALSE)))</f>
        <v>Orange County</v>
      </c>
      <c r="B956" s="221">
        <v>45352</v>
      </c>
      <c r="C956" s="221" t="str">
        <f>IFERROR(VLOOKUP($B956,KEY!$AE$19:$AH$60,2,FALSE),"")</f>
        <v>2024-Q1</v>
      </c>
      <c r="D956" s="222" t="s">
        <v>126</v>
      </c>
      <c r="E956" s="218">
        <v>28</v>
      </c>
    </row>
    <row r="957" spans="1:5" x14ac:dyDescent="0.35">
      <c r="A957" s="3" t="str">
        <f>IF(D957="","",(VLOOKUP($D957,KEY!$B$5:$D$74,3,FALSE)))</f>
        <v>Orange County</v>
      </c>
      <c r="B957" s="221">
        <v>45352</v>
      </c>
      <c r="C957" s="221" t="str">
        <f>IFERROR(VLOOKUP($B957,KEY!$AE$19:$AH$60,2,FALSE),"")</f>
        <v>2024-Q1</v>
      </c>
      <c r="D957" s="222" t="s">
        <v>127</v>
      </c>
      <c r="E957" s="218">
        <v>4</v>
      </c>
    </row>
    <row r="958" spans="1:5" x14ac:dyDescent="0.35">
      <c r="A958" s="3" t="str">
        <f>IF(D958="","",(VLOOKUP($D958,KEY!$B$5:$D$74,3,FALSE)))</f>
        <v>Texas</v>
      </c>
      <c r="B958" s="221">
        <v>45352</v>
      </c>
      <c r="C958" s="221" t="str">
        <f>IFERROR(VLOOKUP($B958,KEY!$AE$19:$AH$60,2,FALSE),"")</f>
        <v>2024-Q1</v>
      </c>
      <c r="D958" s="222" t="s">
        <v>128</v>
      </c>
      <c r="E958" s="218">
        <v>12</v>
      </c>
    </row>
    <row r="959" spans="1:5" x14ac:dyDescent="0.35">
      <c r="A959" s="3" t="str">
        <f>IF(D959="","",(VLOOKUP($D959,KEY!$B$5:$D$74,3,FALSE)))</f>
        <v>Northern California</v>
      </c>
      <c r="B959" s="221">
        <v>45352</v>
      </c>
      <c r="C959" s="221" t="str">
        <f>IFERROR(VLOOKUP($B959,KEY!$AE$19:$AH$60,2,FALSE),"")</f>
        <v>2024-Q1</v>
      </c>
      <c r="D959" s="222" t="s">
        <v>129</v>
      </c>
      <c r="E959" s="218">
        <v>17</v>
      </c>
    </row>
    <row r="960" spans="1:5" x14ac:dyDescent="0.35">
      <c r="A960" s="3" t="str">
        <f>IF(D960="","",(VLOOKUP($D960,KEY!$B$5:$D$74,3,FALSE)))</f>
        <v>Southern California</v>
      </c>
      <c r="B960" s="221">
        <v>45352</v>
      </c>
      <c r="C960" s="221" t="str">
        <f>IFERROR(VLOOKUP($B960,KEY!$AE$19:$AH$60,2,FALSE),"")</f>
        <v>2024-Q1</v>
      </c>
      <c r="D960" s="222" t="s">
        <v>130</v>
      </c>
      <c r="E960" s="218">
        <v>9</v>
      </c>
    </row>
    <row r="961" spans="1:5" x14ac:dyDescent="0.35">
      <c r="A961" s="3">
        <f>IF(D961="","",(VLOOKUP($D961,KEY!$B$5:$D$74,3,FALSE)))</f>
        <v>0</v>
      </c>
      <c r="B961" s="221">
        <v>45352</v>
      </c>
      <c r="C961" s="221" t="str">
        <f>IFERROR(VLOOKUP($B961,KEY!$AE$19:$AH$60,2,FALSE),"")</f>
        <v>2024-Q1</v>
      </c>
      <c r="D961" s="222" t="s">
        <v>131</v>
      </c>
      <c r="E961" s="218">
        <v>14</v>
      </c>
    </row>
    <row r="962" spans="1:5" x14ac:dyDescent="0.35">
      <c r="A962" s="3" t="e">
        <f>IF(D962="","",(VLOOKUP($D962,KEY!$B$5:$D$74,3,FALSE)))</f>
        <v>#N/A</v>
      </c>
      <c r="B962" s="221">
        <v>45352</v>
      </c>
      <c r="C962" s="221" t="str">
        <f>IFERROR(VLOOKUP($B962,KEY!$AE$19:$AH$60,2,FALSE),"")</f>
        <v>2024-Q1</v>
      </c>
      <c r="D962" s="222" t="s">
        <v>134</v>
      </c>
      <c r="E962" s="218">
        <v>3</v>
      </c>
    </row>
    <row r="963" spans="1:5" x14ac:dyDescent="0.35">
      <c r="A963" s="3" t="str">
        <f>IF(D963="","",(VLOOKUP($D963,KEY!$B$5:$D$74,3,FALSE)))</f>
        <v>Southern California</v>
      </c>
      <c r="B963" s="221">
        <v>45352</v>
      </c>
      <c r="C963" s="221" t="str">
        <f>IFERROR(VLOOKUP($B963,KEY!$AE$19:$AH$60,2,FALSE),"")</f>
        <v>2024-Q1</v>
      </c>
      <c r="D963" s="222" t="s">
        <v>135</v>
      </c>
      <c r="E963" s="218">
        <v>16</v>
      </c>
    </row>
    <row r="964" spans="1:5" x14ac:dyDescent="0.35">
      <c r="A964" s="3" t="str">
        <f>IF(D964="","",(VLOOKUP($D964,KEY!$B$5:$D$74,3,FALSE)))</f>
        <v>Arizona</v>
      </c>
      <c r="B964" s="221">
        <v>45352</v>
      </c>
      <c r="C964" s="221" t="str">
        <f>IFERROR(VLOOKUP($B964,KEY!$AE$19:$AH$60,2,FALSE),"")</f>
        <v>2024-Q1</v>
      </c>
      <c r="D964" s="222" t="s">
        <v>196</v>
      </c>
      <c r="E964" s="218">
        <v>5</v>
      </c>
    </row>
    <row r="965" spans="1:5" x14ac:dyDescent="0.35">
      <c r="A965" s="3" t="str">
        <f>IF(D965="","",(VLOOKUP($D965,KEY!$B$5:$D$74,3,FALSE)))</f>
        <v>Arizona</v>
      </c>
      <c r="B965" s="221">
        <v>45352</v>
      </c>
      <c r="C965" s="221" t="str">
        <f>IFERROR(VLOOKUP($B965,KEY!$AE$19:$AH$60,2,FALSE),"")</f>
        <v>2024-Q1</v>
      </c>
      <c r="D965" s="222" t="s">
        <v>197</v>
      </c>
      <c r="E965" s="218">
        <v>10</v>
      </c>
    </row>
    <row r="966" spans="1:5" x14ac:dyDescent="0.35">
      <c r="A966" s="3" t="str">
        <f>IF(D966="","",(VLOOKUP($D966,KEY!$B$5:$D$74,3,FALSE)))</f>
        <v>Texas</v>
      </c>
      <c r="B966" s="221">
        <v>45352</v>
      </c>
      <c r="C966" s="221" t="str">
        <f>IFERROR(VLOOKUP($B966,KEY!$AE$19:$AH$60,2,FALSE),"")</f>
        <v>2024-Q1</v>
      </c>
      <c r="D966" s="222" t="s">
        <v>136</v>
      </c>
      <c r="E966" s="218">
        <v>15</v>
      </c>
    </row>
    <row r="967" spans="1:5" x14ac:dyDescent="0.35">
      <c r="A967" s="3" t="str">
        <f>IF(D967="","",(VLOOKUP($D967,KEY!$B$5:$D$74,3,FALSE)))</f>
        <v>Arizona</v>
      </c>
      <c r="B967" s="221">
        <v>45352</v>
      </c>
      <c r="C967" s="221" t="str">
        <f>IFERROR(VLOOKUP($B967,KEY!$AE$19:$AH$60,2,FALSE),"")</f>
        <v>2024-Q1</v>
      </c>
      <c r="D967" s="222" t="s">
        <v>137</v>
      </c>
      <c r="E967" s="218">
        <v>9</v>
      </c>
    </row>
    <row r="968" spans="1:5" x14ac:dyDescent="0.35">
      <c r="A968" s="3" t="str">
        <f>IF(D968="","",(VLOOKUP($D968,KEY!$B$5:$D$74,3,FALSE)))</f>
        <v>Texas</v>
      </c>
      <c r="B968" s="221">
        <v>45352</v>
      </c>
      <c r="C968" s="221" t="str">
        <f>IFERROR(VLOOKUP($B968,KEY!$AE$19:$AH$60,2,FALSE),"")</f>
        <v>2024-Q1</v>
      </c>
      <c r="D968" s="222" t="s">
        <v>138</v>
      </c>
      <c r="E968" s="218">
        <v>8</v>
      </c>
    </row>
    <row r="969" spans="1:5" x14ac:dyDescent="0.35">
      <c r="A969" s="3" t="str">
        <f>IF(D969="","",(VLOOKUP($D969,KEY!$B$5:$D$74,3,FALSE)))</f>
        <v>Southern California</v>
      </c>
      <c r="B969" s="221">
        <v>45352</v>
      </c>
      <c r="C969" s="221" t="str">
        <f>IFERROR(VLOOKUP($B969,KEY!$AE$19:$AH$60,2,FALSE),"")</f>
        <v>2024-Q1</v>
      </c>
      <c r="D969" s="222" t="s">
        <v>139</v>
      </c>
      <c r="E969" s="218">
        <v>12</v>
      </c>
    </row>
    <row r="970" spans="1:5" x14ac:dyDescent="0.35">
      <c r="A970" s="3" t="str">
        <f>IF(D970="","",(VLOOKUP($D970,KEY!$B$5:$D$74,3,FALSE)))</f>
        <v>Orange County</v>
      </c>
      <c r="B970" s="221">
        <v>45352</v>
      </c>
      <c r="C970" s="221" t="str">
        <f>IFERROR(VLOOKUP($B970,KEY!$AE$19:$AH$60,2,FALSE),"")</f>
        <v>2024-Q1</v>
      </c>
      <c r="D970" s="222" t="s">
        <v>140</v>
      </c>
      <c r="E970" s="218">
        <v>3</v>
      </c>
    </row>
    <row r="971" spans="1:5" x14ac:dyDescent="0.35">
      <c r="A971" s="3" t="str">
        <f>IF(D971="","",(VLOOKUP($D971,KEY!$B$5:$D$74,3,FALSE)))</f>
        <v>Southern California</v>
      </c>
      <c r="B971" s="221">
        <v>45352</v>
      </c>
      <c r="C971" s="221" t="str">
        <f>IFERROR(VLOOKUP($B971,KEY!$AE$19:$AH$60,2,FALSE),"")</f>
        <v>2024-Q1</v>
      </c>
      <c r="D971" s="222" t="s">
        <v>142</v>
      </c>
      <c r="E971" s="218">
        <v>4</v>
      </c>
    </row>
    <row r="972" spans="1:5" x14ac:dyDescent="0.35">
      <c r="A972" s="3" t="str">
        <f>IF(D972="","",(VLOOKUP($D972,KEY!$B$5:$D$74,3,FALSE)))</f>
        <v>Arizona</v>
      </c>
      <c r="B972" s="221">
        <v>45352</v>
      </c>
      <c r="C972" s="221" t="str">
        <f>IFERROR(VLOOKUP($B972,KEY!$AE$19:$AH$60,2,FALSE),"")</f>
        <v>2024-Q1</v>
      </c>
      <c r="D972" s="222" t="s">
        <v>143</v>
      </c>
      <c r="E972" s="218">
        <v>8</v>
      </c>
    </row>
    <row r="973" spans="1:5" x14ac:dyDescent="0.35">
      <c r="A973" s="3" t="str">
        <f>IF(D973="","",(VLOOKUP($D973,KEY!$B$5:$D$74,3,FALSE)))</f>
        <v>Arizona</v>
      </c>
      <c r="B973" s="221">
        <v>45352</v>
      </c>
      <c r="C973" s="221" t="str">
        <f>IFERROR(VLOOKUP($B973,KEY!$AE$19:$AH$60,2,FALSE),"")</f>
        <v>2024-Q1</v>
      </c>
      <c r="D973" s="222" t="s">
        <v>144</v>
      </c>
      <c r="E973" s="218">
        <v>19</v>
      </c>
    </row>
    <row r="974" spans="1:5" x14ac:dyDescent="0.35">
      <c r="A974" s="3" t="str">
        <f>IF(D974="","",(VLOOKUP($D974,KEY!$B$5:$D$74,3,FALSE)))</f>
        <v>Southern California</v>
      </c>
      <c r="B974" s="221">
        <v>45352</v>
      </c>
      <c r="C974" s="221" t="str">
        <f>IFERROR(VLOOKUP($B974,KEY!$AE$19:$AH$60,2,FALSE),"")</f>
        <v>2024-Q1</v>
      </c>
      <c r="D974" s="222" t="s">
        <v>145</v>
      </c>
      <c r="E974" s="218">
        <v>14</v>
      </c>
    </row>
    <row r="975" spans="1:5" x14ac:dyDescent="0.35">
      <c r="A975" s="3" t="str">
        <f>IF(D975="","",(VLOOKUP($D975,KEY!$B$5:$D$74,3,FALSE)))</f>
        <v>Arizona</v>
      </c>
      <c r="B975" s="221">
        <v>45352</v>
      </c>
      <c r="C975" s="221" t="str">
        <f>IFERROR(VLOOKUP($B975,KEY!$AE$19:$AH$60,2,FALSE),"")</f>
        <v>2024-Q1</v>
      </c>
      <c r="D975" s="222" t="s">
        <v>146</v>
      </c>
      <c r="E975" s="218">
        <v>4</v>
      </c>
    </row>
    <row r="976" spans="1:5" x14ac:dyDescent="0.35">
      <c r="A976" s="3" t="str">
        <f>IF(D976="","",(VLOOKUP($D976,KEY!$B$5:$D$74,3,FALSE)))</f>
        <v>Texas</v>
      </c>
      <c r="B976" s="221">
        <v>45352</v>
      </c>
      <c r="C976" s="221" t="str">
        <f>IFERROR(VLOOKUP($B976,KEY!$AE$19:$AH$60,2,FALSE),"")</f>
        <v>2024-Q1</v>
      </c>
      <c r="D976" s="222" t="s">
        <v>147</v>
      </c>
      <c r="E976" s="218">
        <v>4</v>
      </c>
    </row>
    <row r="977" spans="1:5" x14ac:dyDescent="0.35">
      <c r="A977" s="3" t="str">
        <f>IF(D977="","",(VLOOKUP($D977,KEY!$B$5:$D$74,3,FALSE)))</f>
        <v>Northern California</v>
      </c>
      <c r="B977" s="221">
        <v>45352</v>
      </c>
      <c r="C977" s="221" t="str">
        <f>IFERROR(VLOOKUP($B977,KEY!$AE$19:$AH$60,2,FALSE),"")</f>
        <v>2024-Q1</v>
      </c>
      <c r="D977" s="222" t="s">
        <v>148</v>
      </c>
      <c r="E977" s="218">
        <v>4</v>
      </c>
    </row>
    <row r="978" spans="1:5" x14ac:dyDescent="0.35">
      <c r="A978" s="3" t="str">
        <f>IF(D978="","",(VLOOKUP($D978,KEY!$B$5:$D$74,3,FALSE)))</f>
        <v>Orange County</v>
      </c>
      <c r="B978" s="221">
        <v>45352</v>
      </c>
      <c r="C978" s="221" t="str">
        <f>IFERROR(VLOOKUP($B978,KEY!$AE$19:$AH$60,2,FALSE),"")</f>
        <v>2024-Q1</v>
      </c>
      <c r="D978" s="222" t="s">
        <v>149</v>
      </c>
      <c r="E978" s="218">
        <v>3</v>
      </c>
    </row>
    <row r="979" spans="1:5" x14ac:dyDescent="0.35">
      <c r="A979" s="3" t="str">
        <f>IF(D979="","",(VLOOKUP($D979,KEY!$B$5:$D$74,3,FALSE)))</f>
        <v>Southern California</v>
      </c>
      <c r="B979" s="221">
        <v>45352</v>
      </c>
      <c r="C979" s="221" t="str">
        <f>IFERROR(VLOOKUP($B979,KEY!$AE$19:$AH$60,2,FALSE),"")</f>
        <v>2024-Q1</v>
      </c>
      <c r="D979" s="222" t="s">
        <v>150</v>
      </c>
      <c r="E979" s="218">
        <v>5</v>
      </c>
    </row>
    <row r="980" spans="1:5" x14ac:dyDescent="0.35">
      <c r="A980" s="3" t="str">
        <f>IF(D980="","",(VLOOKUP($D980,KEY!$B$5:$D$74,3,FALSE)))</f>
        <v>Arizona</v>
      </c>
      <c r="B980" s="221">
        <v>45352</v>
      </c>
      <c r="C980" s="221" t="str">
        <f>IFERROR(VLOOKUP($B980,KEY!$AE$19:$AH$60,2,FALSE),"")</f>
        <v>2024-Q1</v>
      </c>
      <c r="D980" s="222" t="s">
        <v>151</v>
      </c>
      <c r="E980" s="218">
        <v>4</v>
      </c>
    </row>
    <row r="981" spans="1:5" x14ac:dyDescent="0.35">
      <c r="A981" s="3" t="str">
        <f>IF(D981="","",(VLOOKUP($D981,KEY!$B$5:$D$74,3,FALSE)))</f>
        <v>Northern California</v>
      </c>
      <c r="B981" s="221">
        <v>45352</v>
      </c>
      <c r="C981" s="221" t="str">
        <f>IFERROR(VLOOKUP($B981,KEY!$AE$19:$AH$60,2,FALSE),"")</f>
        <v>2024-Q1</v>
      </c>
      <c r="D981" s="222" t="s">
        <v>152</v>
      </c>
      <c r="E981" s="218">
        <v>12</v>
      </c>
    </row>
    <row r="982" spans="1:5" x14ac:dyDescent="0.35">
      <c r="A982" s="3" t="str">
        <f>IF(D982="","",(VLOOKUP($D982,KEY!$B$5:$D$74,3,FALSE)))</f>
        <v>Arizona</v>
      </c>
      <c r="B982" s="221">
        <v>45352</v>
      </c>
      <c r="C982" s="221" t="str">
        <f>IFERROR(VLOOKUP($B982,KEY!$AE$19:$AH$60,2,FALSE),"")</f>
        <v>2024-Q1</v>
      </c>
      <c r="D982" s="222" t="s">
        <v>153</v>
      </c>
      <c r="E982" s="218">
        <v>13</v>
      </c>
    </row>
    <row r="983" spans="1:5" x14ac:dyDescent="0.35">
      <c r="A983" s="3" t="str">
        <f>IF(D983="","",(VLOOKUP($D983,KEY!$B$5:$D$74,3,FALSE)))</f>
        <v>Northern California</v>
      </c>
      <c r="B983" s="221">
        <v>45352</v>
      </c>
      <c r="C983" s="221" t="str">
        <f>IFERROR(VLOOKUP($B983,KEY!$AE$19:$AH$60,2,FALSE),"")</f>
        <v>2024-Q1</v>
      </c>
      <c r="D983" s="222" t="s">
        <v>154</v>
      </c>
      <c r="E983" s="218">
        <v>7</v>
      </c>
    </row>
    <row r="984" spans="1:5" x14ac:dyDescent="0.35">
      <c r="A984" s="3" t="str">
        <f>IF(D984="","",(VLOOKUP($D984,KEY!$B$5:$D$74,3,FALSE)))</f>
        <v>Texas</v>
      </c>
      <c r="B984" s="221">
        <v>45352</v>
      </c>
      <c r="C984" s="221" t="str">
        <f>IFERROR(VLOOKUP($B984,KEY!$AE$19:$AH$60,2,FALSE),"")</f>
        <v>2024-Q1</v>
      </c>
      <c r="D984" s="222" t="s">
        <v>155</v>
      </c>
      <c r="E984" s="218">
        <v>24</v>
      </c>
    </row>
    <row r="985" spans="1:5" x14ac:dyDescent="0.35">
      <c r="A985" s="3" t="str">
        <f>IF(D985="","",(VLOOKUP($D985,KEY!$B$5:$D$74,3,FALSE)))</f>
        <v>Texas</v>
      </c>
      <c r="B985" s="221">
        <v>45352</v>
      </c>
      <c r="C985" s="221" t="str">
        <f>IFERROR(VLOOKUP($B985,KEY!$AE$19:$AH$60,2,FALSE),"")</f>
        <v>2024-Q1</v>
      </c>
      <c r="D985" s="222" t="s">
        <v>156</v>
      </c>
      <c r="E985" s="218">
        <v>21</v>
      </c>
    </row>
    <row r="986" spans="1:5" x14ac:dyDescent="0.35">
      <c r="A986" s="3" t="str">
        <f>IF(D986="","",(VLOOKUP($D986,KEY!$B$5:$D$74,3,FALSE)))</f>
        <v>Texas</v>
      </c>
      <c r="B986" s="221">
        <v>45352</v>
      </c>
      <c r="C986" s="221" t="str">
        <f>IFERROR(VLOOKUP($B986,KEY!$AE$19:$AH$60,2,FALSE),"")</f>
        <v>2024-Q1</v>
      </c>
      <c r="D986" s="222" t="s">
        <v>157</v>
      </c>
      <c r="E986" s="218">
        <v>34</v>
      </c>
    </row>
    <row r="987" spans="1:5" x14ac:dyDescent="0.35">
      <c r="A987" s="3" t="str">
        <f>IF(D987="","",(VLOOKUP($D987,KEY!$B$5:$D$74,3,FALSE)))</f>
        <v>Arizona</v>
      </c>
      <c r="B987" s="221">
        <v>45352</v>
      </c>
      <c r="C987" s="221" t="str">
        <f>IFERROR(VLOOKUP($B987,KEY!$AE$19:$AH$60,2,FALSE),"")</f>
        <v>2024-Q1</v>
      </c>
      <c r="D987" s="222" t="s">
        <v>158</v>
      </c>
      <c r="E987" s="218">
        <v>6</v>
      </c>
    </row>
    <row r="988" spans="1:5" x14ac:dyDescent="0.35">
      <c r="A988" s="3" t="str">
        <f>IF(D988="","",(VLOOKUP($D988,KEY!$B$5:$D$74,3,FALSE)))</f>
        <v>Orange County</v>
      </c>
      <c r="B988" s="221">
        <v>45352</v>
      </c>
      <c r="C988" s="221" t="str">
        <f>IFERROR(VLOOKUP($B988,KEY!$AE$19:$AH$60,2,FALSE),"")</f>
        <v>2024-Q1</v>
      </c>
      <c r="D988" s="222" t="s">
        <v>159</v>
      </c>
      <c r="E988" s="218">
        <v>8</v>
      </c>
    </row>
    <row r="989" spans="1:5" x14ac:dyDescent="0.35">
      <c r="A989" s="3" t="str">
        <f>IF(D989="","",(VLOOKUP($D989,KEY!$B$5:$D$74,3,FALSE)))</f>
        <v>Arizona</v>
      </c>
      <c r="B989" s="221">
        <v>45352</v>
      </c>
      <c r="C989" s="221" t="str">
        <f>IFERROR(VLOOKUP($B989,KEY!$AE$19:$AH$60,2,FALSE),"")</f>
        <v>2024-Q1</v>
      </c>
      <c r="D989" s="222" t="s">
        <v>160</v>
      </c>
      <c r="E989" s="218">
        <v>22</v>
      </c>
    </row>
    <row r="990" spans="1:5" x14ac:dyDescent="0.35">
      <c r="A990" s="3" t="str">
        <f>IF(D990="","",(VLOOKUP($D990,KEY!$B$5:$D$74,3,FALSE)))</f>
        <v>Northern California</v>
      </c>
      <c r="B990" s="221">
        <v>45352</v>
      </c>
      <c r="C990" s="221" t="str">
        <f>IFERROR(VLOOKUP($B990,KEY!$AE$19:$AH$60,2,FALSE),"")</f>
        <v>2024-Q1</v>
      </c>
      <c r="D990" s="222" t="s">
        <v>161</v>
      </c>
      <c r="E990" s="218">
        <v>21</v>
      </c>
    </row>
    <row r="991" spans="1:5" x14ac:dyDescent="0.35">
      <c r="A991" s="3" t="e">
        <f>IF(D991="","",(VLOOKUP($D991,KEY!$B$5:$D$74,3,FALSE)))</f>
        <v>#N/A</v>
      </c>
      <c r="B991" s="221">
        <v>45352</v>
      </c>
      <c r="C991" s="221" t="str">
        <f>IFERROR(VLOOKUP($B991,KEY!$AE$19:$AH$60,2,FALSE),"")</f>
        <v>2024-Q1</v>
      </c>
      <c r="D991" s="222" t="s">
        <v>162</v>
      </c>
      <c r="E991" s="218">
        <v>30</v>
      </c>
    </row>
    <row r="992" spans="1:5" x14ac:dyDescent="0.35">
      <c r="A992" s="3" t="str">
        <f>IF(D992="","",(VLOOKUP($D992,KEY!$B$5:$D$74,3,FALSE)))</f>
        <v>Arizona</v>
      </c>
      <c r="B992" s="221">
        <v>45352</v>
      </c>
      <c r="C992" s="221" t="str">
        <f>IFERROR(VLOOKUP($B992,KEY!$AE$19:$AH$60,2,FALSE),"")</f>
        <v>2024-Q1</v>
      </c>
      <c r="D992" s="222" t="s">
        <v>163</v>
      </c>
      <c r="E992" s="218">
        <v>19</v>
      </c>
    </row>
    <row r="993" spans="1:5" x14ac:dyDescent="0.35">
      <c r="A993" s="3" t="str">
        <f>IF(D993="","",(VLOOKUP($D993,KEY!$B$5:$D$74,3,FALSE)))</f>
        <v>Arizona</v>
      </c>
      <c r="B993" s="221">
        <v>45352</v>
      </c>
      <c r="C993" s="221" t="str">
        <f>IFERROR(VLOOKUP($B993,KEY!$AE$19:$AH$60,2,FALSE),"")</f>
        <v>2024-Q1</v>
      </c>
      <c r="D993" s="222" t="s">
        <v>164</v>
      </c>
      <c r="E993" s="218">
        <v>7</v>
      </c>
    </row>
    <row r="994" spans="1:5" x14ac:dyDescent="0.35">
      <c r="A994" s="3" t="str">
        <f>IF(D994="","",(VLOOKUP($D994,KEY!$B$5:$D$74,3,FALSE)))</f>
        <v>Orange County</v>
      </c>
      <c r="B994" s="221">
        <v>45352</v>
      </c>
      <c r="C994" s="221" t="str">
        <f>IFERROR(VLOOKUP($B994,KEY!$AE$19:$AH$60,2,FALSE),"")</f>
        <v>2024-Q1</v>
      </c>
      <c r="D994" s="222" t="s">
        <v>165</v>
      </c>
      <c r="E994" s="218">
        <v>9</v>
      </c>
    </row>
    <row r="995" spans="1:5" x14ac:dyDescent="0.35">
      <c r="A995" s="3" t="str">
        <f>IF(D995="","",(VLOOKUP($D995,KEY!$B$5:$D$74,3,FALSE)))</f>
        <v>Arizona</v>
      </c>
      <c r="B995" s="221">
        <v>45383</v>
      </c>
      <c r="C995" s="221" t="str">
        <f>IFERROR(VLOOKUP($B995,KEY!$AE$19:$AH$60,2,FALSE),"")</f>
        <v>2024-Q2</v>
      </c>
      <c r="D995" s="222" t="s">
        <v>111</v>
      </c>
      <c r="E995" s="218">
        <v>8</v>
      </c>
    </row>
    <row r="996" spans="1:5" x14ac:dyDescent="0.35">
      <c r="A996" s="3" t="str">
        <f>IF(D996="","",(VLOOKUP($D996,KEY!$B$5:$D$74,3,FALSE)))</f>
        <v>Southern California</v>
      </c>
      <c r="B996" s="221">
        <v>45383</v>
      </c>
      <c r="C996" s="221" t="str">
        <f>IFERROR(VLOOKUP($B996,KEY!$AE$19:$AH$60,2,FALSE),"")</f>
        <v>2024-Q2</v>
      </c>
      <c r="D996" s="222" t="s">
        <v>112</v>
      </c>
      <c r="E996" s="218">
        <v>4</v>
      </c>
    </row>
    <row r="997" spans="1:5" x14ac:dyDescent="0.35">
      <c r="A997" s="3" t="str">
        <f>IF(D997="","",(VLOOKUP($D997,KEY!$B$5:$D$74,3,FALSE)))</f>
        <v>Arizona</v>
      </c>
      <c r="B997" s="221">
        <v>45383</v>
      </c>
      <c r="C997" s="221" t="str">
        <f>IFERROR(VLOOKUP($B997,KEY!$AE$19:$AH$60,2,FALSE),"")</f>
        <v>2024-Q2</v>
      </c>
      <c r="D997" s="222" t="s">
        <v>113</v>
      </c>
      <c r="E997" s="218">
        <v>8</v>
      </c>
    </row>
    <row r="998" spans="1:5" x14ac:dyDescent="0.35">
      <c r="A998" s="3" t="str">
        <f>IF(D998="","",(VLOOKUP($D998,KEY!$B$5:$D$74,3,FALSE)))</f>
        <v>Southern California</v>
      </c>
      <c r="B998" s="221">
        <v>45383</v>
      </c>
      <c r="C998" s="221" t="str">
        <f>IFERROR(VLOOKUP($B998,KEY!$AE$19:$AH$60,2,FALSE),"")</f>
        <v>2024-Q2</v>
      </c>
      <c r="D998" s="222" t="s">
        <v>114</v>
      </c>
      <c r="E998" s="218">
        <v>5</v>
      </c>
    </row>
    <row r="999" spans="1:5" x14ac:dyDescent="0.35">
      <c r="A999" s="3" t="str">
        <f>IF(D999="","",(VLOOKUP($D999,KEY!$B$5:$D$74,3,FALSE)))</f>
        <v>Orange County</v>
      </c>
      <c r="B999" s="221">
        <v>45383</v>
      </c>
      <c r="C999" s="221" t="str">
        <f>IFERROR(VLOOKUP($B999,KEY!$AE$19:$AH$60,2,FALSE),"")</f>
        <v>2024-Q2</v>
      </c>
      <c r="D999" s="222" t="s">
        <v>115</v>
      </c>
      <c r="E999" s="218">
        <v>6</v>
      </c>
    </row>
    <row r="1000" spans="1:5" x14ac:dyDescent="0.35">
      <c r="A1000" s="3" t="str">
        <f>IF(D1000="","",(VLOOKUP($D1000,KEY!$B$5:$D$74,3,FALSE)))</f>
        <v>Arizona</v>
      </c>
      <c r="B1000" s="221">
        <v>45383</v>
      </c>
      <c r="C1000" s="221" t="str">
        <f>IFERROR(VLOOKUP($B1000,KEY!$AE$19:$AH$60,2,FALSE),"")</f>
        <v>2024-Q2</v>
      </c>
      <c r="D1000" s="222" t="s">
        <v>116</v>
      </c>
      <c r="E1000" s="218">
        <v>9</v>
      </c>
    </row>
    <row r="1001" spans="1:5" x14ac:dyDescent="0.35">
      <c r="A1001" s="3" t="str">
        <f>IF(D1001="","",(VLOOKUP($D1001,KEY!$B$5:$D$74,3,FALSE)))</f>
        <v>Orange County</v>
      </c>
      <c r="B1001" s="221">
        <v>45383</v>
      </c>
      <c r="C1001" s="221" t="str">
        <f>IFERROR(VLOOKUP($B1001,KEY!$AE$19:$AH$60,2,FALSE),"")</f>
        <v>2024-Q2</v>
      </c>
      <c r="D1001" s="222" t="s">
        <v>117</v>
      </c>
      <c r="E1001" s="218">
        <v>7</v>
      </c>
    </row>
    <row r="1002" spans="1:5" x14ac:dyDescent="0.35">
      <c r="A1002" s="3" t="str">
        <f>IF(D1002="","",(VLOOKUP($D1002,KEY!$B$5:$D$74,3,FALSE)))</f>
        <v>Northern California</v>
      </c>
      <c r="B1002" s="221">
        <v>45383</v>
      </c>
      <c r="C1002" s="221" t="str">
        <f>IFERROR(VLOOKUP($B1002,KEY!$AE$19:$AH$60,2,FALSE),"")</f>
        <v>2024-Q2</v>
      </c>
      <c r="D1002" s="222" t="s">
        <v>118</v>
      </c>
      <c r="E1002" s="218">
        <v>12</v>
      </c>
    </row>
    <row r="1003" spans="1:5" x14ac:dyDescent="0.35">
      <c r="A1003" s="3" t="str">
        <f>IF(D1003="","",(VLOOKUP($D1003,KEY!$B$5:$D$74,3,FALSE)))</f>
        <v>Arizona</v>
      </c>
      <c r="B1003" s="221">
        <v>45383</v>
      </c>
      <c r="C1003" s="221" t="str">
        <f>IFERROR(VLOOKUP($B1003,KEY!$AE$19:$AH$60,2,FALSE),"")</f>
        <v>2024-Q2</v>
      </c>
      <c r="D1003" s="222" t="s">
        <v>119</v>
      </c>
      <c r="E1003" s="218">
        <v>4</v>
      </c>
    </row>
    <row r="1004" spans="1:5" x14ac:dyDescent="0.35">
      <c r="A1004" s="3" t="str">
        <f>IF(D1004="","",(VLOOKUP($D1004,KEY!$B$5:$D$74,3,FALSE)))</f>
        <v>Arizona</v>
      </c>
      <c r="B1004" s="221">
        <v>45383</v>
      </c>
      <c r="C1004" s="221" t="str">
        <f>IFERROR(VLOOKUP($B1004,KEY!$AE$19:$AH$60,2,FALSE),"")</f>
        <v>2024-Q2</v>
      </c>
      <c r="D1004" s="222" t="s">
        <v>120</v>
      </c>
      <c r="E1004" s="218">
        <v>28</v>
      </c>
    </row>
    <row r="1005" spans="1:5" x14ac:dyDescent="0.35">
      <c r="A1005" s="3" t="str">
        <f>IF(D1005="","",(VLOOKUP($D1005,KEY!$B$5:$D$74,3,FALSE)))</f>
        <v>Texas</v>
      </c>
      <c r="B1005" s="221">
        <v>45383</v>
      </c>
      <c r="C1005" s="221" t="str">
        <f>IFERROR(VLOOKUP($B1005,KEY!$AE$19:$AH$60,2,FALSE),"")</f>
        <v>2024-Q2</v>
      </c>
      <c r="D1005" s="222" t="s">
        <v>121</v>
      </c>
      <c r="E1005" s="218">
        <v>21</v>
      </c>
    </row>
    <row r="1006" spans="1:5" x14ac:dyDescent="0.35">
      <c r="A1006" s="3" t="str">
        <f>IF(D1006="","",(VLOOKUP($D1006,KEY!$B$5:$D$74,3,FALSE)))</f>
        <v>Southern California</v>
      </c>
      <c r="B1006" s="221">
        <v>45383</v>
      </c>
      <c r="C1006" s="221" t="str">
        <f>IFERROR(VLOOKUP($B1006,KEY!$AE$19:$AH$60,2,FALSE),"")</f>
        <v>2024-Q2</v>
      </c>
      <c r="D1006" s="222" t="s">
        <v>122</v>
      </c>
      <c r="E1006" s="218">
        <v>10</v>
      </c>
    </row>
    <row r="1007" spans="1:5" x14ac:dyDescent="0.35">
      <c r="A1007" s="3" t="str">
        <f>IF(D1007="","",(VLOOKUP($D1007,KEY!$B$5:$D$74,3,FALSE)))</f>
        <v>Orange County</v>
      </c>
      <c r="B1007" s="221">
        <v>45383</v>
      </c>
      <c r="C1007" s="221" t="str">
        <f>IFERROR(VLOOKUP($B1007,KEY!$AE$19:$AH$60,2,FALSE),"")</f>
        <v>2024-Q2</v>
      </c>
      <c r="D1007" s="222" t="s">
        <v>123</v>
      </c>
      <c r="E1007" s="218">
        <v>19</v>
      </c>
    </row>
    <row r="1008" spans="1:5" x14ac:dyDescent="0.35">
      <c r="A1008" s="3" t="str">
        <f>IF(D1008="","",(VLOOKUP($D1008,KEY!$B$5:$D$74,3,FALSE)))</f>
        <v>Southern California</v>
      </c>
      <c r="B1008" s="221">
        <v>45383</v>
      </c>
      <c r="C1008" s="221" t="str">
        <f>IFERROR(VLOOKUP($B1008,KEY!$AE$19:$AH$60,2,FALSE),"")</f>
        <v>2024-Q2</v>
      </c>
      <c r="D1008" s="222" t="s">
        <v>124</v>
      </c>
      <c r="E1008" s="218">
        <v>22</v>
      </c>
    </row>
    <row r="1009" spans="1:5" x14ac:dyDescent="0.35">
      <c r="A1009" s="3" t="str">
        <f>IF(D1009="","",(VLOOKUP($D1009,KEY!$B$5:$D$74,3,FALSE)))</f>
        <v>Northern California</v>
      </c>
      <c r="B1009" s="221">
        <v>45383</v>
      </c>
      <c r="C1009" s="221" t="str">
        <f>IFERROR(VLOOKUP($B1009,KEY!$AE$19:$AH$60,2,FALSE),"")</f>
        <v>2024-Q2</v>
      </c>
      <c r="D1009" s="222" t="s">
        <v>195</v>
      </c>
      <c r="E1009" s="218">
        <v>6</v>
      </c>
    </row>
    <row r="1010" spans="1:5" x14ac:dyDescent="0.35">
      <c r="A1010" s="3" t="str">
        <f>IF(D1010="","",(VLOOKUP($D1010,KEY!$B$5:$D$74,3,FALSE)))</f>
        <v>Northern California</v>
      </c>
      <c r="B1010" s="221">
        <v>45383</v>
      </c>
      <c r="C1010" s="221" t="str">
        <f>IFERROR(VLOOKUP($B1010,KEY!$AE$19:$AH$60,2,FALSE),"")</f>
        <v>2024-Q2</v>
      </c>
      <c r="D1010" s="222" t="s">
        <v>125</v>
      </c>
      <c r="E1010" s="218">
        <v>17</v>
      </c>
    </row>
    <row r="1011" spans="1:5" x14ac:dyDescent="0.35">
      <c r="A1011" s="3" t="str">
        <f>IF(D1011="","",(VLOOKUP($D1011,KEY!$B$5:$D$74,3,FALSE)))</f>
        <v>Orange County</v>
      </c>
      <c r="B1011" s="221">
        <v>45383</v>
      </c>
      <c r="C1011" s="221" t="str">
        <f>IFERROR(VLOOKUP($B1011,KEY!$AE$19:$AH$60,2,FALSE),"")</f>
        <v>2024-Q2</v>
      </c>
      <c r="D1011" s="222" t="s">
        <v>126</v>
      </c>
      <c r="E1011" s="218">
        <v>28</v>
      </c>
    </row>
    <row r="1012" spans="1:5" x14ac:dyDescent="0.35">
      <c r="A1012" s="3" t="str">
        <f>IF(D1012="","",(VLOOKUP($D1012,KEY!$B$5:$D$74,3,FALSE)))</f>
        <v>Orange County</v>
      </c>
      <c r="B1012" s="221">
        <v>45383</v>
      </c>
      <c r="C1012" s="221" t="str">
        <f>IFERROR(VLOOKUP($B1012,KEY!$AE$19:$AH$60,2,FALSE),"")</f>
        <v>2024-Q2</v>
      </c>
      <c r="D1012" s="222" t="s">
        <v>127</v>
      </c>
      <c r="E1012" s="218">
        <v>5</v>
      </c>
    </row>
    <row r="1013" spans="1:5" x14ac:dyDescent="0.35">
      <c r="A1013" s="3" t="str">
        <f>IF(D1013="","",(VLOOKUP($D1013,KEY!$B$5:$D$74,3,FALSE)))</f>
        <v>Texas</v>
      </c>
      <c r="B1013" s="221">
        <v>45383</v>
      </c>
      <c r="C1013" s="221" t="str">
        <f>IFERROR(VLOOKUP($B1013,KEY!$AE$19:$AH$60,2,FALSE),"")</f>
        <v>2024-Q2</v>
      </c>
      <c r="D1013" s="222" t="s">
        <v>128</v>
      </c>
      <c r="E1013" s="218">
        <v>11</v>
      </c>
    </row>
    <row r="1014" spans="1:5" x14ac:dyDescent="0.35">
      <c r="A1014" s="3" t="str">
        <f>IF(D1014="","",(VLOOKUP($D1014,KEY!$B$5:$D$74,3,FALSE)))</f>
        <v>Northern California</v>
      </c>
      <c r="B1014" s="221">
        <v>45383</v>
      </c>
      <c r="C1014" s="221" t="str">
        <f>IFERROR(VLOOKUP($B1014,KEY!$AE$19:$AH$60,2,FALSE),"")</f>
        <v>2024-Q2</v>
      </c>
      <c r="D1014" s="222" t="s">
        <v>129</v>
      </c>
      <c r="E1014" s="218">
        <v>17</v>
      </c>
    </row>
    <row r="1015" spans="1:5" x14ac:dyDescent="0.35">
      <c r="A1015" s="3" t="str">
        <f>IF(D1015="","",(VLOOKUP($D1015,KEY!$B$5:$D$74,3,FALSE)))</f>
        <v>Southern California</v>
      </c>
      <c r="B1015" s="221">
        <v>45383</v>
      </c>
      <c r="C1015" s="221" t="str">
        <f>IFERROR(VLOOKUP($B1015,KEY!$AE$19:$AH$60,2,FALSE),"")</f>
        <v>2024-Q2</v>
      </c>
      <c r="D1015" s="222" t="s">
        <v>130</v>
      </c>
      <c r="E1015" s="218">
        <v>9</v>
      </c>
    </row>
    <row r="1016" spans="1:5" x14ac:dyDescent="0.35">
      <c r="A1016" s="3">
        <f>IF(D1016="","",(VLOOKUP($D1016,KEY!$B$5:$D$74,3,FALSE)))</f>
        <v>0</v>
      </c>
      <c r="B1016" s="221">
        <v>45383</v>
      </c>
      <c r="C1016" s="221" t="str">
        <f>IFERROR(VLOOKUP($B1016,KEY!$AE$19:$AH$60,2,FALSE),"")</f>
        <v>2024-Q2</v>
      </c>
      <c r="D1016" s="222" t="s">
        <v>131</v>
      </c>
      <c r="E1016" s="218">
        <v>12</v>
      </c>
    </row>
    <row r="1017" spans="1:5" x14ac:dyDescent="0.35">
      <c r="A1017" s="3" t="e">
        <f>IF(D1017="","",(VLOOKUP($D1017,KEY!$B$5:$D$74,3,FALSE)))</f>
        <v>#N/A</v>
      </c>
      <c r="B1017" s="221">
        <v>45383</v>
      </c>
      <c r="C1017" s="221" t="str">
        <f>IFERROR(VLOOKUP($B1017,KEY!$AE$19:$AH$60,2,FALSE),"")</f>
        <v>2024-Q2</v>
      </c>
      <c r="D1017" s="222" t="s">
        <v>134</v>
      </c>
      <c r="E1017" s="218">
        <v>3</v>
      </c>
    </row>
    <row r="1018" spans="1:5" x14ac:dyDescent="0.35">
      <c r="A1018" s="3" t="str">
        <f>IF(D1018="","",(VLOOKUP($D1018,KEY!$B$5:$D$74,3,FALSE)))</f>
        <v>Southern California</v>
      </c>
      <c r="B1018" s="221">
        <v>45383</v>
      </c>
      <c r="C1018" s="221" t="str">
        <f>IFERROR(VLOOKUP($B1018,KEY!$AE$19:$AH$60,2,FALSE),"")</f>
        <v>2024-Q2</v>
      </c>
      <c r="D1018" s="222" t="s">
        <v>135</v>
      </c>
      <c r="E1018" s="218">
        <v>16</v>
      </c>
    </row>
    <row r="1019" spans="1:5" x14ac:dyDescent="0.35">
      <c r="A1019" s="3" t="str">
        <f>IF(D1019="","",(VLOOKUP($D1019,KEY!$B$5:$D$74,3,FALSE)))</f>
        <v>Arizona</v>
      </c>
      <c r="B1019" s="221">
        <v>45383</v>
      </c>
      <c r="C1019" s="221" t="str">
        <f>IFERROR(VLOOKUP($B1019,KEY!$AE$19:$AH$60,2,FALSE),"")</f>
        <v>2024-Q2</v>
      </c>
      <c r="D1019" s="222" t="s">
        <v>196</v>
      </c>
      <c r="E1019" s="218">
        <v>5</v>
      </c>
    </row>
    <row r="1020" spans="1:5" x14ac:dyDescent="0.35">
      <c r="A1020" s="3" t="str">
        <f>IF(D1020="","",(VLOOKUP($D1020,KEY!$B$5:$D$74,3,FALSE)))</f>
        <v>Arizona</v>
      </c>
      <c r="B1020" s="221">
        <v>45383</v>
      </c>
      <c r="C1020" s="221" t="str">
        <f>IFERROR(VLOOKUP($B1020,KEY!$AE$19:$AH$60,2,FALSE),"")</f>
        <v>2024-Q2</v>
      </c>
      <c r="D1020" s="222" t="s">
        <v>197</v>
      </c>
      <c r="E1020" s="218">
        <v>10</v>
      </c>
    </row>
    <row r="1021" spans="1:5" x14ac:dyDescent="0.35">
      <c r="A1021" s="3" t="str">
        <f>IF(D1021="","",(VLOOKUP($D1021,KEY!$B$5:$D$74,3,FALSE)))</f>
        <v>Texas</v>
      </c>
      <c r="B1021" s="221">
        <v>45383</v>
      </c>
      <c r="C1021" s="221" t="str">
        <f>IFERROR(VLOOKUP($B1021,KEY!$AE$19:$AH$60,2,FALSE),"")</f>
        <v>2024-Q2</v>
      </c>
      <c r="D1021" s="222" t="s">
        <v>136</v>
      </c>
      <c r="E1021" s="218">
        <v>15</v>
      </c>
    </row>
    <row r="1022" spans="1:5" x14ac:dyDescent="0.35">
      <c r="A1022" s="3" t="str">
        <f>IF(D1022="","",(VLOOKUP($D1022,KEY!$B$5:$D$74,3,FALSE)))</f>
        <v>Arizona</v>
      </c>
      <c r="B1022" s="221">
        <v>45383</v>
      </c>
      <c r="C1022" s="221" t="str">
        <f>IFERROR(VLOOKUP($B1022,KEY!$AE$19:$AH$60,2,FALSE),"")</f>
        <v>2024-Q2</v>
      </c>
      <c r="D1022" s="222" t="s">
        <v>137</v>
      </c>
      <c r="E1022" s="218">
        <v>9</v>
      </c>
    </row>
    <row r="1023" spans="1:5" x14ac:dyDescent="0.35">
      <c r="A1023" s="3" t="str">
        <f>IF(D1023="","",(VLOOKUP($D1023,KEY!$B$5:$D$74,3,FALSE)))</f>
        <v>Texas</v>
      </c>
      <c r="B1023" s="221">
        <v>45383</v>
      </c>
      <c r="C1023" s="221" t="str">
        <f>IFERROR(VLOOKUP($B1023,KEY!$AE$19:$AH$60,2,FALSE),"")</f>
        <v>2024-Q2</v>
      </c>
      <c r="D1023" s="222" t="s">
        <v>138</v>
      </c>
      <c r="E1023" s="218">
        <v>9</v>
      </c>
    </row>
    <row r="1024" spans="1:5" x14ac:dyDescent="0.35">
      <c r="A1024" s="3" t="str">
        <f>IF(D1024="","",(VLOOKUP($D1024,KEY!$B$5:$D$74,3,FALSE)))</f>
        <v>Southern California</v>
      </c>
      <c r="B1024" s="221">
        <v>45383</v>
      </c>
      <c r="C1024" s="221" t="str">
        <f>IFERROR(VLOOKUP($B1024,KEY!$AE$19:$AH$60,2,FALSE),"")</f>
        <v>2024-Q2</v>
      </c>
      <c r="D1024" s="222" t="s">
        <v>139</v>
      </c>
      <c r="E1024" s="218">
        <v>13</v>
      </c>
    </row>
    <row r="1025" spans="1:5" x14ac:dyDescent="0.35">
      <c r="A1025" s="3" t="str">
        <f>IF(D1025="","",(VLOOKUP($D1025,KEY!$B$5:$D$74,3,FALSE)))</f>
        <v>Orange County</v>
      </c>
      <c r="B1025" s="221">
        <v>45383</v>
      </c>
      <c r="C1025" s="221" t="str">
        <f>IFERROR(VLOOKUP($B1025,KEY!$AE$19:$AH$60,2,FALSE),"")</f>
        <v>2024-Q2</v>
      </c>
      <c r="D1025" s="222" t="s">
        <v>140</v>
      </c>
      <c r="E1025" s="218">
        <v>4</v>
      </c>
    </row>
    <row r="1026" spans="1:5" x14ac:dyDescent="0.35">
      <c r="A1026" s="3" t="str">
        <f>IF(D1026="","",(VLOOKUP($D1026,KEY!$B$5:$D$74,3,FALSE)))</f>
        <v>Southern California</v>
      </c>
      <c r="B1026" s="221">
        <v>45383</v>
      </c>
      <c r="C1026" s="221" t="str">
        <f>IFERROR(VLOOKUP($B1026,KEY!$AE$19:$AH$60,2,FALSE),"")</f>
        <v>2024-Q2</v>
      </c>
      <c r="D1026" s="222" t="s">
        <v>142</v>
      </c>
      <c r="E1026" s="218">
        <v>4</v>
      </c>
    </row>
    <row r="1027" spans="1:5" x14ac:dyDescent="0.35">
      <c r="A1027" s="3" t="str">
        <f>IF(D1027="","",(VLOOKUP($D1027,KEY!$B$5:$D$74,3,FALSE)))</f>
        <v>Arizona</v>
      </c>
      <c r="B1027" s="221">
        <v>45383</v>
      </c>
      <c r="C1027" s="221" t="str">
        <f>IFERROR(VLOOKUP($B1027,KEY!$AE$19:$AH$60,2,FALSE),"")</f>
        <v>2024-Q2</v>
      </c>
      <c r="D1027" s="222" t="s">
        <v>143</v>
      </c>
      <c r="E1027" s="218">
        <v>7</v>
      </c>
    </row>
    <row r="1028" spans="1:5" x14ac:dyDescent="0.35">
      <c r="A1028" s="3" t="str">
        <f>IF(D1028="","",(VLOOKUP($D1028,KEY!$B$5:$D$74,3,FALSE)))</f>
        <v>Arizona</v>
      </c>
      <c r="B1028" s="221">
        <v>45383</v>
      </c>
      <c r="C1028" s="221" t="str">
        <f>IFERROR(VLOOKUP($B1028,KEY!$AE$19:$AH$60,2,FALSE),"")</f>
        <v>2024-Q2</v>
      </c>
      <c r="D1028" s="222" t="s">
        <v>144</v>
      </c>
      <c r="E1028" s="218">
        <v>19</v>
      </c>
    </row>
    <row r="1029" spans="1:5" x14ac:dyDescent="0.35">
      <c r="A1029" s="3" t="str">
        <f>IF(D1029="","",(VLOOKUP($D1029,KEY!$B$5:$D$74,3,FALSE)))</f>
        <v>Southern California</v>
      </c>
      <c r="B1029" s="221">
        <v>45383</v>
      </c>
      <c r="C1029" s="221" t="str">
        <f>IFERROR(VLOOKUP($B1029,KEY!$AE$19:$AH$60,2,FALSE),"")</f>
        <v>2024-Q2</v>
      </c>
      <c r="D1029" s="222" t="s">
        <v>145</v>
      </c>
      <c r="E1029" s="218">
        <v>14</v>
      </c>
    </row>
    <row r="1030" spans="1:5" x14ac:dyDescent="0.35">
      <c r="A1030" s="3" t="str">
        <f>IF(D1030="","",(VLOOKUP($D1030,KEY!$B$5:$D$74,3,FALSE)))</f>
        <v>Arizona</v>
      </c>
      <c r="B1030" s="221">
        <v>45383</v>
      </c>
      <c r="C1030" s="221" t="str">
        <f>IFERROR(VLOOKUP($B1030,KEY!$AE$19:$AH$60,2,FALSE),"")</f>
        <v>2024-Q2</v>
      </c>
      <c r="D1030" s="222" t="s">
        <v>146</v>
      </c>
      <c r="E1030" s="218">
        <v>4</v>
      </c>
    </row>
    <row r="1031" spans="1:5" x14ac:dyDescent="0.35">
      <c r="A1031" s="3" t="str">
        <f>IF(D1031="","",(VLOOKUP($D1031,KEY!$B$5:$D$74,3,FALSE)))</f>
        <v>Texas</v>
      </c>
      <c r="B1031" s="221">
        <v>45383</v>
      </c>
      <c r="C1031" s="221" t="str">
        <f>IFERROR(VLOOKUP($B1031,KEY!$AE$19:$AH$60,2,FALSE),"")</f>
        <v>2024-Q2</v>
      </c>
      <c r="D1031" s="222" t="s">
        <v>147</v>
      </c>
      <c r="E1031" s="218">
        <v>4</v>
      </c>
    </row>
    <row r="1032" spans="1:5" x14ac:dyDescent="0.35">
      <c r="A1032" s="3" t="str">
        <f>IF(D1032="","",(VLOOKUP($D1032,KEY!$B$5:$D$74,3,FALSE)))</f>
        <v>Northern California</v>
      </c>
      <c r="B1032" s="221">
        <v>45383</v>
      </c>
      <c r="C1032" s="221" t="str">
        <f>IFERROR(VLOOKUP($B1032,KEY!$AE$19:$AH$60,2,FALSE),"")</f>
        <v>2024-Q2</v>
      </c>
      <c r="D1032" s="222" t="s">
        <v>148</v>
      </c>
      <c r="E1032" s="218">
        <v>4</v>
      </c>
    </row>
    <row r="1033" spans="1:5" x14ac:dyDescent="0.35">
      <c r="A1033" s="3" t="str">
        <f>IF(D1033="","",(VLOOKUP($D1033,KEY!$B$5:$D$74,3,FALSE)))</f>
        <v>Orange County</v>
      </c>
      <c r="B1033" s="221">
        <v>45383</v>
      </c>
      <c r="C1033" s="221" t="str">
        <f>IFERROR(VLOOKUP($B1033,KEY!$AE$19:$AH$60,2,FALSE),"")</f>
        <v>2024-Q2</v>
      </c>
      <c r="D1033" s="222" t="s">
        <v>149</v>
      </c>
      <c r="E1033" s="218">
        <v>3</v>
      </c>
    </row>
    <row r="1034" spans="1:5" x14ac:dyDescent="0.35">
      <c r="A1034" s="3" t="str">
        <f>IF(D1034="","",(VLOOKUP($D1034,KEY!$B$5:$D$74,3,FALSE)))</f>
        <v>Southern California</v>
      </c>
      <c r="B1034" s="221">
        <v>45383</v>
      </c>
      <c r="C1034" s="221" t="str">
        <f>IFERROR(VLOOKUP($B1034,KEY!$AE$19:$AH$60,2,FALSE),"")</f>
        <v>2024-Q2</v>
      </c>
      <c r="D1034" s="222" t="s">
        <v>150</v>
      </c>
      <c r="E1034" s="218">
        <v>5</v>
      </c>
    </row>
    <row r="1035" spans="1:5" x14ac:dyDescent="0.35">
      <c r="A1035" s="3" t="str">
        <f>IF(D1035="","",(VLOOKUP($D1035,KEY!$B$5:$D$74,3,FALSE)))</f>
        <v>Arizona</v>
      </c>
      <c r="B1035" s="221">
        <v>45383</v>
      </c>
      <c r="C1035" s="221" t="str">
        <f>IFERROR(VLOOKUP($B1035,KEY!$AE$19:$AH$60,2,FALSE),"")</f>
        <v>2024-Q2</v>
      </c>
      <c r="D1035" s="222" t="s">
        <v>151</v>
      </c>
      <c r="E1035" s="218">
        <v>4</v>
      </c>
    </row>
    <row r="1036" spans="1:5" x14ac:dyDescent="0.35">
      <c r="A1036" s="3" t="str">
        <f>IF(D1036="","",(VLOOKUP($D1036,KEY!$B$5:$D$74,3,FALSE)))</f>
        <v>Northern California</v>
      </c>
      <c r="B1036" s="221">
        <v>45383</v>
      </c>
      <c r="C1036" s="221" t="str">
        <f>IFERROR(VLOOKUP($B1036,KEY!$AE$19:$AH$60,2,FALSE),"")</f>
        <v>2024-Q2</v>
      </c>
      <c r="D1036" s="222" t="s">
        <v>152</v>
      </c>
      <c r="E1036" s="218">
        <v>12</v>
      </c>
    </row>
    <row r="1037" spans="1:5" x14ac:dyDescent="0.35">
      <c r="A1037" s="3" t="str">
        <f>IF(D1037="","",(VLOOKUP($D1037,KEY!$B$5:$D$74,3,FALSE)))</f>
        <v>Arizona</v>
      </c>
      <c r="B1037" s="221">
        <v>45383</v>
      </c>
      <c r="C1037" s="221" t="str">
        <f>IFERROR(VLOOKUP($B1037,KEY!$AE$19:$AH$60,2,FALSE),"")</f>
        <v>2024-Q2</v>
      </c>
      <c r="D1037" s="222" t="s">
        <v>153</v>
      </c>
      <c r="E1037" s="218">
        <v>13</v>
      </c>
    </row>
    <row r="1038" spans="1:5" x14ac:dyDescent="0.35">
      <c r="A1038" s="3" t="str">
        <f>IF(D1038="","",(VLOOKUP($D1038,KEY!$B$5:$D$74,3,FALSE)))</f>
        <v>Northern California</v>
      </c>
      <c r="B1038" s="221">
        <v>45383</v>
      </c>
      <c r="C1038" s="221" t="str">
        <f>IFERROR(VLOOKUP($B1038,KEY!$AE$19:$AH$60,2,FALSE),"")</f>
        <v>2024-Q2</v>
      </c>
      <c r="D1038" s="222" t="s">
        <v>154</v>
      </c>
      <c r="E1038" s="218">
        <v>7</v>
      </c>
    </row>
    <row r="1039" spans="1:5" x14ac:dyDescent="0.35">
      <c r="A1039" s="3" t="str">
        <f>IF(D1039="","",(VLOOKUP($D1039,KEY!$B$5:$D$74,3,FALSE)))</f>
        <v>Texas</v>
      </c>
      <c r="B1039" s="221">
        <v>45383</v>
      </c>
      <c r="C1039" s="221" t="str">
        <f>IFERROR(VLOOKUP($B1039,KEY!$AE$19:$AH$60,2,FALSE),"")</f>
        <v>2024-Q2</v>
      </c>
      <c r="D1039" s="222" t="s">
        <v>155</v>
      </c>
      <c r="E1039" s="218">
        <v>23</v>
      </c>
    </row>
    <row r="1040" spans="1:5" x14ac:dyDescent="0.35">
      <c r="A1040" s="3" t="str">
        <f>IF(D1040="","",(VLOOKUP($D1040,KEY!$B$5:$D$74,3,FALSE)))</f>
        <v>Texas</v>
      </c>
      <c r="B1040" s="221">
        <v>45383</v>
      </c>
      <c r="C1040" s="221" t="str">
        <f>IFERROR(VLOOKUP($B1040,KEY!$AE$19:$AH$60,2,FALSE),"")</f>
        <v>2024-Q2</v>
      </c>
      <c r="D1040" s="222" t="s">
        <v>156</v>
      </c>
      <c r="E1040" s="218">
        <v>21</v>
      </c>
    </row>
    <row r="1041" spans="1:5" x14ac:dyDescent="0.35">
      <c r="A1041" s="3" t="str">
        <f>IF(D1041="","",(VLOOKUP($D1041,KEY!$B$5:$D$74,3,FALSE)))</f>
        <v>Texas</v>
      </c>
      <c r="B1041" s="221">
        <v>45383</v>
      </c>
      <c r="C1041" s="221" t="str">
        <f>IFERROR(VLOOKUP($B1041,KEY!$AE$19:$AH$60,2,FALSE),"")</f>
        <v>2024-Q2</v>
      </c>
      <c r="D1041" s="222" t="s">
        <v>157</v>
      </c>
      <c r="E1041" s="218">
        <v>39</v>
      </c>
    </row>
    <row r="1042" spans="1:5" x14ac:dyDescent="0.35">
      <c r="A1042" s="3" t="str">
        <f>IF(D1042="","",(VLOOKUP($D1042,KEY!$B$5:$D$74,3,FALSE)))</f>
        <v>Arizona</v>
      </c>
      <c r="B1042" s="221">
        <v>45383</v>
      </c>
      <c r="C1042" s="221" t="str">
        <f>IFERROR(VLOOKUP($B1042,KEY!$AE$19:$AH$60,2,FALSE),"")</f>
        <v>2024-Q2</v>
      </c>
      <c r="D1042" s="222" t="s">
        <v>158</v>
      </c>
      <c r="E1042" s="218">
        <v>6</v>
      </c>
    </row>
    <row r="1043" spans="1:5" x14ac:dyDescent="0.35">
      <c r="A1043" s="3" t="str">
        <f>IF(D1043="","",(VLOOKUP($D1043,KEY!$B$5:$D$74,3,FALSE)))</f>
        <v>Orange County</v>
      </c>
      <c r="B1043" s="221">
        <v>45383</v>
      </c>
      <c r="C1043" s="221" t="str">
        <f>IFERROR(VLOOKUP($B1043,KEY!$AE$19:$AH$60,2,FALSE),"")</f>
        <v>2024-Q2</v>
      </c>
      <c r="D1043" s="222" t="s">
        <v>159</v>
      </c>
      <c r="E1043" s="218">
        <v>9</v>
      </c>
    </row>
    <row r="1044" spans="1:5" x14ac:dyDescent="0.35">
      <c r="A1044" s="3" t="str">
        <f>IF(D1044="","",(VLOOKUP($D1044,KEY!$B$5:$D$74,3,FALSE)))</f>
        <v>Arizona</v>
      </c>
      <c r="B1044" s="221">
        <v>45383</v>
      </c>
      <c r="C1044" s="221" t="str">
        <f>IFERROR(VLOOKUP($B1044,KEY!$AE$19:$AH$60,2,FALSE),"")</f>
        <v>2024-Q2</v>
      </c>
      <c r="D1044" s="222" t="s">
        <v>160</v>
      </c>
      <c r="E1044" s="218">
        <v>25</v>
      </c>
    </row>
    <row r="1045" spans="1:5" x14ac:dyDescent="0.35">
      <c r="A1045" s="3" t="str">
        <f>IF(D1045="","",(VLOOKUP($D1045,KEY!$B$5:$D$74,3,FALSE)))</f>
        <v>Northern California</v>
      </c>
      <c r="B1045" s="221">
        <v>45383</v>
      </c>
      <c r="C1045" s="221" t="str">
        <f>IFERROR(VLOOKUP($B1045,KEY!$AE$19:$AH$60,2,FALSE),"")</f>
        <v>2024-Q2</v>
      </c>
      <c r="D1045" s="222" t="s">
        <v>161</v>
      </c>
      <c r="E1045" s="218">
        <v>21</v>
      </c>
    </row>
    <row r="1046" spans="1:5" x14ac:dyDescent="0.35">
      <c r="A1046" s="3" t="e">
        <f>IF(D1046="","",(VLOOKUP($D1046,KEY!$B$5:$D$74,3,FALSE)))</f>
        <v>#N/A</v>
      </c>
      <c r="B1046" s="221">
        <v>45383</v>
      </c>
      <c r="C1046" s="221" t="str">
        <f>IFERROR(VLOOKUP($B1046,KEY!$AE$19:$AH$60,2,FALSE),"")</f>
        <v>2024-Q2</v>
      </c>
      <c r="D1046" s="222" t="s">
        <v>162</v>
      </c>
      <c r="E1046" s="218">
        <v>30</v>
      </c>
    </row>
    <row r="1047" spans="1:5" x14ac:dyDescent="0.35">
      <c r="A1047" s="3" t="str">
        <f>IF(D1047="","",(VLOOKUP($D1047,KEY!$B$5:$D$74,3,FALSE)))</f>
        <v>Arizona</v>
      </c>
      <c r="B1047" s="221">
        <v>45383</v>
      </c>
      <c r="C1047" s="221" t="str">
        <f>IFERROR(VLOOKUP($B1047,KEY!$AE$19:$AH$60,2,FALSE),"")</f>
        <v>2024-Q2</v>
      </c>
      <c r="D1047" s="222" t="s">
        <v>163</v>
      </c>
      <c r="E1047" s="218">
        <v>19</v>
      </c>
    </row>
    <row r="1048" spans="1:5" x14ac:dyDescent="0.35">
      <c r="A1048" s="3" t="str">
        <f>IF(D1048="","",(VLOOKUP($D1048,KEY!$B$5:$D$74,3,FALSE)))</f>
        <v>Arizona</v>
      </c>
      <c r="B1048" s="221">
        <v>45383</v>
      </c>
      <c r="C1048" s="221" t="str">
        <f>IFERROR(VLOOKUP($B1048,KEY!$AE$19:$AH$60,2,FALSE),"")</f>
        <v>2024-Q2</v>
      </c>
      <c r="D1048" s="222" t="s">
        <v>164</v>
      </c>
      <c r="E1048" s="218">
        <v>7</v>
      </c>
    </row>
    <row r="1049" spans="1:5" x14ac:dyDescent="0.35">
      <c r="A1049" s="3" t="str">
        <f>IF(D1049="","",(VLOOKUP($D1049,KEY!$B$5:$D$74,3,FALSE)))</f>
        <v>Orange County</v>
      </c>
      <c r="B1049" s="221">
        <v>45383</v>
      </c>
      <c r="C1049" s="221" t="str">
        <f>IFERROR(VLOOKUP($B1049,KEY!$AE$19:$AH$60,2,FALSE),"")</f>
        <v>2024-Q2</v>
      </c>
      <c r="D1049" s="222" t="s">
        <v>165</v>
      </c>
      <c r="E1049" s="218">
        <v>9</v>
      </c>
    </row>
    <row r="1050" spans="1:5" x14ac:dyDescent="0.35">
      <c r="A1050" s="3" t="str">
        <f>IF(D1050="","",(VLOOKUP($D1050,KEY!$B$5:$D$74,3,FALSE)))</f>
        <v>Arizona</v>
      </c>
      <c r="B1050" s="221">
        <v>45413</v>
      </c>
      <c r="C1050" s="221" t="str">
        <f>IFERROR(VLOOKUP($B1050,KEY!$AE$19:$AH$60,2,FALSE),"")</f>
        <v>2024-Q2</v>
      </c>
      <c r="D1050" s="222" t="s">
        <v>111</v>
      </c>
      <c r="E1050" s="218">
        <v>7</v>
      </c>
    </row>
    <row r="1051" spans="1:5" x14ac:dyDescent="0.35">
      <c r="A1051" s="3" t="str">
        <f>IF(D1051="","",(VLOOKUP($D1051,KEY!$B$5:$D$74,3,FALSE)))</f>
        <v>Southern California</v>
      </c>
      <c r="B1051" s="221">
        <v>45413</v>
      </c>
      <c r="C1051" s="221" t="str">
        <f>IFERROR(VLOOKUP($B1051,KEY!$AE$19:$AH$60,2,FALSE),"")</f>
        <v>2024-Q2</v>
      </c>
      <c r="D1051" s="222" t="s">
        <v>112</v>
      </c>
      <c r="E1051" s="218">
        <v>4</v>
      </c>
    </row>
    <row r="1052" spans="1:5" x14ac:dyDescent="0.35">
      <c r="A1052" s="3" t="str">
        <f>IF(D1052="","",(VLOOKUP($D1052,KEY!$B$5:$D$74,3,FALSE)))</f>
        <v>Arizona</v>
      </c>
      <c r="B1052" s="221">
        <v>45413</v>
      </c>
      <c r="C1052" s="221" t="str">
        <f>IFERROR(VLOOKUP($B1052,KEY!$AE$19:$AH$60,2,FALSE),"")</f>
        <v>2024-Q2</v>
      </c>
      <c r="D1052" s="222" t="s">
        <v>113</v>
      </c>
      <c r="E1052" s="218">
        <v>7</v>
      </c>
    </row>
    <row r="1053" spans="1:5" x14ac:dyDescent="0.35">
      <c r="A1053" s="3" t="str">
        <f>IF(D1053="","",(VLOOKUP($D1053,KEY!$B$5:$D$74,3,FALSE)))</f>
        <v>Southern California</v>
      </c>
      <c r="B1053" s="221">
        <v>45413</v>
      </c>
      <c r="C1053" s="221" t="str">
        <f>IFERROR(VLOOKUP($B1053,KEY!$AE$19:$AH$60,2,FALSE),"")</f>
        <v>2024-Q2</v>
      </c>
      <c r="D1053" s="222" t="s">
        <v>114</v>
      </c>
      <c r="E1053" s="218">
        <v>5</v>
      </c>
    </row>
    <row r="1054" spans="1:5" x14ac:dyDescent="0.35">
      <c r="A1054" s="3" t="str">
        <f>IF(D1054="","",(VLOOKUP($D1054,KEY!$B$5:$D$74,3,FALSE)))</f>
        <v>Orange County</v>
      </c>
      <c r="B1054" s="221">
        <v>45413</v>
      </c>
      <c r="C1054" s="221" t="str">
        <f>IFERROR(VLOOKUP($B1054,KEY!$AE$19:$AH$60,2,FALSE),"")</f>
        <v>2024-Q2</v>
      </c>
      <c r="D1054" s="222" t="s">
        <v>115</v>
      </c>
      <c r="E1054" s="218">
        <v>5</v>
      </c>
    </row>
    <row r="1055" spans="1:5" x14ac:dyDescent="0.35">
      <c r="A1055" s="3" t="str">
        <f>IF(D1055="","",(VLOOKUP($D1055,KEY!$B$5:$D$74,3,FALSE)))</f>
        <v>Arizona</v>
      </c>
      <c r="B1055" s="221">
        <v>45413</v>
      </c>
      <c r="C1055" s="221" t="str">
        <f>IFERROR(VLOOKUP($B1055,KEY!$AE$19:$AH$60,2,FALSE),"")</f>
        <v>2024-Q2</v>
      </c>
      <c r="D1055" s="222" t="s">
        <v>116</v>
      </c>
      <c r="E1055" s="218">
        <v>9</v>
      </c>
    </row>
    <row r="1056" spans="1:5" x14ac:dyDescent="0.35">
      <c r="A1056" s="3" t="str">
        <f>IF(D1056="","",(VLOOKUP($D1056,KEY!$B$5:$D$74,3,FALSE)))</f>
        <v>Orange County</v>
      </c>
      <c r="B1056" s="221">
        <v>45413</v>
      </c>
      <c r="C1056" s="221" t="str">
        <f>IFERROR(VLOOKUP($B1056,KEY!$AE$19:$AH$60,2,FALSE),"")</f>
        <v>2024-Q2</v>
      </c>
      <c r="D1056" s="222" t="s">
        <v>117</v>
      </c>
      <c r="E1056" s="218">
        <v>7</v>
      </c>
    </row>
    <row r="1057" spans="1:5" x14ac:dyDescent="0.35">
      <c r="A1057" s="3" t="str">
        <f>IF(D1057="","",(VLOOKUP($D1057,KEY!$B$5:$D$74,3,FALSE)))</f>
        <v>Northern California</v>
      </c>
      <c r="B1057" s="221">
        <v>45413</v>
      </c>
      <c r="C1057" s="221" t="str">
        <f>IFERROR(VLOOKUP($B1057,KEY!$AE$19:$AH$60,2,FALSE),"")</f>
        <v>2024-Q2</v>
      </c>
      <c r="D1057" s="222" t="s">
        <v>118</v>
      </c>
      <c r="E1057" s="218">
        <v>12</v>
      </c>
    </row>
    <row r="1058" spans="1:5" x14ac:dyDescent="0.35">
      <c r="A1058" s="3" t="str">
        <f>IF(D1058="","",(VLOOKUP($D1058,KEY!$B$5:$D$74,3,FALSE)))</f>
        <v>Arizona</v>
      </c>
      <c r="B1058" s="221">
        <v>45413</v>
      </c>
      <c r="C1058" s="221" t="str">
        <f>IFERROR(VLOOKUP($B1058,KEY!$AE$19:$AH$60,2,FALSE),"")</f>
        <v>2024-Q2</v>
      </c>
      <c r="D1058" s="222" t="s">
        <v>119</v>
      </c>
      <c r="E1058" s="218">
        <v>4</v>
      </c>
    </row>
    <row r="1059" spans="1:5" x14ac:dyDescent="0.35">
      <c r="A1059" s="3" t="str">
        <f>IF(D1059="","",(VLOOKUP($D1059,KEY!$B$5:$D$74,3,FALSE)))</f>
        <v>Arizona</v>
      </c>
      <c r="B1059" s="221">
        <v>45413</v>
      </c>
      <c r="C1059" s="221" t="str">
        <f>IFERROR(VLOOKUP($B1059,KEY!$AE$19:$AH$60,2,FALSE),"")</f>
        <v>2024-Q2</v>
      </c>
      <c r="D1059" s="222" t="s">
        <v>120</v>
      </c>
      <c r="E1059" s="218">
        <v>26</v>
      </c>
    </row>
    <row r="1060" spans="1:5" x14ac:dyDescent="0.35">
      <c r="A1060" s="3" t="str">
        <f>IF(D1060="","",(VLOOKUP($D1060,KEY!$B$5:$D$74,3,FALSE)))</f>
        <v>Texas</v>
      </c>
      <c r="B1060" s="221">
        <v>45413</v>
      </c>
      <c r="C1060" s="221" t="str">
        <f>IFERROR(VLOOKUP($B1060,KEY!$AE$19:$AH$60,2,FALSE),"")</f>
        <v>2024-Q2</v>
      </c>
      <c r="D1060" s="222" t="s">
        <v>121</v>
      </c>
      <c r="E1060" s="218">
        <v>21</v>
      </c>
    </row>
    <row r="1061" spans="1:5" x14ac:dyDescent="0.35">
      <c r="A1061" s="3" t="str">
        <f>IF(D1061="","",(VLOOKUP($D1061,KEY!$B$5:$D$74,3,FALSE)))</f>
        <v>Southern California</v>
      </c>
      <c r="B1061" s="221">
        <v>45413</v>
      </c>
      <c r="C1061" s="221" t="str">
        <f>IFERROR(VLOOKUP($B1061,KEY!$AE$19:$AH$60,2,FALSE),"")</f>
        <v>2024-Q2</v>
      </c>
      <c r="D1061" s="222" t="s">
        <v>122</v>
      </c>
      <c r="E1061" s="218">
        <v>11</v>
      </c>
    </row>
    <row r="1062" spans="1:5" x14ac:dyDescent="0.35">
      <c r="A1062" s="3" t="str">
        <f>IF(D1062="","",(VLOOKUP($D1062,KEY!$B$5:$D$74,3,FALSE)))</f>
        <v>Orange County</v>
      </c>
      <c r="B1062" s="221">
        <v>45413</v>
      </c>
      <c r="C1062" s="221" t="str">
        <f>IFERROR(VLOOKUP($B1062,KEY!$AE$19:$AH$60,2,FALSE),"")</f>
        <v>2024-Q2</v>
      </c>
      <c r="D1062" s="222" t="s">
        <v>123</v>
      </c>
      <c r="E1062" s="218">
        <v>19</v>
      </c>
    </row>
    <row r="1063" spans="1:5" x14ac:dyDescent="0.35">
      <c r="A1063" s="3" t="str">
        <f>IF(D1063="","",(VLOOKUP($D1063,KEY!$B$5:$D$74,3,FALSE)))</f>
        <v>Southern California</v>
      </c>
      <c r="B1063" s="221">
        <v>45413</v>
      </c>
      <c r="C1063" s="221" t="str">
        <f>IFERROR(VLOOKUP($B1063,KEY!$AE$19:$AH$60,2,FALSE),"")</f>
        <v>2024-Q2</v>
      </c>
      <c r="D1063" s="222" t="s">
        <v>124</v>
      </c>
      <c r="E1063" s="218">
        <v>22</v>
      </c>
    </row>
    <row r="1064" spans="1:5" x14ac:dyDescent="0.35">
      <c r="A1064" s="3" t="str">
        <f>IF(D1064="","",(VLOOKUP($D1064,KEY!$B$5:$D$74,3,FALSE)))</f>
        <v>Northern California</v>
      </c>
      <c r="B1064" s="221">
        <v>45413</v>
      </c>
      <c r="C1064" s="221" t="str">
        <f>IFERROR(VLOOKUP($B1064,KEY!$AE$19:$AH$60,2,FALSE),"")</f>
        <v>2024-Q2</v>
      </c>
      <c r="D1064" s="222" t="s">
        <v>195</v>
      </c>
      <c r="E1064" s="218">
        <v>6</v>
      </c>
    </row>
    <row r="1065" spans="1:5" x14ac:dyDescent="0.35">
      <c r="A1065" s="3" t="str">
        <f>IF(D1065="","",(VLOOKUP($D1065,KEY!$B$5:$D$74,3,FALSE)))</f>
        <v>Northern California</v>
      </c>
      <c r="B1065" s="221">
        <v>45413</v>
      </c>
      <c r="C1065" s="221" t="str">
        <f>IFERROR(VLOOKUP($B1065,KEY!$AE$19:$AH$60,2,FALSE),"")</f>
        <v>2024-Q2</v>
      </c>
      <c r="D1065" s="222" t="s">
        <v>125</v>
      </c>
      <c r="E1065" s="218">
        <v>17</v>
      </c>
    </row>
    <row r="1066" spans="1:5" x14ac:dyDescent="0.35">
      <c r="A1066" s="3" t="str">
        <f>IF(D1066="","",(VLOOKUP($D1066,KEY!$B$5:$D$74,3,FALSE)))</f>
        <v>Orange County</v>
      </c>
      <c r="B1066" s="221">
        <v>45413</v>
      </c>
      <c r="C1066" s="221" t="str">
        <f>IFERROR(VLOOKUP($B1066,KEY!$AE$19:$AH$60,2,FALSE),"")</f>
        <v>2024-Q2</v>
      </c>
      <c r="D1066" s="222" t="s">
        <v>126</v>
      </c>
      <c r="E1066" s="218">
        <v>29</v>
      </c>
    </row>
    <row r="1067" spans="1:5" x14ac:dyDescent="0.35">
      <c r="A1067" s="3" t="str">
        <f>IF(D1067="","",(VLOOKUP($D1067,KEY!$B$5:$D$74,3,FALSE)))</f>
        <v>Orange County</v>
      </c>
      <c r="B1067" s="221">
        <v>45413</v>
      </c>
      <c r="C1067" s="221" t="str">
        <f>IFERROR(VLOOKUP($B1067,KEY!$AE$19:$AH$60,2,FALSE),"")</f>
        <v>2024-Q2</v>
      </c>
      <c r="D1067" s="222" t="s">
        <v>127</v>
      </c>
      <c r="E1067" s="218">
        <v>5</v>
      </c>
    </row>
    <row r="1068" spans="1:5" x14ac:dyDescent="0.35">
      <c r="A1068" s="3" t="str">
        <f>IF(D1068="","",(VLOOKUP($D1068,KEY!$B$5:$D$74,3,FALSE)))</f>
        <v>Texas</v>
      </c>
      <c r="B1068" s="221">
        <v>45413</v>
      </c>
      <c r="C1068" s="221" t="str">
        <f>IFERROR(VLOOKUP($B1068,KEY!$AE$19:$AH$60,2,FALSE),"")</f>
        <v>2024-Q2</v>
      </c>
      <c r="D1068" s="222" t="s">
        <v>128</v>
      </c>
      <c r="E1068" s="218">
        <v>11</v>
      </c>
    </row>
    <row r="1069" spans="1:5" x14ac:dyDescent="0.35">
      <c r="A1069" s="3" t="str">
        <f>IF(D1069="","",(VLOOKUP($D1069,KEY!$B$5:$D$74,3,FALSE)))</f>
        <v>Northern California</v>
      </c>
      <c r="B1069" s="221">
        <v>45413</v>
      </c>
      <c r="C1069" s="221" t="str">
        <f>IFERROR(VLOOKUP($B1069,KEY!$AE$19:$AH$60,2,FALSE),"")</f>
        <v>2024-Q2</v>
      </c>
      <c r="D1069" s="222" t="s">
        <v>129</v>
      </c>
      <c r="E1069" s="218">
        <v>17</v>
      </c>
    </row>
    <row r="1070" spans="1:5" x14ac:dyDescent="0.35">
      <c r="A1070" s="3" t="str">
        <f>IF(D1070="","",(VLOOKUP($D1070,KEY!$B$5:$D$74,3,FALSE)))</f>
        <v>Southern California</v>
      </c>
      <c r="B1070" s="221">
        <v>45413</v>
      </c>
      <c r="C1070" s="221" t="str">
        <f>IFERROR(VLOOKUP($B1070,KEY!$AE$19:$AH$60,2,FALSE),"")</f>
        <v>2024-Q2</v>
      </c>
      <c r="D1070" s="222" t="s">
        <v>130</v>
      </c>
      <c r="E1070" s="218">
        <v>8</v>
      </c>
    </row>
    <row r="1071" spans="1:5" x14ac:dyDescent="0.35">
      <c r="A1071" s="3">
        <f>IF(D1071="","",(VLOOKUP($D1071,KEY!$B$5:$D$74,3,FALSE)))</f>
        <v>0</v>
      </c>
      <c r="B1071" s="221">
        <v>45413</v>
      </c>
      <c r="C1071" s="221" t="str">
        <f>IFERROR(VLOOKUP($B1071,KEY!$AE$19:$AH$60,2,FALSE),"")</f>
        <v>2024-Q2</v>
      </c>
      <c r="D1071" s="222" t="s">
        <v>131</v>
      </c>
      <c r="E1071" s="218">
        <v>12</v>
      </c>
    </row>
    <row r="1072" spans="1:5" x14ac:dyDescent="0.35">
      <c r="A1072" s="3" t="e">
        <f>IF(D1072="","",(VLOOKUP($D1072,KEY!$B$5:$D$74,3,FALSE)))</f>
        <v>#N/A</v>
      </c>
      <c r="B1072" s="221">
        <v>45413</v>
      </c>
      <c r="C1072" s="221" t="str">
        <f>IFERROR(VLOOKUP($B1072,KEY!$AE$19:$AH$60,2,FALSE),"")</f>
        <v>2024-Q2</v>
      </c>
      <c r="D1072" s="222" t="s">
        <v>134</v>
      </c>
      <c r="E1072" s="218">
        <v>4</v>
      </c>
    </row>
    <row r="1073" spans="1:5" x14ac:dyDescent="0.35">
      <c r="A1073" s="3" t="str">
        <f>IF(D1073="","",(VLOOKUP($D1073,KEY!$B$5:$D$74,3,FALSE)))</f>
        <v>Southern California</v>
      </c>
      <c r="B1073" s="221">
        <v>45413</v>
      </c>
      <c r="C1073" s="221" t="str">
        <f>IFERROR(VLOOKUP($B1073,KEY!$AE$19:$AH$60,2,FALSE),"")</f>
        <v>2024-Q2</v>
      </c>
      <c r="D1073" s="222" t="s">
        <v>135</v>
      </c>
      <c r="E1073" s="218">
        <v>19</v>
      </c>
    </row>
    <row r="1074" spans="1:5" x14ac:dyDescent="0.35">
      <c r="A1074" s="3" t="str">
        <f>IF(D1074="","",(VLOOKUP($D1074,KEY!$B$5:$D$74,3,FALSE)))</f>
        <v>Arizona</v>
      </c>
      <c r="B1074" s="221">
        <v>45413</v>
      </c>
      <c r="C1074" s="221" t="str">
        <f>IFERROR(VLOOKUP($B1074,KEY!$AE$19:$AH$60,2,FALSE),"")</f>
        <v>2024-Q2</v>
      </c>
      <c r="D1074" s="222" t="s">
        <v>196</v>
      </c>
      <c r="E1074" s="218">
        <v>5</v>
      </c>
    </row>
    <row r="1075" spans="1:5" x14ac:dyDescent="0.35">
      <c r="A1075" s="3" t="str">
        <f>IF(D1075="","",(VLOOKUP($D1075,KEY!$B$5:$D$74,3,FALSE)))</f>
        <v>Arizona</v>
      </c>
      <c r="B1075" s="221">
        <v>45413</v>
      </c>
      <c r="C1075" s="221" t="str">
        <f>IFERROR(VLOOKUP($B1075,KEY!$AE$19:$AH$60,2,FALSE),"")</f>
        <v>2024-Q2</v>
      </c>
      <c r="D1075" s="222" t="s">
        <v>197</v>
      </c>
      <c r="E1075" s="218">
        <v>11</v>
      </c>
    </row>
    <row r="1076" spans="1:5" x14ac:dyDescent="0.35">
      <c r="A1076" s="3" t="str">
        <f>IF(D1076="","",(VLOOKUP($D1076,KEY!$B$5:$D$74,3,FALSE)))</f>
        <v>Texas</v>
      </c>
      <c r="B1076" s="221">
        <v>45413</v>
      </c>
      <c r="C1076" s="221" t="str">
        <f>IFERROR(VLOOKUP($B1076,KEY!$AE$19:$AH$60,2,FALSE),"")</f>
        <v>2024-Q2</v>
      </c>
      <c r="D1076" s="222" t="s">
        <v>136</v>
      </c>
      <c r="E1076" s="218">
        <v>15</v>
      </c>
    </row>
    <row r="1077" spans="1:5" x14ac:dyDescent="0.35">
      <c r="A1077" s="3" t="str">
        <f>IF(D1077="","",(VLOOKUP($D1077,KEY!$B$5:$D$74,3,FALSE)))</f>
        <v>Arizona</v>
      </c>
      <c r="B1077" s="221">
        <v>45413</v>
      </c>
      <c r="C1077" s="221" t="str">
        <f>IFERROR(VLOOKUP($B1077,KEY!$AE$19:$AH$60,2,FALSE),"")</f>
        <v>2024-Q2</v>
      </c>
      <c r="D1077" s="222" t="s">
        <v>137</v>
      </c>
      <c r="E1077" s="218">
        <v>9</v>
      </c>
    </row>
    <row r="1078" spans="1:5" x14ac:dyDescent="0.35">
      <c r="A1078" s="3" t="str">
        <f>IF(D1078="","",(VLOOKUP($D1078,KEY!$B$5:$D$74,3,FALSE)))</f>
        <v>Texas</v>
      </c>
      <c r="B1078" s="221">
        <v>45413</v>
      </c>
      <c r="C1078" s="221" t="str">
        <f>IFERROR(VLOOKUP($B1078,KEY!$AE$19:$AH$60,2,FALSE),"")</f>
        <v>2024-Q2</v>
      </c>
      <c r="D1078" s="222" t="s">
        <v>138</v>
      </c>
      <c r="E1078" s="218">
        <v>8</v>
      </c>
    </row>
    <row r="1079" spans="1:5" x14ac:dyDescent="0.35">
      <c r="A1079" s="3" t="str">
        <f>IF(D1079="","",(VLOOKUP($D1079,KEY!$B$5:$D$74,3,FALSE)))</f>
        <v>Southern California</v>
      </c>
      <c r="B1079" s="221">
        <v>45413</v>
      </c>
      <c r="C1079" s="221" t="str">
        <f>IFERROR(VLOOKUP($B1079,KEY!$AE$19:$AH$60,2,FALSE),"")</f>
        <v>2024-Q2</v>
      </c>
      <c r="D1079" s="222" t="s">
        <v>139</v>
      </c>
      <c r="E1079" s="218">
        <v>13</v>
      </c>
    </row>
    <row r="1080" spans="1:5" x14ac:dyDescent="0.35">
      <c r="A1080" s="3" t="str">
        <f>IF(D1080="","",(VLOOKUP($D1080,KEY!$B$5:$D$74,3,FALSE)))</f>
        <v>Orange County</v>
      </c>
      <c r="B1080" s="221">
        <v>45413</v>
      </c>
      <c r="C1080" s="221" t="str">
        <f>IFERROR(VLOOKUP($B1080,KEY!$AE$19:$AH$60,2,FALSE),"")</f>
        <v>2024-Q2</v>
      </c>
      <c r="D1080" s="222" t="s">
        <v>140</v>
      </c>
      <c r="E1080" s="218">
        <v>4</v>
      </c>
    </row>
    <row r="1081" spans="1:5" x14ac:dyDescent="0.35">
      <c r="A1081" s="3" t="str">
        <f>IF(D1081="","",(VLOOKUP($D1081,KEY!$B$5:$D$74,3,FALSE)))</f>
        <v>Southern California</v>
      </c>
      <c r="B1081" s="221">
        <v>45413</v>
      </c>
      <c r="C1081" s="221" t="str">
        <f>IFERROR(VLOOKUP($B1081,KEY!$AE$19:$AH$60,2,FALSE),"")</f>
        <v>2024-Q2</v>
      </c>
      <c r="D1081" s="222" t="s">
        <v>142</v>
      </c>
      <c r="E1081" s="218">
        <v>4</v>
      </c>
    </row>
    <row r="1082" spans="1:5" x14ac:dyDescent="0.35">
      <c r="A1082" s="3" t="str">
        <f>IF(D1082="","",(VLOOKUP($D1082,KEY!$B$5:$D$74,3,FALSE)))</f>
        <v>Arizona</v>
      </c>
      <c r="B1082" s="221">
        <v>45413</v>
      </c>
      <c r="C1082" s="221" t="str">
        <f>IFERROR(VLOOKUP($B1082,KEY!$AE$19:$AH$60,2,FALSE),"")</f>
        <v>2024-Q2</v>
      </c>
      <c r="D1082" s="222" t="s">
        <v>143</v>
      </c>
      <c r="E1082" s="218">
        <v>7</v>
      </c>
    </row>
    <row r="1083" spans="1:5" x14ac:dyDescent="0.35">
      <c r="A1083" s="3" t="str">
        <f>IF(D1083="","",(VLOOKUP($D1083,KEY!$B$5:$D$74,3,FALSE)))</f>
        <v>Arizona</v>
      </c>
      <c r="B1083" s="221">
        <v>45413</v>
      </c>
      <c r="C1083" s="221" t="str">
        <f>IFERROR(VLOOKUP($B1083,KEY!$AE$19:$AH$60,2,FALSE),"")</f>
        <v>2024-Q2</v>
      </c>
      <c r="D1083" s="222" t="s">
        <v>144</v>
      </c>
      <c r="E1083" s="218">
        <v>20</v>
      </c>
    </row>
    <row r="1084" spans="1:5" x14ac:dyDescent="0.35">
      <c r="A1084" s="3" t="str">
        <f>IF(D1084="","",(VLOOKUP($D1084,KEY!$B$5:$D$74,3,FALSE)))</f>
        <v>Southern California</v>
      </c>
      <c r="B1084" s="221">
        <v>45413</v>
      </c>
      <c r="C1084" s="221" t="str">
        <f>IFERROR(VLOOKUP($B1084,KEY!$AE$19:$AH$60,2,FALSE),"")</f>
        <v>2024-Q2</v>
      </c>
      <c r="D1084" s="222" t="s">
        <v>145</v>
      </c>
      <c r="E1084" s="218">
        <v>14</v>
      </c>
    </row>
    <row r="1085" spans="1:5" x14ac:dyDescent="0.35">
      <c r="A1085" s="3" t="str">
        <f>IF(D1085="","",(VLOOKUP($D1085,KEY!$B$5:$D$74,3,FALSE)))</f>
        <v>Arizona</v>
      </c>
      <c r="B1085" s="221">
        <v>45413</v>
      </c>
      <c r="C1085" s="221" t="str">
        <f>IFERROR(VLOOKUP($B1085,KEY!$AE$19:$AH$60,2,FALSE),"")</f>
        <v>2024-Q2</v>
      </c>
      <c r="D1085" s="222" t="s">
        <v>146</v>
      </c>
      <c r="E1085" s="218">
        <v>4</v>
      </c>
    </row>
    <row r="1086" spans="1:5" x14ac:dyDescent="0.35">
      <c r="A1086" s="3" t="str">
        <f>IF(D1086="","",(VLOOKUP($D1086,KEY!$B$5:$D$74,3,FALSE)))</f>
        <v>Texas</v>
      </c>
      <c r="B1086" s="221">
        <v>45413</v>
      </c>
      <c r="C1086" s="221" t="str">
        <f>IFERROR(VLOOKUP($B1086,KEY!$AE$19:$AH$60,2,FALSE),"")</f>
        <v>2024-Q2</v>
      </c>
      <c r="D1086" s="222" t="s">
        <v>147</v>
      </c>
      <c r="E1086" s="218">
        <v>4</v>
      </c>
    </row>
    <row r="1087" spans="1:5" x14ac:dyDescent="0.35">
      <c r="A1087" s="3" t="str">
        <f>IF(D1087="","",(VLOOKUP($D1087,KEY!$B$5:$D$74,3,FALSE)))</f>
        <v>Northern California</v>
      </c>
      <c r="B1087" s="221">
        <v>45413</v>
      </c>
      <c r="C1087" s="221" t="str">
        <f>IFERROR(VLOOKUP($B1087,KEY!$AE$19:$AH$60,2,FALSE),"")</f>
        <v>2024-Q2</v>
      </c>
      <c r="D1087" s="222" t="s">
        <v>148</v>
      </c>
      <c r="E1087" s="218">
        <v>4</v>
      </c>
    </row>
    <row r="1088" spans="1:5" x14ac:dyDescent="0.35">
      <c r="A1088" s="3" t="str">
        <f>IF(D1088="","",(VLOOKUP($D1088,KEY!$B$5:$D$74,3,FALSE)))</f>
        <v>Orange County</v>
      </c>
      <c r="B1088" s="221">
        <v>45413</v>
      </c>
      <c r="C1088" s="221" t="str">
        <f>IFERROR(VLOOKUP($B1088,KEY!$AE$19:$AH$60,2,FALSE),"")</f>
        <v>2024-Q2</v>
      </c>
      <c r="D1088" s="222" t="s">
        <v>149</v>
      </c>
      <c r="E1088" s="218">
        <v>3</v>
      </c>
    </row>
    <row r="1089" spans="1:5" x14ac:dyDescent="0.35">
      <c r="A1089" s="3" t="str">
        <f>IF(D1089="","",(VLOOKUP($D1089,KEY!$B$5:$D$74,3,FALSE)))</f>
        <v>Southern California</v>
      </c>
      <c r="B1089" s="221">
        <v>45413</v>
      </c>
      <c r="C1089" s="221" t="str">
        <f>IFERROR(VLOOKUP($B1089,KEY!$AE$19:$AH$60,2,FALSE),"")</f>
        <v>2024-Q2</v>
      </c>
      <c r="D1089" s="222" t="s">
        <v>150</v>
      </c>
      <c r="E1089" s="218">
        <v>5</v>
      </c>
    </row>
    <row r="1090" spans="1:5" x14ac:dyDescent="0.35">
      <c r="A1090" s="3" t="str">
        <f>IF(D1090="","",(VLOOKUP($D1090,KEY!$B$5:$D$74,3,FALSE)))</f>
        <v>Arizona</v>
      </c>
      <c r="B1090" s="221">
        <v>45413</v>
      </c>
      <c r="C1090" s="221" t="str">
        <f>IFERROR(VLOOKUP($B1090,KEY!$AE$19:$AH$60,2,FALSE),"")</f>
        <v>2024-Q2</v>
      </c>
      <c r="D1090" s="222" t="s">
        <v>151</v>
      </c>
      <c r="E1090" s="218">
        <v>4</v>
      </c>
    </row>
    <row r="1091" spans="1:5" x14ac:dyDescent="0.35">
      <c r="A1091" s="3" t="str">
        <f>IF(D1091="","",(VLOOKUP($D1091,KEY!$B$5:$D$74,3,FALSE)))</f>
        <v>Northern California</v>
      </c>
      <c r="B1091" s="221">
        <v>45413</v>
      </c>
      <c r="C1091" s="221" t="str">
        <f>IFERROR(VLOOKUP($B1091,KEY!$AE$19:$AH$60,2,FALSE),"")</f>
        <v>2024-Q2</v>
      </c>
      <c r="D1091" s="222" t="s">
        <v>152</v>
      </c>
      <c r="E1091" s="218">
        <v>13</v>
      </c>
    </row>
    <row r="1092" spans="1:5" x14ac:dyDescent="0.35">
      <c r="A1092" s="3" t="str">
        <f>IF(D1092="","",(VLOOKUP($D1092,KEY!$B$5:$D$74,3,FALSE)))</f>
        <v>Arizona</v>
      </c>
      <c r="B1092" s="221">
        <v>45413</v>
      </c>
      <c r="C1092" s="221" t="str">
        <f>IFERROR(VLOOKUP($B1092,KEY!$AE$19:$AH$60,2,FALSE),"")</f>
        <v>2024-Q2</v>
      </c>
      <c r="D1092" s="222" t="s">
        <v>153</v>
      </c>
      <c r="E1092" s="218">
        <v>13</v>
      </c>
    </row>
    <row r="1093" spans="1:5" x14ac:dyDescent="0.35">
      <c r="A1093" s="3" t="str">
        <f>IF(D1093="","",(VLOOKUP($D1093,KEY!$B$5:$D$74,3,FALSE)))</f>
        <v>Northern California</v>
      </c>
      <c r="B1093" s="221">
        <v>45413</v>
      </c>
      <c r="C1093" s="221" t="str">
        <f>IFERROR(VLOOKUP($B1093,KEY!$AE$19:$AH$60,2,FALSE),"")</f>
        <v>2024-Q2</v>
      </c>
      <c r="D1093" s="222" t="s">
        <v>154</v>
      </c>
      <c r="E1093" s="218">
        <v>7</v>
      </c>
    </row>
    <row r="1094" spans="1:5" x14ac:dyDescent="0.35">
      <c r="A1094" s="3" t="str">
        <f>IF(D1094="","",(VLOOKUP($D1094,KEY!$B$5:$D$74,3,FALSE)))</f>
        <v>Texas</v>
      </c>
      <c r="B1094" s="221">
        <v>45413</v>
      </c>
      <c r="C1094" s="221" t="str">
        <f>IFERROR(VLOOKUP($B1094,KEY!$AE$19:$AH$60,2,FALSE),"")</f>
        <v>2024-Q2</v>
      </c>
      <c r="D1094" s="222" t="s">
        <v>155</v>
      </c>
      <c r="E1094" s="218">
        <v>21</v>
      </c>
    </row>
    <row r="1095" spans="1:5" x14ac:dyDescent="0.35">
      <c r="A1095" s="3" t="str">
        <f>IF(D1095="","",(VLOOKUP($D1095,KEY!$B$5:$D$74,3,FALSE)))</f>
        <v>Texas</v>
      </c>
      <c r="B1095" s="221">
        <v>45413</v>
      </c>
      <c r="C1095" s="221" t="str">
        <f>IFERROR(VLOOKUP($B1095,KEY!$AE$19:$AH$60,2,FALSE),"")</f>
        <v>2024-Q2</v>
      </c>
      <c r="D1095" s="222" t="s">
        <v>156</v>
      </c>
      <c r="E1095" s="218">
        <v>24</v>
      </c>
    </row>
    <row r="1096" spans="1:5" x14ac:dyDescent="0.35">
      <c r="A1096" s="3" t="str">
        <f>IF(D1096="","",(VLOOKUP($D1096,KEY!$B$5:$D$74,3,FALSE)))</f>
        <v>Texas</v>
      </c>
      <c r="B1096" s="221">
        <v>45413</v>
      </c>
      <c r="C1096" s="221" t="str">
        <f>IFERROR(VLOOKUP($B1096,KEY!$AE$19:$AH$60,2,FALSE),"")</f>
        <v>2024-Q2</v>
      </c>
      <c r="D1096" s="222" t="s">
        <v>157</v>
      </c>
      <c r="E1096" s="218">
        <v>38</v>
      </c>
    </row>
    <row r="1097" spans="1:5" x14ac:dyDescent="0.35">
      <c r="A1097" s="3" t="str">
        <f>IF(D1097="","",(VLOOKUP($D1097,KEY!$B$5:$D$74,3,FALSE)))</f>
        <v>Arizona</v>
      </c>
      <c r="B1097" s="221">
        <v>45413</v>
      </c>
      <c r="C1097" s="221" t="str">
        <f>IFERROR(VLOOKUP($B1097,KEY!$AE$19:$AH$60,2,FALSE),"")</f>
        <v>2024-Q2</v>
      </c>
      <c r="D1097" s="222" t="s">
        <v>158</v>
      </c>
      <c r="E1097" s="218">
        <v>6</v>
      </c>
    </row>
    <row r="1098" spans="1:5" x14ac:dyDescent="0.35">
      <c r="A1098" s="3" t="str">
        <f>IF(D1098="","",(VLOOKUP($D1098,KEY!$B$5:$D$74,3,FALSE)))</f>
        <v>Orange County</v>
      </c>
      <c r="B1098" s="221">
        <v>45413</v>
      </c>
      <c r="C1098" s="221" t="str">
        <f>IFERROR(VLOOKUP($B1098,KEY!$AE$19:$AH$60,2,FALSE),"")</f>
        <v>2024-Q2</v>
      </c>
      <c r="D1098" s="222" t="s">
        <v>159</v>
      </c>
      <c r="E1098" s="218">
        <v>9</v>
      </c>
    </row>
    <row r="1099" spans="1:5" x14ac:dyDescent="0.35">
      <c r="A1099" s="3" t="str">
        <f>IF(D1099="","",(VLOOKUP($D1099,KEY!$B$5:$D$74,3,FALSE)))</f>
        <v>Arizona</v>
      </c>
      <c r="B1099" s="221">
        <v>45413</v>
      </c>
      <c r="C1099" s="221" t="str">
        <f>IFERROR(VLOOKUP($B1099,KEY!$AE$19:$AH$60,2,FALSE),"")</f>
        <v>2024-Q2</v>
      </c>
      <c r="D1099" s="222" t="s">
        <v>160</v>
      </c>
      <c r="E1099" s="218">
        <v>23</v>
      </c>
    </row>
    <row r="1100" spans="1:5" x14ac:dyDescent="0.35">
      <c r="A1100" s="3" t="str">
        <f>IF(D1100="","",(VLOOKUP($D1100,KEY!$B$5:$D$74,3,FALSE)))</f>
        <v>Northern California</v>
      </c>
      <c r="B1100" s="221">
        <v>45413</v>
      </c>
      <c r="C1100" s="221" t="str">
        <f>IFERROR(VLOOKUP($B1100,KEY!$AE$19:$AH$60,2,FALSE),"")</f>
        <v>2024-Q2</v>
      </c>
      <c r="D1100" s="222" t="s">
        <v>161</v>
      </c>
      <c r="E1100" s="218">
        <v>23</v>
      </c>
    </row>
    <row r="1101" spans="1:5" x14ac:dyDescent="0.35">
      <c r="A1101" s="3" t="e">
        <f>IF(D1101="","",(VLOOKUP($D1101,KEY!$B$5:$D$74,3,FALSE)))</f>
        <v>#N/A</v>
      </c>
      <c r="B1101" s="221">
        <v>45413</v>
      </c>
      <c r="C1101" s="221" t="str">
        <f>IFERROR(VLOOKUP($B1101,KEY!$AE$19:$AH$60,2,FALSE),"")</f>
        <v>2024-Q2</v>
      </c>
      <c r="D1101" s="222" t="s">
        <v>162</v>
      </c>
      <c r="E1101" s="218">
        <v>31</v>
      </c>
    </row>
    <row r="1102" spans="1:5" x14ac:dyDescent="0.35">
      <c r="A1102" s="3" t="str">
        <f>IF(D1102="","",(VLOOKUP($D1102,KEY!$B$5:$D$74,3,FALSE)))</f>
        <v>Arizona</v>
      </c>
      <c r="B1102" s="221">
        <v>45413</v>
      </c>
      <c r="C1102" s="221" t="str">
        <f>IFERROR(VLOOKUP($B1102,KEY!$AE$19:$AH$60,2,FALSE),"")</f>
        <v>2024-Q2</v>
      </c>
      <c r="D1102" s="222" t="s">
        <v>163</v>
      </c>
      <c r="E1102" s="218">
        <v>20</v>
      </c>
    </row>
    <row r="1103" spans="1:5" x14ac:dyDescent="0.35">
      <c r="A1103" s="3" t="str">
        <f>IF(D1103="","",(VLOOKUP($D1103,KEY!$B$5:$D$74,3,FALSE)))</f>
        <v>Arizona</v>
      </c>
      <c r="B1103" s="221">
        <v>45413</v>
      </c>
      <c r="C1103" s="221" t="str">
        <f>IFERROR(VLOOKUP($B1103,KEY!$AE$19:$AH$60,2,FALSE),"")</f>
        <v>2024-Q2</v>
      </c>
      <c r="D1103" s="222" t="s">
        <v>164</v>
      </c>
      <c r="E1103" s="218">
        <v>7</v>
      </c>
    </row>
    <row r="1104" spans="1:5" x14ac:dyDescent="0.35">
      <c r="A1104" s="3" t="str">
        <f>IF(D1104="","",(VLOOKUP($D1104,KEY!$B$5:$D$74,3,FALSE)))</f>
        <v>Orange County</v>
      </c>
      <c r="B1104" s="221">
        <v>45413</v>
      </c>
      <c r="C1104" s="221" t="str">
        <f>IFERROR(VLOOKUP($B1104,KEY!$AE$19:$AH$60,2,FALSE),"")</f>
        <v>2024-Q2</v>
      </c>
      <c r="D1104" s="222" t="s">
        <v>165</v>
      </c>
      <c r="E1104" s="218">
        <v>9</v>
      </c>
    </row>
    <row r="1105" spans="1:5" x14ac:dyDescent="0.35">
      <c r="A1105" s="3" t="str">
        <f>IF(D1105="","",(VLOOKUP($D1105,KEY!$B$5:$D$74,3,FALSE)))</f>
        <v>Arizona</v>
      </c>
      <c r="B1105" s="221">
        <v>45444</v>
      </c>
      <c r="C1105" s="221" t="str">
        <f>IFERROR(VLOOKUP($B1105,KEY!$AE$19:$AH$60,2,FALSE),"")</f>
        <v>2024-Q2</v>
      </c>
      <c r="D1105" s="222" t="s">
        <v>111</v>
      </c>
      <c r="E1105" s="218">
        <v>7</v>
      </c>
    </row>
    <row r="1106" spans="1:5" x14ac:dyDescent="0.35">
      <c r="A1106" s="3" t="str">
        <f>IF(D1106="","",(VLOOKUP($D1106,KEY!$B$5:$D$74,3,FALSE)))</f>
        <v>Southern California</v>
      </c>
      <c r="B1106" s="221">
        <v>45444</v>
      </c>
      <c r="C1106" s="221" t="str">
        <f>IFERROR(VLOOKUP($B1106,KEY!$AE$19:$AH$60,2,FALSE),"")</f>
        <v>2024-Q2</v>
      </c>
      <c r="D1106" s="222" t="s">
        <v>112</v>
      </c>
      <c r="E1106" s="218">
        <v>4</v>
      </c>
    </row>
    <row r="1107" spans="1:5" x14ac:dyDescent="0.35">
      <c r="A1107" s="3" t="str">
        <f>IF(D1107="","",(VLOOKUP($D1107,KEY!$B$5:$D$74,3,FALSE)))</f>
        <v>Arizona</v>
      </c>
      <c r="B1107" s="221">
        <v>45444</v>
      </c>
      <c r="C1107" s="221" t="str">
        <f>IFERROR(VLOOKUP($B1107,KEY!$AE$19:$AH$60,2,FALSE),"")</f>
        <v>2024-Q2</v>
      </c>
      <c r="D1107" s="222" t="s">
        <v>113</v>
      </c>
      <c r="E1107" s="218">
        <v>7</v>
      </c>
    </row>
    <row r="1108" spans="1:5" x14ac:dyDescent="0.35">
      <c r="A1108" s="3" t="str">
        <f>IF(D1108="","",(VLOOKUP($D1108,KEY!$B$5:$D$74,3,FALSE)))</f>
        <v>Southern California</v>
      </c>
      <c r="B1108" s="221">
        <v>45444</v>
      </c>
      <c r="C1108" s="221" t="str">
        <f>IFERROR(VLOOKUP($B1108,KEY!$AE$19:$AH$60,2,FALSE),"")</f>
        <v>2024-Q2</v>
      </c>
      <c r="D1108" s="222" t="s">
        <v>114</v>
      </c>
      <c r="E1108" s="218">
        <v>5</v>
      </c>
    </row>
    <row r="1109" spans="1:5" x14ac:dyDescent="0.35">
      <c r="A1109" s="3" t="str">
        <f>IF(D1109="","",(VLOOKUP($D1109,KEY!$B$5:$D$74,3,FALSE)))</f>
        <v>Orange County</v>
      </c>
      <c r="B1109" s="221">
        <v>45444</v>
      </c>
      <c r="C1109" s="221" t="str">
        <f>IFERROR(VLOOKUP($B1109,KEY!$AE$19:$AH$60,2,FALSE),"")</f>
        <v>2024-Q2</v>
      </c>
      <c r="D1109" s="222" t="s">
        <v>115</v>
      </c>
      <c r="E1109" s="218">
        <v>5</v>
      </c>
    </row>
    <row r="1110" spans="1:5" x14ac:dyDescent="0.35">
      <c r="A1110" s="3" t="str">
        <f>IF(D1110="","",(VLOOKUP($D1110,KEY!$B$5:$D$74,3,FALSE)))</f>
        <v>Arizona</v>
      </c>
      <c r="B1110" s="221">
        <v>45444</v>
      </c>
      <c r="C1110" s="221" t="str">
        <f>IFERROR(VLOOKUP($B1110,KEY!$AE$19:$AH$60,2,FALSE),"")</f>
        <v>2024-Q2</v>
      </c>
      <c r="D1110" s="222" t="s">
        <v>116</v>
      </c>
      <c r="E1110" s="218">
        <v>9</v>
      </c>
    </row>
    <row r="1111" spans="1:5" x14ac:dyDescent="0.35">
      <c r="A1111" s="3" t="str">
        <f>IF(D1111="","",(VLOOKUP($D1111,KEY!$B$5:$D$74,3,FALSE)))</f>
        <v>Northern California</v>
      </c>
      <c r="B1111" s="221">
        <v>45444</v>
      </c>
      <c r="C1111" s="221" t="str">
        <f>IFERROR(VLOOKUP($B1111,KEY!$AE$19:$AH$60,2,FALSE),"")</f>
        <v>2024-Q2</v>
      </c>
      <c r="D1111" s="222" t="s">
        <v>118</v>
      </c>
      <c r="E1111" s="218">
        <v>12</v>
      </c>
    </row>
    <row r="1112" spans="1:5" x14ac:dyDescent="0.35">
      <c r="A1112" s="3" t="str">
        <f>IF(D1112="","",(VLOOKUP($D1112,KEY!$B$5:$D$74,3,FALSE)))</f>
        <v>Orange County</v>
      </c>
      <c r="B1112" s="221">
        <v>45444</v>
      </c>
      <c r="C1112" s="221" t="str">
        <f>IFERROR(VLOOKUP($B1112,KEY!$AE$19:$AH$60,2,FALSE),"")</f>
        <v>2024-Q2</v>
      </c>
      <c r="D1112" s="222" t="s">
        <v>117</v>
      </c>
      <c r="E1112" s="218">
        <v>8</v>
      </c>
    </row>
    <row r="1113" spans="1:5" x14ac:dyDescent="0.35">
      <c r="A1113" s="3" t="str">
        <f>IF(D1113="","",(VLOOKUP($D1113,KEY!$B$5:$D$74,3,FALSE)))</f>
        <v>Arizona</v>
      </c>
      <c r="B1113" s="221">
        <v>45444</v>
      </c>
      <c r="C1113" s="221" t="str">
        <f>IFERROR(VLOOKUP($B1113,KEY!$AE$19:$AH$60,2,FALSE),"")</f>
        <v>2024-Q2</v>
      </c>
      <c r="D1113" s="222" t="s">
        <v>119</v>
      </c>
      <c r="E1113" s="218">
        <v>5</v>
      </c>
    </row>
    <row r="1114" spans="1:5" x14ac:dyDescent="0.35">
      <c r="A1114" s="3" t="str">
        <f>IF(D1114="","",(VLOOKUP($D1114,KEY!$B$5:$D$74,3,FALSE)))</f>
        <v>Arizona</v>
      </c>
      <c r="B1114" s="221">
        <v>45444</v>
      </c>
      <c r="C1114" s="221" t="str">
        <f>IFERROR(VLOOKUP($B1114,KEY!$AE$19:$AH$60,2,FALSE),"")</f>
        <v>2024-Q2</v>
      </c>
      <c r="D1114" s="222" t="s">
        <v>120</v>
      </c>
      <c r="E1114" s="218">
        <v>26</v>
      </c>
    </row>
    <row r="1115" spans="1:5" x14ac:dyDescent="0.35">
      <c r="A1115" s="3" t="str">
        <f>IF(D1115="","",(VLOOKUP($D1115,KEY!$B$5:$D$74,3,FALSE)))</f>
        <v>Texas</v>
      </c>
      <c r="B1115" s="221">
        <v>45444</v>
      </c>
      <c r="C1115" s="221" t="str">
        <f>IFERROR(VLOOKUP($B1115,KEY!$AE$19:$AH$60,2,FALSE),"")</f>
        <v>2024-Q2</v>
      </c>
      <c r="D1115" s="222" t="s">
        <v>121</v>
      </c>
      <c r="E1115" s="218">
        <v>22</v>
      </c>
    </row>
    <row r="1116" spans="1:5" x14ac:dyDescent="0.35">
      <c r="A1116" s="3" t="str">
        <f>IF(D1116="","",(VLOOKUP($D1116,KEY!$B$5:$D$74,3,FALSE)))</f>
        <v>Southern California</v>
      </c>
      <c r="B1116" s="221">
        <v>45444</v>
      </c>
      <c r="C1116" s="221" t="str">
        <f>IFERROR(VLOOKUP($B1116,KEY!$AE$19:$AH$60,2,FALSE),"")</f>
        <v>2024-Q2</v>
      </c>
      <c r="D1116" s="222" t="s">
        <v>122</v>
      </c>
      <c r="E1116" s="218">
        <v>9</v>
      </c>
    </row>
    <row r="1117" spans="1:5" x14ac:dyDescent="0.35">
      <c r="A1117" s="3" t="str">
        <f>IF(D1117="","",(VLOOKUP($D1117,KEY!$B$5:$D$74,3,FALSE)))</f>
        <v>Orange County</v>
      </c>
      <c r="B1117" s="221">
        <v>45444</v>
      </c>
      <c r="C1117" s="221" t="str">
        <f>IFERROR(VLOOKUP($B1117,KEY!$AE$19:$AH$60,2,FALSE),"")</f>
        <v>2024-Q2</v>
      </c>
      <c r="D1117" s="222" t="s">
        <v>123</v>
      </c>
      <c r="E1117" s="218">
        <v>19</v>
      </c>
    </row>
    <row r="1118" spans="1:5" x14ac:dyDescent="0.35">
      <c r="A1118" s="3" t="str">
        <f>IF(D1118="","",(VLOOKUP($D1118,KEY!$B$5:$D$74,3,FALSE)))</f>
        <v>Southern California</v>
      </c>
      <c r="B1118" s="221">
        <v>45444</v>
      </c>
      <c r="C1118" s="221" t="str">
        <f>IFERROR(VLOOKUP($B1118,KEY!$AE$19:$AH$60,2,FALSE),"")</f>
        <v>2024-Q2</v>
      </c>
      <c r="D1118" s="222" t="s">
        <v>124</v>
      </c>
      <c r="E1118" s="218">
        <v>22</v>
      </c>
    </row>
    <row r="1119" spans="1:5" x14ac:dyDescent="0.35">
      <c r="A1119" s="3" t="str">
        <f>IF(D1119="","",(VLOOKUP($D1119,KEY!$B$5:$D$74,3,FALSE)))</f>
        <v>Northern California</v>
      </c>
      <c r="B1119" s="221">
        <v>45444</v>
      </c>
      <c r="C1119" s="221" t="str">
        <f>IFERROR(VLOOKUP($B1119,KEY!$AE$19:$AH$60,2,FALSE),"")</f>
        <v>2024-Q2</v>
      </c>
      <c r="D1119" s="222" t="s">
        <v>195</v>
      </c>
      <c r="E1119" s="218">
        <v>6</v>
      </c>
    </row>
    <row r="1120" spans="1:5" x14ac:dyDescent="0.35">
      <c r="A1120" s="3" t="str">
        <f>IF(D1120="","",(VLOOKUP($D1120,KEY!$B$5:$D$74,3,FALSE)))</f>
        <v>Northern California</v>
      </c>
      <c r="B1120" s="221">
        <v>45444</v>
      </c>
      <c r="C1120" s="221" t="str">
        <f>IFERROR(VLOOKUP($B1120,KEY!$AE$19:$AH$60,2,FALSE),"")</f>
        <v>2024-Q2</v>
      </c>
      <c r="D1120" s="222" t="s">
        <v>125</v>
      </c>
      <c r="E1120" s="218">
        <v>18</v>
      </c>
    </row>
    <row r="1121" spans="1:5" x14ac:dyDescent="0.35">
      <c r="A1121" s="3" t="str">
        <f>IF(D1121="","",(VLOOKUP($D1121,KEY!$B$5:$D$74,3,FALSE)))</f>
        <v>Orange County</v>
      </c>
      <c r="B1121" s="221">
        <v>45444</v>
      </c>
      <c r="C1121" s="221" t="str">
        <f>IFERROR(VLOOKUP($B1121,KEY!$AE$19:$AH$60,2,FALSE),"")</f>
        <v>2024-Q2</v>
      </c>
      <c r="D1121" s="222" t="s">
        <v>126</v>
      </c>
      <c r="E1121" s="218">
        <v>29</v>
      </c>
    </row>
    <row r="1122" spans="1:5" x14ac:dyDescent="0.35">
      <c r="A1122" s="3" t="str">
        <f>IF(D1122="","",(VLOOKUP($D1122,KEY!$B$5:$D$74,3,FALSE)))</f>
        <v>Orange County</v>
      </c>
      <c r="B1122" s="221">
        <v>45444</v>
      </c>
      <c r="C1122" s="221" t="str">
        <f>IFERROR(VLOOKUP($B1122,KEY!$AE$19:$AH$60,2,FALSE),"")</f>
        <v>2024-Q2</v>
      </c>
      <c r="D1122" s="222" t="s">
        <v>127</v>
      </c>
      <c r="E1122" s="218">
        <v>5</v>
      </c>
    </row>
    <row r="1123" spans="1:5" x14ac:dyDescent="0.35">
      <c r="A1123" s="3" t="str">
        <f>IF(D1123="","",(VLOOKUP($D1123,KEY!$B$5:$D$74,3,FALSE)))</f>
        <v>Texas</v>
      </c>
      <c r="B1123" s="221">
        <v>45444</v>
      </c>
      <c r="C1123" s="221" t="str">
        <f>IFERROR(VLOOKUP($B1123,KEY!$AE$19:$AH$60,2,FALSE),"")</f>
        <v>2024-Q2</v>
      </c>
      <c r="D1123" s="222" t="s">
        <v>128</v>
      </c>
      <c r="E1123" s="218">
        <v>11</v>
      </c>
    </row>
    <row r="1124" spans="1:5" x14ac:dyDescent="0.35">
      <c r="A1124" s="3" t="str">
        <f>IF(D1124="","",(VLOOKUP($D1124,KEY!$B$5:$D$74,3,FALSE)))</f>
        <v>Northern California</v>
      </c>
      <c r="B1124" s="221">
        <v>45444</v>
      </c>
      <c r="C1124" s="221" t="str">
        <f>IFERROR(VLOOKUP($B1124,KEY!$AE$19:$AH$60,2,FALSE),"")</f>
        <v>2024-Q2</v>
      </c>
      <c r="D1124" s="222" t="s">
        <v>129</v>
      </c>
      <c r="E1124" s="218">
        <v>15</v>
      </c>
    </row>
    <row r="1125" spans="1:5" x14ac:dyDescent="0.35">
      <c r="A1125" s="3" t="str">
        <f>IF(D1125="","",(VLOOKUP($D1125,KEY!$B$5:$D$74,3,FALSE)))</f>
        <v>Southern California</v>
      </c>
      <c r="B1125" s="221">
        <v>45444</v>
      </c>
      <c r="C1125" s="221" t="str">
        <f>IFERROR(VLOOKUP($B1125,KEY!$AE$19:$AH$60,2,FALSE),"")</f>
        <v>2024-Q2</v>
      </c>
      <c r="D1125" s="222" t="s">
        <v>130</v>
      </c>
      <c r="E1125" s="218">
        <v>8</v>
      </c>
    </row>
    <row r="1126" spans="1:5" x14ac:dyDescent="0.35">
      <c r="A1126" s="3">
        <f>IF(D1126="","",(VLOOKUP($D1126,KEY!$B$5:$D$74,3,FALSE)))</f>
        <v>0</v>
      </c>
      <c r="B1126" s="221">
        <v>45444</v>
      </c>
      <c r="C1126" s="221" t="str">
        <f>IFERROR(VLOOKUP($B1126,KEY!$AE$19:$AH$60,2,FALSE),"")</f>
        <v>2024-Q2</v>
      </c>
      <c r="D1126" s="222" t="s">
        <v>131</v>
      </c>
      <c r="E1126" s="218">
        <v>13</v>
      </c>
    </row>
    <row r="1127" spans="1:5" x14ac:dyDescent="0.35">
      <c r="A1127" s="3" t="e">
        <f>IF(D1127="","",(VLOOKUP($D1127,KEY!$B$5:$D$74,3,FALSE)))</f>
        <v>#N/A</v>
      </c>
      <c r="B1127" s="221">
        <v>45444</v>
      </c>
      <c r="C1127" s="221" t="str">
        <f>IFERROR(VLOOKUP($B1127,KEY!$AE$19:$AH$60,2,FALSE),"")</f>
        <v>2024-Q2</v>
      </c>
      <c r="D1127" s="222" t="s">
        <v>134</v>
      </c>
      <c r="E1127" s="218">
        <v>4</v>
      </c>
    </row>
    <row r="1128" spans="1:5" x14ac:dyDescent="0.35">
      <c r="A1128" s="3" t="str">
        <f>IF(D1128="","",(VLOOKUP($D1128,KEY!$B$5:$D$74,3,FALSE)))</f>
        <v>Southern California</v>
      </c>
      <c r="B1128" s="221">
        <v>45444</v>
      </c>
      <c r="C1128" s="221" t="str">
        <f>IFERROR(VLOOKUP($B1128,KEY!$AE$19:$AH$60,2,FALSE),"")</f>
        <v>2024-Q2</v>
      </c>
      <c r="D1128" s="222" t="s">
        <v>135</v>
      </c>
      <c r="E1128" s="218">
        <v>21</v>
      </c>
    </row>
    <row r="1129" spans="1:5" x14ac:dyDescent="0.35">
      <c r="A1129" s="3" t="str">
        <f>IF(D1129="","",(VLOOKUP($D1129,KEY!$B$5:$D$74,3,FALSE)))</f>
        <v>Arizona</v>
      </c>
      <c r="B1129" s="221">
        <v>45444</v>
      </c>
      <c r="C1129" s="221" t="str">
        <f>IFERROR(VLOOKUP($B1129,KEY!$AE$19:$AH$60,2,FALSE),"")</f>
        <v>2024-Q2</v>
      </c>
      <c r="D1129" s="222" t="s">
        <v>196</v>
      </c>
      <c r="E1129" s="218">
        <v>5</v>
      </c>
    </row>
    <row r="1130" spans="1:5" x14ac:dyDescent="0.35">
      <c r="A1130" s="3" t="str">
        <f>IF(D1130="","",(VLOOKUP($D1130,KEY!$B$5:$D$74,3,FALSE)))</f>
        <v>Arizona</v>
      </c>
      <c r="B1130" s="221">
        <v>45444</v>
      </c>
      <c r="C1130" s="221" t="str">
        <f>IFERROR(VLOOKUP($B1130,KEY!$AE$19:$AH$60,2,FALSE),"")</f>
        <v>2024-Q2</v>
      </c>
      <c r="D1130" s="222" t="s">
        <v>197</v>
      </c>
      <c r="E1130" s="218">
        <v>11</v>
      </c>
    </row>
    <row r="1131" spans="1:5" x14ac:dyDescent="0.35">
      <c r="A1131" s="3" t="str">
        <f>IF(D1131="","",(VLOOKUP($D1131,KEY!$B$5:$D$74,3,FALSE)))</f>
        <v>Texas</v>
      </c>
      <c r="B1131" s="221">
        <v>45444</v>
      </c>
      <c r="C1131" s="221" t="str">
        <f>IFERROR(VLOOKUP($B1131,KEY!$AE$19:$AH$60,2,FALSE),"")</f>
        <v>2024-Q2</v>
      </c>
      <c r="D1131" s="222" t="s">
        <v>136</v>
      </c>
      <c r="E1131" s="218">
        <v>15</v>
      </c>
    </row>
    <row r="1132" spans="1:5" x14ac:dyDescent="0.35">
      <c r="A1132" s="3" t="str">
        <f>IF(D1132="","",(VLOOKUP($D1132,KEY!$B$5:$D$74,3,FALSE)))</f>
        <v>Arizona</v>
      </c>
      <c r="B1132" s="221">
        <v>45444</v>
      </c>
      <c r="C1132" s="221" t="str">
        <f>IFERROR(VLOOKUP($B1132,KEY!$AE$19:$AH$60,2,FALSE),"")</f>
        <v>2024-Q2</v>
      </c>
      <c r="D1132" s="222" t="s">
        <v>137</v>
      </c>
      <c r="E1132" s="218">
        <v>9</v>
      </c>
    </row>
    <row r="1133" spans="1:5" x14ac:dyDescent="0.35">
      <c r="A1133" s="3" t="str">
        <f>IF(D1133="","",(VLOOKUP($D1133,KEY!$B$5:$D$74,3,FALSE)))</f>
        <v>Texas</v>
      </c>
      <c r="B1133" s="221">
        <v>45444</v>
      </c>
      <c r="C1133" s="221" t="str">
        <f>IFERROR(VLOOKUP($B1133,KEY!$AE$19:$AH$60,2,FALSE),"")</f>
        <v>2024-Q2</v>
      </c>
      <c r="D1133" s="222" t="s">
        <v>138</v>
      </c>
      <c r="E1133" s="218">
        <v>8</v>
      </c>
    </row>
    <row r="1134" spans="1:5" x14ac:dyDescent="0.35">
      <c r="A1134" s="3" t="str">
        <f>IF(D1134="","",(VLOOKUP($D1134,KEY!$B$5:$D$74,3,FALSE)))</f>
        <v>Southern California</v>
      </c>
      <c r="B1134" s="221">
        <v>45444</v>
      </c>
      <c r="C1134" s="221" t="str">
        <f>IFERROR(VLOOKUP($B1134,KEY!$AE$19:$AH$60,2,FALSE),"")</f>
        <v>2024-Q2</v>
      </c>
      <c r="D1134" s="222" t="s">
        <v>139</v>
      </c>
      <c r="E1134" s="218">
        <v>14</v>
      </c>
    </row>
    <row r="1135" spans="1:5" x14ac:dyDescent="0.35">
      <c r="A1135" s="3" t="str">
        <f>IF(D1135="","",(VLOOKUP($D1135,KEY!$B$5:$D$74,3,FALSE)))</f>
        <v>Orange County</v>
      </c>
      <c r="B1135" s="221">
        <v>45444</v>
      </c>
      <c r="C1135" s="221" t="str">
        <f>IFERROR(VLOOKUP($B1135,KEY!$AE$19:$AH$60,2,FALSE),"")</f>
        <v>2024-Q2</v>
      </c>
      <c r="D1135" s="222" t="s">
        <v>140</v>
      </c>
      <c r="E1135" s="218">
        <v>4</v>
      </c>
    </row>
    <row r="1136" spans="1:5" x14ac:dyDescent="0.35">
      <c r="A1136" s="3" t="str">
        <f>IF(D1136="","",(VLOOKUP($D1136,KEY!$B$5:$D$74,3,FALSE)))</f>
        <v>Southern California</v>
      </c>
      <c r="B1136" s="221">
        <v>45444</v>
      </c>
      <c r="C1136" s="221" t="str">
        <f>IFERROR(VLOOKUP($B1136,KEY!$AE$19:$AH$60,2,FALSE),"")</f>
        <v>2024-Q2</v>
      </c>
      <c r="D1136" s="222" t="s">
        <v>142</v>
      </c>
      <c r="E1136" s="218">
        <v>4</v>
      </c>
    </row>
    <row r="1137" spans="1:5" x14ac:dyDescent="0.35">
      <c r="A1137" s="3" t="str">
        <f>IF(D1137="","",(VLOOKUP($D1137,KEY!$B$5:$D$74,3,FALSE)))</f>
        <v>Arizona</v>
      </c>
      <c r="B1137" s="221">
        <v>45444</v>
      </c>
      <c r="C1137" s="221" t="str">
        <f>IFERROR(VLOOKUP($B1137,KEY!$AE$19:$AH$60,2,FALSE),"")</f>
        <v>2024-Q2</v>
      </c>
      <c r="D1137" s="222" t="s">
        <v>143</v>
      </c>
      <c r="E1137" s="218">
        <v>7</v>
      </c>
    </row>
    <row r="1138" spans="1:5" x14ac:dyDescent="0.35">
      <c r="A1138" s="3" t="str">
        <f>IF(D1138="","",(VLOOKUP($D1138,KEY!$B$5:$D$74,3,FALSE)))</f>
        <v>Arizona</v>
      </c>
      <c r="B1138" s="221">
        <v>45444</v>
      </c>
      <c r="C1138" s="221" t="str">
        <f>IFERROR(VLOOKUP($B1138,KEY!$AE$19:$AH$60,2,FALSE),"")</f>
        <v>2024-Q2</v>
      </c>
      <c r="D1138" s="222" t="s">
        <v>144</v>
      </c>
      <c r="E1138" s="218">
        <v>20</v>
      </c>
    </row>
    <row r="1139" spans="1:5" x14ac:dyDescent="0.35">
      <c r="A1139" s="3" t="str">
        <f>IF(D1139="","",(VLOOKUP($D1139,KEY!$B$5:$D$74,3,FALSE)))</f>
        <v>Southern California</v>
      </c>
      <c r="B1139" s="221">
        <v>45444</v>
      </c>
      <c r="C1139" s="221" t="str">
        <f>IFERROR(VLOOKUP($B1139,KEY!$AE$19:$AH$60,2,FALSE),"")</f>
        <v>2024-Q2</v>
      </c>
      <c r="D1139" s="222" t="s">
        <v>145</v>
      </c>
      <c r="E1139" s="218">
        <v>15</v>
      </c>
    </row>
    <row r="1140" spans="1:5" x14ac:dyDescent="0.35">
      <c r="A1140" s="3" t="str">
        <f>IF(D1140="","",(VLOOKUP($D1140,KEY!$B$5:$D$74,3,FALSE)))</f>
        <v>Arizona</v>
      </c>
      <c r="B1140" s="221">
        <v>45444</v>
      </c>
      <c r="C1140" s="221" t="str">
        <f>IFERROR(VLOOKUP($B1140,KEY!$AE$19:$AH$60,2,FALSE),"")</f>
        <v>2024-Q2</v>
      </c>
      <c r="D1140" s="222" t="s">
        <v>146</v>
      </c>
      <c r="E1140" s="218">
        <v>4</v>
      </c>
    </row>
    <row r="1141" spans="1:5" x14ac:dyDescent="0.35">
      <c r="A1141" s="3" t="str">
        <f>IF(D1141="","",(VLOOKUP($D1141,KEY!$B$5:$D$74,3,FALSE)))</f>
        <v>Texas</v>
      </c>
      <c r="B1141" s="221">
        <v>45444</v>
      </c>
      <c r="C1141" s="221" t="str">
        <f>IFERROR(VLOOKUP($B1141,KEY!$AE$19:$AH$60,2,FALSE),"")</f>
        <v>2024-Q2</v>
      </c>
      <c r="D1141" s="222" t="s">
        <v>147</v>
      </c>
      <c r="E1141" s="218">
        <v>4</v>
      </c>
    </row>
    <row r="1142" spans="1:5" x14ac:dyDescent="0.35">
      <c r="A1142" s="3" t="str">
        <f>IF(D1142="","",(VLOOKUP($D1142,KEY!$B$5:$D$74,3,FALSE)))</f>
        <v>Northern California</v>
      </c>
      <c r="B1142" s="221">
        <v>45444</v>
      </c>
      <c r="C1142" s="221" t="str">
        <f>IFERROR(VLOOKUP($B1142,KEY!$AE$19:$AH$60,2,FALSE),"")</f>
        <v>2024-Q2</v>
      </c>
      <c r="D1142" s="222" t="s">
        <v>148</v>
      </c>
      <c r="E1142" s="218">
        <v>4</v>
      </c>
    </row>
    <row r="1143" spans="1:5" x14ac:dyDescent="0.35">
      <c r="A1143" s="3" t="str">
        <f>IF(D1143="","",(VLOOKUP($D1143,KEY!$B$5:$D$74,3,FALSE)))</f>
        <v>Orange County</v>
      </c>
      <c r="B1143" s="221">
        <v>45444</v>
      </c>
      <c r="C1143" s="221" t="str">
        <f>IFERROR(VLOOKUP($B1143,KEY!$AE$19:$AH$60,2,FALSE),"")</f>
        <v>2024-Q2</v>
      </c>
      <c r="D1143" s="222" t="s">
        <v>149</v>
      </c>
      <c r="E1143" s="218">
        <v>3</v>
      </c>
    </row>
    <row r="1144" spans="1:5" x14ac:dyDescent="0.35">
      <c r="A1144" s="3" t="str">
        <f>IF(D1144="","",(VLOOKUP($D1144,KEY!$B$5:$D$74,3,FALSE)))</f>
        <v>Southern California</v>
      </c>
      <c r="B1144" s="221">
        <v>45444</v>
      </c>
      <c r="C1144" s="221" t="str">
        <f>IFERROR(VLOOKUP($B1144,KEY!$AE$19:$AH$60,2,FALSE),"")</f>
        <v>2024-Q2</v>
      </c>
      <c r="D1144" s="222" t="s">
        <v>150</v>
      </c>
      <c r="E1144" s="218">
        <v>5</v>
      </c>
    </row>
    <row r="1145" spans="1:5" x14ac:dyDescent="0.35">
      <c r="A1145" s="3" t="str">
        <f>IF(D1145="","",(VLOOKUP($D1145,KEY!$B$5:$D$74,3,FALSE)))</f>
        <v>Arizona</v>
      </c>
      <c r="B1145" s="221">
        <v>45444</v>
      </c>
      <c r="C1145" s="221" t="str">
        <f>IFERROR(VLOOKUP($B1145,KEY!$AE$19:$AH$60,2,FALSE),"")</f>
        <v>2024-Q2</v>
      </c>
      <c r="D1145" s="222" t="s">
        <v>151</v>
      </c>
      <c r="E1145" s="218">
        <v>4</v>
      </c>
    </row>
    <row r="1146" spans="1:5" x14ac:dyDescent="0.35">
      <c r="A1146" s="3" t="str">
        <f>IF(D1146="","",(VLOOKUP($D1146,KEY!$B$5:$D$74,3,FALSE)))</f>
        <v>Northern California</v>
      </c>
      <c r="B1146" s="221">
        <v>45444</v>
      </c>
      <c r="C1146" s="221" t="str">
        <f>IFERROR(VLOOKUP($B1146,KEY!$AE$19:$AH$60,2,FALSE),"")</f>
        <v>2024-Q2</v>
      </c>
      <c r="D1146" s="222" t="s">
        <v>152</v>
      </c>
      <c r="E1146" s="218">
        <v>13</v>
      </c>
    </row>
    <row r="1147" spans="1:5" x14ac:dyDescent="0.35">
      <c r="A1147" s="3" t="str">
        <f>IF(D1147="","",(VLOOKUP($D1147,KEY!$B$5:$D$74,3,FALSE)))</f>
        <v>Arizona</v>
      </c>
      <c r="B1147" s="221">
        <v>45444</v>
      </c>
      <c r="C1147" s="221" t="str">
        <f>IFERROR(VLOOKUP($B1147,KEY!$AE$19:$AH$60,2,FALSE),"")</f>
        <v>2024-Q2</v>
      </c>
      <c r="D1147" s="222" t="s">
        <v>153</v>
      </c>
      <c r="E1147" s="218">
        <v>13</v>
      </c>
    </row>
    <row r="1148" spans="1:5" x14ac:dyDescent="0.35">
      <c r="A1148" s="3" t="str">
        <f>IF(D1148="","",(VLOOKUP($D1148,KEY!$B$5:$D$74,3,FALSE)))</f>
        <v>Northern California</v>
      </c>
      <c r="B1148" s="221">
        <v>45444</v>
      </c>
      <c r="C1148" s="221" t="str">
        <f>IFERROR(VLOOKUP($B1148,KEY!$AE$19:$AH$60,2,FALSE),"")</f>
        <v>2024-Q2</v>
      </c>
      <c r="D1148" s="222" t="s">
        <v>154</v>
      </c>
      <c r="E1148" s="218">
        <v>7</v>
      </c>
    </row>
    <row r="1149" spans="1:5" x14ac:dyDescent="0.35">
      <c r="A1149" s="3" t="str">
        <f>IF(D1149="","",(VLOOKUP($D1149,KEY!$B$5:$D$74,3,FALSE)))</f>
        <v>Texas</v>
      </c>
      <c r="B1149" s="221">
        <v>45444</v>
      </c>
      <c r="C1149" s="221" t="str">
        <f>IFERROR(VLOOKUP($B1149,KEY!$AE$19:$AH$60,2,FALSE),"")</f>
        <v>2024-Q2</v>
      </c>
      <c r="D1149" s="222" t="s">
        <v>155</v>
      </c>
      <c r="E1149" s="218">
        <v>21</v>
      </c>
    </row>
    <row r="1150" spans="1:5" x14ac:dyDescent="0.35">
      <c r="A1150" s="3" t="str">
        <f>IF(D1150="","",(VLOOKUP($D1150,KEY!$B$5:$D$74,3,FALSE)))</f>
        <v>Texas</v>
      </c>
      <c r="B1150" s="221">
        <v>45444</v>
      </c>
      <c r="C1150" s="221" t="str">
        <f>IFERROR(VLOOKUP($B1150,KEY!$AE$19:$AH$60,2,FALSE),"")</f>
        <v>2024-Q2</v>
      </c>
      <c r="D1150" s="222" t="s">
        <v>156</v>
      </c>
      <c r="E1150" s="218">
        <v>25</v>
      </c>
    </row>
    <row r="1151" spans="1:5" x14ac:dyDescent="0.35">
      <c r="A1151" s="3" t="str">
        <f>IF(D1151="","",(VLOOKUP($D1151,KEY!$B$5:$D$74,3,FALSE)))</f>
        <v>Texas</v>
      </c>
      <c r="B1151" s="221">
        <v>45444</v>
      </c>
      <c r="C1151" s="221" t="str">
        <f>IFERROR(VLOOKUP($B1151,KEY!$AE$19:$AH$60,2,FALSE),"")</f>
        <v>2024-Q2</v>
      </c>
      <c r="D1151" s="222" t="s">
        <v>157</v>
      </c>
      <c r="E1151" s="218">
        <v>35</v>
      </c>
    </row>
    <row r="1152" spans="1:5" x14ac:dyDescent="0.35">
      <c r="A1152" s="3" t="str">
        <f>IF(D1152="","",(VLOOKUP($D1152,KEY!$B$5:$D$74,3,FALSE)))</f>
        <v>Arizona</v>
      </c>
      <c r="B1152" s="221">
        <v>45444</v>
      </c>
      <c r="C1152" s="221" t="str">
        <f>IFERROR(VLOOKUP($B1152,KEY!$AE$19:$AH$60,2,FALSE),"")</f>
        <v>2024-Q2</v>
      </c>
      <c r="D1152" s="222" t="s">
        <v>158</v>
      </c>
      <c r="E1152" s="218">
        <v>6</v>
      </c>
    </row>
    <row r="1153" spans="1:5" x14ac:dyDescent="0.35">
      <c r="A1153" s="3" t="str">
        <f>IF(D1153="","",(VLOOKUP($D1153,KEY!$B$5:$D$74,3,FALSE)))</f>
        <v>Orange County</v>
      </c>
      <c r="B1153" s="221">
        <v>45444</v>
      </c>
      <c r="C1153" s="221" t="str">
        <f>IFERROR(VLOOKUP($B1153,KEY!$AE$19:$AH$60,2,FALSE),"")</f>
        <v>2024-Q2</v>
      </c>
      <c r="D1153" s="222" t="s">
        <v>159</v>
      </c>
      <c r="E1153" s="218">
        <v>9</v>
      </c>
    </row>
    <row r="1154" spans="1:5" x14ac:dyDescent="0.35">
      <c r="A1154" s="3" t="str">
        <f>IF(D1154="","",(VLOOKUP($D1154,KEY!$B$5:$D$74,3,FALSE)))</f>
        <v>Arizona</v>
      </c>
      <c r="B1154" s="221">
        <v>45444</v>
      </c>
      <c r="C1154" s="221" t="str">
        <f>IFERROR(VLOOKUP($B1154,KEY!$AE$19:$AH$60,2,FALSE),"")</f>
        <v>2024-Q2</v>
      </c>
      <c r="D1154" s="222" t="s">
        <v>160</v>
      </c>
      <c r="E1154" s="218">
        <v>23</v>
      </c>
    </row>
    <row r="1155" spans="1:5" x14ac:dyDescent="0.35">
      <c r="A1155" s="3" t="str">
        <f>IF(D1155="","",(VLOOKUP($D1155,KEY!$B$5:$D$74,3,FALSE)))</f>
        <v>Northern California</v>
      </c>
      <c r="B1155" s="221">
        <v>45444</v>
      </c>
      <c r="C1155" s="221" t="str">
        <f>IFERROR(VLOOKUP($B1155,KEY!$AE$19:$AH$60,2,FALSE),"")</f>
        <v>2024-Q2</v>
      </c>
      <c r="D1155" s="222" t="s">
        <v>161</v>
      </c>
      <c r="E1155" s="218">
        <v>22</v>
      </c>
    </row>
    <row r="1156" spans="1:5" x14ac:dyDescent="0.35">
      <c r="A1156" s="3" t="e">
        <f>IF(D1156="","",(VLOOKUP($D1156,KEY!$B$5:$D$74,3,FALSE)))</f>
        <v>#N/A</v>
      </c>
      <c r="B1156" s="221">
        <v>45444</v>
      </c>
      <c r="C1156" s="221" t="str">
        <f>IFERROR(VLOOKUP($B1156,KEY!$AE$19:$AH$60,2,FALSE),"")</f>
        <v>2024-Q2</v>
      </c>
      <c r="D1156" s="222" t="s">
        <v>162</v>
      </c>
      <c r="E1156" s="218">
        <v>34</v>
      </c>
    </row>
    <row r="1157" spans="1:5" x14ac:dyDescent="0.35">
      <c r="A1157" s="3" t="str">
        <f>IF(D1157="","",(VLOOKUP($D1157,KEY!$B$5:$D$74,3,FALSE)))</f>
        <v>Arizona</v>
      </c>
      <c r="B1157" s="221">
        <v>45444</v>
      </c>
      <c r="C1157" s="221" t="str">
        <f>IFERROR(VLOOKUP($B1157,KEY!$AE$19:$AH$60,2,FALSE),"")</f>
        <v>2024-Q2</v>
      </c>
      <c r="D1157" s="222" t="s">
        <v>163</v>
      </c>
      <c r="E1157" s="218">
        <v>19</v>
      </c>
    </row>
    <row r="1158" spans="1:5" x14ac:dyDescent="0.35">
      <c r="A1158" s="3" t="str">
        <f>IF(D1158="","",(VLOOKUP($D1158,KEY!$B$5:$D$74,3,FALSE)))</f>
        <v>Arizona</v>
      </c>
      <c r="B1158" s="221">
        <v>45444</v>
      </c>
      <c r="C1158" s="221" t="str">
        <f>IFERROR(VLOOKUP($B1158,KEY!$AE$19:$AH$60,2,FALSE),"")</f>
        <v>2024-Q2</v>
      </c>
      <c r="D1158" s="222" t="s">
        <v>164</v>
      </c>
      <c r="E1158" s="218">
        <v>7</v>
      </c>
    </row>
    <row r="1159" spans="1:5" x14ac:dyDescent="0.35">
      <c r="A1159" s="3" t="str">
        <f>IF(D1159="","",(VLOOKUP($D1159,KEY!$B$5:$D$74,3,FALSE)))</f>
        <v>Orange County</v>
      </c>
      <c r="B1159" s="221">
        <v>45444</v>
      </c>
      <c r="C1159" s="221" t="str">
        <f>IFERROR(VLOOKUP($B1159,KEY!$AE$19:$AH$60,2,FALSE),"")</f>
        <v>2024-Q2</v>
      </c>
      <c r="D1159" s="222" t="s">
        <v>165</v>
      </c>
      <c r="E1159" s="218">
        <v>8</v>
      </c>
    </row>
    <row r="1160" spans="1:5" x14ac:dyDescent="0.35">
      <c r="A1160" s="3" t="str">
        <f>IF(D1160="","",(VLOOKUP($D1160,KEY!$B$5:$D$74,3,FALSE)))</f>
        <v>Arizona</v>
      </c>
      <c r="B1160" s="221">
        <v>45474</v>
      </c>
      <c r="C1160" s="221" t="str">
        <f>IFERROR(VLOOKUP($B1160,KEY!$AE$19:$AH$60,2,FALSE),"")</f>
        <v>2024-Q3</v>
      </c>
      <c r="D1160" s="222" t="s">
        <v>111</v>
      </c>
      <c r="E1160" s="218">
        <v>8</v>
      </c>
    </row>
    <row r="1161" spans="1:5" x14ac:dyDescent="0.35">
      <c r="A1161" s="3" t="str">
        <f>IF(D1161="","",(VLOOKUP($D1161,KEY!$B$5:$D$74,3,FALSE)))</f>
        <v>Southern California</v>
      </c>
      <c r="B1161" s="221">
        <v>45474</v>
      </c>
      <c r="C1161" s="221" t="str">
        <f>IFERROR(VLOOKUP($B1161,KEY!$AE$19:$AH$60,2,FALSE),"")</f>
        <v>2024-Q3</v>
      </c>
      <c r="D1161" s="222" t="s">
        <v>112</v>
      </c>
      <c r="E1161" s="218">
        <v>4</v>
      </c>
    </row>
    <row r="1162" spans="1:5" x14ac:dyDescent="0.35">
      <c r="A1162" s="3" t="str">
        <f>IF(D1162="","",(VLOOKUP($D1162,KEY!$B$5:$D$74,3,FALSE)))</f>
        <v>Arizona</v>
      </c>
      <c r="B1162" s="221">
        <v>45474</v>
      </c>
      <c r="C1162" s="221" t="str">
        <f>IFERROR(VLOOKUP($B1162,KEY!$AE$19:$AH$60,2,FALSE),"")</f>
        <v>2024-Q3</v>
      </c>
      <c r="D1162" s="222" t="s">
        <v>113</v>
      </c>
      <c r="E1162" s="218">
        <v>7</v>
      </c>
    </row>
    <row r="1163" spans="1:5" x14ac:dyDescent="0.35">
      <c r="A1163" s="3" t="str">
        <f>IF(D1163="","",(VLOOKUP($D1163,KEY!$B$5:$D$74,3,FALSE)))</f>
        <v>Southern California</v>
      </c>
      <c r="B1163" s="221">
        <v>45474</v>
      </c>
      <c r="C1163" s="221" t="str">
        <f>IFERROR(VLOOKUP($B1163,KEY!$AE$19:$AH$60,2,FALSE),"")</f>
        <v>2024-Q3</v>
      </c>
      <c r="D1163" s="222" t="s">
        <v>114</v>
      </c>
      <c r="E1163" s="218">
        <v>5</v>
      </c>
    </row>
    <row r="1164" spans="1:5" x14ac:dyDescent="0.35">
      <c r="A1164" s="3" t="str">
        <f>IF(D1164="","",(VLOOKUP($D1164,KEY!$B$5:$D$74,3,FALSE)))</f>
        <v>Orange County</v>
      </c>
      <c r="B1164" s="221">
        <v>45474</v>
      </c>
      <c r="C1164" s="221" t="str">
        <f>IFERROR(VLOOKUP($B1164,KEY!$AE$19:$AH$60,2,FALSE),"")</f>
        <v>2024-Q3</v>
      </c>
      <c r="D1164" s="222" t="s">
        <v>115</v>
      </c>
      <c r="E1164" s="218">
        <v>5</v>
      </c>
    </row>
    <row r="1165" spans="1:5" x14ac:dyDescent="0.35">
      <c r="A1165" s="3" t="str">
        <f>IF(D1165="","",(VLOOKUP($D1165,KEY!$B$5:$D$74,3,FALSE)))</f>
        <v>Arizona</v>
      </c>
      <c r="B1165" s="221">
        <v>45474</v>
      </c>
      <c r="C1165" s="221" t="str">
        <f>IFERROR(VLOOKUP($B1165,KEY!$AE$19:$AH$60,2,FALSE),"")</f>
        <v>2024-Q3</v>
      </c>
      <c r="D1165" s="222" t="s">
        <v>116</v>
      </c>
      <c r="E1165" s="218">
        <v>9</v>
      </c>
    </row>
    <row r="1166" spans="1:5" x14ac:dyDescent="0.35">
      <c r="A1166" s="3" t="str">
        <f>IF(D1166="","",(VLOOKUP($D1166,KEY!$B$5:$D$74,3,FALSE)))</f>
        <v>Northern California</v>
      </c>
      <c r="B1166" s="221">
        <v>45474</v>
      </c>
      <c r="C1166" s="221" t="str">
        <f>IFERROR(VLOOKUP($B1166,KEY!$AE$19:$AH$60,2,FALSE),"")</f>
        <v>2024-Q3</v>
      </c>
      <c r="D1166" s="222" t="s">
        <v>118</v>
      </c>
      <c r="E1166" s="218">
        <v>12</v>
      </c>
    </row>
    <row r="1167" spans="1:5" x14ac:dyDescent="0.35">
      <c r="A1167" s="3" t="str">
        <f>IF(D1167="","",(VLOOKUP($D1167,KEY!$B$5:$D$74,3,FALSE)))</f>
        <v>Orange County</v>
      </c>
      <c r="B1167" s="221">
        <v>45474</v>
      </c>
      <c r="C1167" s="221" t="str">
        <f>IFERROR(VLOOKUP($B1167,KEY!$AE$19:$AH$60,2,FALSE),"")</f>
        <v>2024-Q3</v>
      </c>
      <c r="D1167" s="222" t="s">
        <v>117</v>
      </c>
      <c r="E1167" s="218">
        <v>8</v>
      </c>
    </row>
    <row r="1168" spans="1:5" x14ac:dyDescent="0.35">
      <c r="A1168" s="3" t="str">
        <f>IF(D1168="","",(VLOOKUP($D1168,KEY!$B$5:$D$74,3,FALSE)))</f>
        <v>Arizona</v>
      </c>
      <c r="B1168" s="221">
        <v>45474</v>
      </c>
      <c r="C1168" s="221" t="str">
        <f>IFERROR(VLOOKUP($B1168,KEY!$AE$19:$AH$60,2,FALSE),"")</f>
        <v>2024-Q3</v>
      </c>
      <c r="D1168" s="222" t="s">
        <v>119</v>
      </c>
      <c r="E1168" s="218">
        <v>3</v>
      </c>
    </row>
    <row r="1169" spans="1:5" x14ac:dyDescent="0.35">
      <c r="A1169" s="3" t="str">
        <f>IF(D1169="","",(VLOOKUP($D1169,KEY!$B$5:$D$74,3,FALSE)))</f>
        <v>Arizona</v>
      </c>
      <c r="B1169" s="221">
        <v>45474</v>
      </c>
      <c r="C1169" s="221" t="str">
        <f>IFERROR(VLOOKUP($B1169,KEY!$AE$19:$AH$60,2,FALSE),"")</f>
        <v>2024-Q3</v>
      </c>
      <c r="D1169" s="222" t="s">
        <v>120</v>
      </c>
      <c r="E1169" s="218">
        <v>26</v>
      </c>
    </row>
    <row r="1170" spans="1:5" x14ac:dyDescent="0.35">
      <c r="A1170" s="3" t="str">
        <f>IF(D1170="","",(VLOOKUP($D1170,KEY!$B$5:$D$74,3,FALSE)))</f>
        <v>Texas</v>
      </c>
      <c r="B1170" s="221">
        <v>45474</v>
      </c>
      <c r="C1170" s="221" t="str">
        <f>IFERROR(VLOOKUP($B1170,KEY!$AE$19:$AH$60,2,FALSE),"")</f>
        <v>2024-Q3</v>
      </c>
      <c r="D1170" s="222" t="s">
        <v>121</v>
      </c>
      <c r="E1170" s="218">
        <v>22</v>
      </c>
    </row>
    <row r="1171" spans="1:5" x14ac:dyDescent="0.35">
      <c r="A1171" s="3" t="str">
        <f>IF(D1171="","",(VLOOKUP($D1171,KEY!$B$5:$D$74,3,FALSE)))</f>
        <v>Southern California</v>
      </c>
      <c r="B1171" s="221">
        <v>45474</v>
      </c>
      <c r="C1171" s="221" t="str">
        <f>IFERROR(VLOOKUP($B1171,KEY!$AE$19:$AH$60,2,FALSE),"")</f>
        <v>2024-Q3</v>
      </c>
      <c r="D1171" s="222" t="s">
        <v>122</v>
      </c>
      <c r="E1171" s="218">
        <v>9</v>
      </c>
    </row>
    <row r="1172" spans="1:5" x14ac:dyDescent="0.35">
      <c r="A1172" s="3" t="str">
        <f>IF(D1172="","",(VLOOKUP($D1172,KEY!$B$5:$D$74,3,FALSE)))</f>
        <v>Orange County</v>
      </c>
      <c r="B1172" s="221">
        <v>45474</v>
      </c>
      <c r="C1172" s="221" t="str">
        <f>IFERROR(VLOOKUP($B1172,KEY!$AE$19:$AH$60,2,FALSE),"")</f>
        <v>2024-Q3</v>
      </c>
      <c r="D1172" s="222" t="s">
        <v>123</v>
      </c>
      <c r="E1172" s="218">
        <v>19</v>
      </c>
    </row>
    <row r="1173" spans="1:5" x14ac:dyDescent="0.35">
      <c r="A1173" s="3" t="str">
        <f>IF(D1173="","",(VLOOKUP($D1173,KEY!$B$5:$D$74,3,FALSE)))</f>
        <v>Southern California</v>
      </c>
      <c r="B1173" s="221">
        <v>45474</v>
      </c>
      <c r="C1173" s="221" t="str">
        <f>IFERROR(VLOOKUP($B1173,KEY!$AE$19:$AH$60,2,FALSE),"")</f>
        <v>2024-Q3</v>
      </c>
      <c r="D1173" s="222" t="s">
        <v>124</v>
      </c>
      <c r="E1173" s="218">
        <v>22</v>
      </c>
    </row>
    <row r="1174" spans="1:5" x14ac:dyDescent="0.35">
      <c r="A1174" s="3" t="str">
        <f>IF(D1174="","",(VLOOKUP($D1174,KEY!$B$5:$D$74,3,FALSE)))</f>
        <v>Northern California</v>
      </c>
      <c r="B1174" s="221">
        <v>45474</v>
      </c>
      <c r="C1174" s="221" t="str">
        <f>IFERROR(VLOOKUP($B1174,KEY!$AE$19:$AH$60,2,FALSE),"")</f>
        <v>2024-Q3</v>
      </c>
      <c r="D1174" s="222" t="s">
        <v>195</v>
      </c>
      <c r="E1174" s="218">
        <v>5</v>
      </c>
    </row>
    <row r="1175" spans="1:5" x14ac:dyDescent="0.35">
      <c r="A1175" s="3" t="str">
        <f>IF(D1175="","",(VLOOKUP($D1175,KEY!$B$5:$D$74,3,FALSE)))</f>
        <v>Northern California</v>
      </c>
      <c r="B1175" s="221">
        <v>45474</v>
      </c>
      <c r="C1175" s="221" t="str">
        <f>IFERROR(VLOOKUP($B1175,KEY!$AE$19:$AH$60,2,FALSE),"")</f>
        <v>2024-Q3</v>
      </c>
      <c r="D1175" s="222" t="s">
        <v>125</v>
      </c>
      <c r="E1175" s="218">
        <v>20</v>
      </c>
    </row>
    <row r="1176" spans="1:5" x14ac:dyDescent="0.35">
      <c r="A1176" s="3" t="str">
        <f>IF(D1176="","",(VLOOKUP($D1176,KEY!$B$5:$D$74,3,FALSE)))</f>
        <v>Orange County</v>
      </c>
      <c r="B1176" s="221">
        <v>45474</v>
      </c>
      <c r="C1176" s="221" t="str">
        <f>IFERROR(VLOOKUP($B1176,KEY!$AE$19:$AH$60,2,FALSE),"")</f>
        <v>2024-Q3</v>
      </c>
      <c r="D1176" s="222" t="s">
        <v>126</v>
      </c>
      <c r="E1176" s="218">
        <v>29</v>
      </c>
    </row>
    <row r="1177" spans="1:5" x14ac:dyDescent="0.35">
      <c r="A1177" s="3" t="str">
        <f>IF(D1177="","",(VLOOKUP($D1177,KEY!$B$5:$D$74,3,FALSE)))</f>
        <v>Orange County</v>
      </c>
      <c r="B1177" s="221">
        <v>45474</v>
      </c>
      <c r="C1177" s="221" t="str">
        <f>IFERROR(VLOOKUP($B1177,KEY!$AE$19:$AH$60,2,FALSE),"")</f>
        <v>2024-Q3</v>
      </c>
      <c r="D1177" s="222" t="s">
        <v>127</v>
      </c>
      <c r="E1177" s="218">
        <v>5</v>
      </c>
    </row>
    <row r="1178" spans="1:5" x14ac:dyDescent="0.35">
      <c r="A1178" s="3" t="str">
        <f>IF(D1178="","",(VLOOKUP($D1178,KEY!$B$5:$D$74,3,FALSE)))</f>
        <v>Texas</v>
      </c>
      <c r="B1178" s="221">
        <v>45474</v>
      </c>
      <c r="C1178" s="221" t="str">
        <f>IFERROR(VLOOKUP($B1178,KEY!$AE$19:$AH$60,2,FALSE),"")</f>
        <v>2024-Q3</v>
      </c>
      <c r="D1178" s="222" t="s">
        <v>198</v>
      </c>
      <c r="E1178" s="218">
        <v>7</v>
      </c>
    </row>
    <row r="1179" spans="1:5" x14ac:dyDescent="0.35">
      <c r="A1179" s="3" t="str">
        <f>IF(D1179="","",(VLOOKUP($D1179,KEY!$B$5:$D$74,3,FALSE)))</f>
        <v>Texas</v>
      </c>
      <c r="B1179" s="221">
        <v>45474</v>
      </c>
      <c r="C1179" s="221" t="str">
        <f>IFERROR(VLOOKUP($B1179,KEY!$AE$19:$AH$60,2,FALSE),"")</f>
        <v>2024-Q3</v>
      </c>
      <c r="D1179" s="222" t="s">
        <v>128</v>
      </c>
      <c r="E1179" s="218">
        <v>14</v>
      </c>
    </row>
    <row r="1180" spans="1:5" x14ac:dyDescent="0.35">
      <c r="A1180" s="3" t="str">
        <f>IF(D1180="","",(VLOOKUP($D1180,KEY!$B$5:$D$74,3,FALSE)))</f>
        <v>Northern California</v>
      </c>
      <c r="B1180" s="221">
        <v>45474</v>
      </c>
      <c r="C1180" s="221" t="str">
        <f>IFERROR(VLOOKUP($B1180,KEY!$AE$19:$AH$60,2,FALSE),"")</f>
        <v>2024-Q3</v>
      </c>
      <c r="D1180" s="222" t="s">
        <v>129</v>
      </c>
      <c r="E1180" s="218">
        <v>13</v>
      </c>
    </row>
    <row r="1181" spans="1:5" x14ac:dyDescent="0.35">
      <c r="A1181" s="3" t="str">
        <f>IF(D1181="","",(VLOOKUP($D1181,KEY!$B$5:$D$74,3,FALSE)))</f>
        <v>Southern California</v>
      </c>
      <c r="B1181" s="221">
        <v>45474</v>
      </c>
      <c r="C1181" s="221" t="str">
        <f>IFERROR(VLOOKUP($B1181,KEY!$AE$19:$AH$60,2,FALSE),"")</f>
        <v>2024-Q3</v>
      </c>
      <c r="D1181" s="222" t="s">
        <v>130</v>
      </c>
      <c r="E1181" s="218">
        <v>8</v>
      </c>
    </row>
    <row r="1182" spans="1:5" x14ac:dyDescent="0.35">
      <c r="A1182" s="3">
        <f>IF(D1182="","",(VLOOKUP($D1182,KEY!$B$5:$D$74,3,FALSE)))</f>
        <v>0</v>
      </c>
      <c r="B1182" s="221">
        <v>45474</v>
      </c>
      <c r="C1182" s="221" t="str">
        <f>IFERROR(VLOOKUP($B1182,KEY!$AE$19:$AH$60,2,FALSE),"")</f>
        <v>2024-Q3</v>
      </c>
      <c r="D1182" s="222" t="s">
        <v>131</v>
      </c>
      <c r="E1182" s="218">
        <v>14</v>
      </c>
    </row>
    <row r="1183" spans="1:5" x14ac:dyDescent="0.35">
      <c r="A1183" s="3" t="e">
        <f>IF(D1183="","",(VLOOKUP($D1183,KEY!$B$5:$D$74,3,FALSE)))</f>
        <v>#N/A</v>
      </c>
      <c r="B1183" s="221">
        <v>45474</v>
      </c>
      <c r="C1183" s="221" t="str">
        <f>IFERROR(VLOOKUP($B1183,KEY!$AE$19:$AH$60,2,FALSE),"")</f>
        <v>2024-Q3</v>
      </c>
      <c r="D1183" s="222" t="s">
        <v>134</v>
      </c>
      <c r="E1183" s="218">
        <v>4</v>
      </c>
    </row>
    <row r="1184" spans="1:5" x14ac:dyDescent="0.35">
      <c r="A1184" s="3" t="str">
        <f>IF(D1184="","",(VLOOKUP($D1184,KEY!$B$5:$D$74,3,FALSE)))</f>
        <v>Southern California</v>
      </c>
      <c r="B1184" s="221">
        <v>45474</v>
      </c>
      <c r="C1184" s="221" t="str">
        <f>IFERROR(VLOOKUP($B1184,KEY!$AE$19:$AH$60,2,FALSE),"")</f>
        <v>2024-Q3</v>
      </c>
      <c r="D1184" s="222" t="s">
        <v>135</v>
      </c>
      <c r="E1184" s="218">
        <v>23</v>
      </c>
    </row>
    <row r="1185" spans="1:5" x14ac:dyDescent="0.35">
      <c r="A1185" s="3" t="str">
        <f>IF(D1185="","",(VLOOKUP($D1185,KEY!$B$5:$D$74,3,FALSE)))</f>
        <v>Arizona</v>
      </c>
      <c r="B1185" s="221">
        <v>45474</v>
      </c>
      <c r="C1185" s="221" t="str">
        <f>IFERROR(VLOOKUP($B1185,KEY!$AE$19:$AH$60,2,FALSE),"")</f>
        <v>2024-Q3</v>
      </c>
      <c r="D1185" s="222" t="s">
        <v>204</v>
      </c>
      <c r="E1185" s="218">
        <v>3</v>
      </c>
    </row>
    <row r="1186" spans="1:5" x14ac:dyDescent="0.35">
      <c r="A1186" s="3" t="str">
        <f>IF(D1186="","",(VLOOKUP($D1186,KEY!$B$5:$D$74,3,FALSE)))</f>
        <v>Arizona</v>
      </c>
      <c r="B1186" s="221">
        <v>45474</v>
      </c>
      <c r="C1186" s="221" t="str">
        <f>IFERROR(VLOOKUP($B1186,KEY!$AE$19:$AH$60,2,FALSE),"")</f>
        <v>2024-Q3</v>
      </c>
      <c r="D1186" s="222" t="s">
        <v>196</v>
      </c>
      <c r="E1186" s="218">
        <v>5</v>
      </c>
    </row>
    <row r="1187" spans="1:5" x14ac:dyDescent="0.35">
      <c r="A1187" s="3" t="str">
        <f>IF(D1187="","",(VLOOKUP($D1187,KEY!$B$5:$D$74,3,FALSE)))</f>
        <v>Arizona</v>
      </c>
      <c r="B1187" s="221">
        <v>45474</v>
      </c>
      <c r="C1187" s="221" t="str">
        <f>IFERROR(VLOOKUP($B1187,KEY!$AE$19:$AH$60,2,FALSE),"")</f>
        <v>2024-Q3</v>
      </c>
      <c r="D1187" s="222" t="s">
        <v>197</v>
      </c>
      <c r="E1187" s="218">
        <v>10</v>
      </c>
    </row>
    <row r="1188" spans="1:5" x14ac:dyDescent="0.35">
      <c r="A1188" s="3" t="str">
        <f>IF(D1188="","",(VLOOKUP($D1188,KEY!$B$5:$D$74,3,FALSE)))</f>
        <v>Texas</v>
      </c>
      <c r="B1188" s="221">
        <v>45474</v>
      </c>
      <c r="C1188" s="221" t="str">
        <f>IFERROR(VLOOKUP($B1188,KEY!$AE$19:$AH$60,2,FALSE),"")</f>
        <v>2024-Q3</v>
      </c>
      <c r="D1188" s="222" t="s">
        <v>136</v>
      </c>
      <c r="E1188" s="218">
        <v>15</v>
      </c>
    </row>
    <row r="1189" spans="1:5" x14ac:dyDescent="0.35">
      <c r="A1189" s="3" t="str">
        <f>IF(D1189="","",(VLOOKUP($D1189,KEY!$B$5:$D$74,3,FALSE)))</f>
        <v>Arizona</v>
      </c>
      <c r="B1189" s="221">
        <v>45474</v>
      </c>
      <c r="C1189" s="221" t="str">
        <f>IFERROR(VLOOKUP($B1189,KEY!$AE$19:$AH$60,2,FALSE),"")</f>
        <v>2024-Q3</v>
      </c>
      <c r="D1189" s="222" t="s">
        <v>137</v>
      </c>
      <c r="E1189" s="218">
        <v>8</v>
      </c>
    </row>
    <row r="1190" spans="1:5" x14ac:dyDescent="0.35">
      <c r="A1190" s="3" t="str">
        <f>IF(D1190="","",(VLOOKUP($D1190,KEY!$B$5:$D$74,3,FALSE)))</f>
        <v>Texas</v>
      </c>
      <c r="B1190" s="221">
        <v>45474</v>
      </c>
      <c r="C1190" s="221" t="str">
        <f>IFERROR(VLOOKUP($B1190,KEY!$AE$19:$AH$60,2,FALSE),"")</f>
        <v>2024-Q3</v>
      </c>
      <c r="D1190" s="222" t="s">
        <v>138</v>
      </c>
      <c r="E1190" s="218">
        <v>9</v>
      </c>
    </row>
    <row r="1191" spans="1:5" x14ac:dyDescent="0.35">
      <c r="A1191" s="3" t="str">
        <f>IF(D1191="","",(VLOOKUP($D1191,KEY!$B$5:$D$74,3,FALSE)))</f>
        <v>Southern California</v>
      </c>
      <c r="B1191" s="221">
        <v>45474</v>
      </c>
      <c r="C1191" s="221" t="str">
        <f>IFERROR(VLOOKUP($B1191,KEY!$AE$19:$AH$60,2,FALSE),"")</f>
        <v>2024-Q3</v>
      </c>
      <c r="D1191" s="222" t="s">
        <v>139</v>
      </c>
      <c r="E1191" s="218">
        <v>14</v>
      </c>
    </row>
    <row r="1192" spans="1:5" x14ac:dyDescent="0.35">
      <c r="A1192" s="3" t="str">
        <f>IF(D1192="","",(VLOOKUP($D1192,KEY!$B$5:$D$74,3,FALSE)))</f>
        <v>Orange County</v>
      </c>
      <c r="B1192" s="221">
        <v>45474</v>
      </c>
      <c r="C1192" s="221" t="str">
        <f>IFERROR(VLOOKUP($B1192,KEY!$AE$19:$AH$60,2,FALSE),"")</f>
        <v>2024-Q3</v>
      </c>
      <c r="D1192" s="222" t="s">
        <v>140</v>
      </c>
      <c r="E1192" s="218">
        <v>3</v>
      </c>
    </row>
    <row r="1193" spans="1:5" x14ac:dyDescent="0.35">
      <c r="A1193" s="3" t="str">
        <f>IF(D1193="","",(VLOOKUP($D1193,KEY!$B$5:$D$74,3,FALSE)))</f>
        <v>Southern California</v>
      </c>
      <c r="B1193" s="221">
        <v>45474</v>
      </c>
      <c r="C1193" s="221" t="str">
        <f>IFERROR(VLOOKUP($B1193,KEY!$AE$19:$AH$60,2,FALSE),"")</f>
        <v>2024-Q3</v>
      </c>
      <c r="D1193" s="222" t="s">
        <v>142</v>
      </c>
      <c r="E1193" s="218">
        <v>5</v>
      </c>
    </row>
    <row r="1194" spans="1:5" x14ac:dyDescent="0.35">
      <c r="A1194" s="3" t="str">
        <f>IF(D1194="","",(VLOOKUP($D1194,KEY!$B$5:$D$74,3,FALSE)))</f>
        <v>Arizona</v>
      </c>
      <c r="B1194" s="221">
        <v>45474</v>
      </c>
      <c r="C1194" s="221" t="str">
        <f>IFERROR(VLOOKUP($B1194,KEY!$AE$19:$AH$60,2,FALSE),"")</f>
        <v>2024-Q3</v>
      </c>
      <c r="D1194" s="222" t="s">
        <v>143</v>
      </c>
      <c r="E1194" s="218">
        <v>7</v>
      </c>
    </row>
    <row r="1195" spans="1:5" x14ac:dyDescent="0.35">
      <c r="A1195" s="3" t="str">
        <f>IF(D1195="","",(VLOOKUP($D1195,KEY!$B$5:$D$74,3,FALSE)))</f>
        <v>Arizona</v>
      </c>
      <c r="B1195" s="221">
        <v>45474</v>
      </c>
      <c r="C1195" s="221" t="str">
        <f>IFERROR(VLOOKUP($B1195,KEY!$AE$19:$AH$60,2,FALSE),"")</f>
        <v>2024-Q3</v>
      </c>
      <c r="D1195" s="222" t="s">
        <v>144</v>
      </c>
      <c r="E1195" s="218">
        <v>18</v>
      </c>
    </row>
    <row r="1196" spans="1:5" x14ac:dyDescent="0.35">
      <c r="A1196" s="3" t="str">
        <f>IF(D1196="","",(VLOOKUP($D1196,KEY!$B$5:$D$74,3,FALSE)))</f>
        <v>Southern California</v>
      </c>
      <c r="B1196" s="221">
        <v>45474</v>
      </c>
      <c r="C1196" s="221" t="str">
        <f>IFERROR(VLOOKUP($B1196,KEY!$AE$19:$AH$60,2,FALSE),"")</f>
        <v>2024-Q3</v>
      </c>
      <c r="D1196" s="222" t="s">
        <v>145</v>
      </c>
      <c r="E1196" s="218">
        <v>14</v>
      </c>
    </row>
    <row r="1197" spans="1:5" x14ac:dyDescent="0.35">
      <c r="A1197" s="3" t="str">
        <f>IF(D1197="","",(VLOOKUP($D1197,KEY!$B$5:$D$74,3,FALSE)))</f>
        <v>Arizona</v>
      </c>
      <c r="B1197" s="221">
        <v>45474</v>
      </c>
      <c r="C1197" s="221" t="str">
        <f>IFERROR(VLOOKUP($B1197,KEY!$AE$19:$AH$60,2,FALSE),"")</f>
        <v>2024-Q3</v>
      </c>
      <c r="D1197" s="222" t="s">
        <v>146</v>
      </c>
      <c r="E1197" s="218">
        <v>4</v>
      </c>
    </row>
    <row r="1198" spans="1:5" x14ac:dyDescent="0.35">
      <c r="A1198" s="3" t="str">
        <f>IF(D1198="","",(VLOOKUP($D1198,KEY!$B$5:$D$74,3,FALSE)))</f>
        <v>Texas</v>
      </c>
      <c r="B1198" s="221">
        <v>45474</v>
      </c>
      <c r="C1198" s="221" t="str">
        <f>IFERROR(VLOOKUP($B1198,KEY!$AE$19:$AH$60,2,FALSE),"")</f>
        <v>2024-Q3</v>
      </c>
      <c r="D1198" s="222" t="s">
        <v>147</v>
      </c>
      <c r="E1198" s="218">
        <v>4</v>
      </c>
    </row>
    <row r="1199" spans="1:5" x14ac:dyDescent="0.35">
      <c r="A1199" s="3" t="str">
        <f>IF(D1199="","",(VLOOKUP($D1199,KEY!$B$5:$D$74,3,FALSE)))</f>
        <v>Northern California</v>
      </c>
      <c r="B1199" s="221">
        <v>45474</v>
      </c>
      <c r="C1199" s="221" t="str">
        <f>IFERROR(VLOOKUP($B1199,KEY!$AE$19:$AH$60,2,FALSE),"")</f>
        <v>2024-Q3</v>
      </c>
      <c r="D1199" s="222" t="s">
        <v>148</v>
      </c>
      <c r="E1199" s="218">
        <v>4</v>
      </c>
    </row>
    <row r="1200" spans="1:5" x14ac:dyDescent="0.35">
      <c r="A1200" s="3" t="str">
        <f>IF(D1200="","",(VLOOKUP($D1200,KEY!$B$5:$D$74,3,FALSE)))</f>
        <v>Orange County</v>
      </c>
      <c r="B1200" s="221">
        <v>45474</v>
      </c>
      <c r="C1200" s="221" t="str">
        <f>IFERROR(VLOOKUP($B1200,KEY!$AE$19:$AH$60,2,FALSE),"")</f>
        <v>2024-Q3</v>
      </c>
      <c r="D1200" s="222" t="s">
        <v>149</v>
      </c>
      <c r="E1200" s="218">
        <v>3</v>
      </c>
    </row>
    <row r="1201" spans="1:5" x14ac:dyDescent="0.35">
      <c r="A1201" s="3" t="str">
        <f>IF(D1201="","",(VLOOKUP($D1201,KEY!$B$5:$D$74,3,FALSE)))</f>
        <v>Southern California</v>
      </c>
      <c r="B1201" s="221">
        <v>45474</v>
      </c>
      <c r="C1201" s="221" t="str">
        <f>IFERROR(VLOOKUP($B1201,KEY!$AE$19:$AH$60,2,FALSE),"")</f>
        <v>2024-Q3</v>
      </c>
      <c r="D1201" s="222" t="s">
        <v>150</v>
      </c>
      <c r="E1201" s="218">
        <v>4</v>
      </c>
    </row>
    <row r="1202" spans="1:5" x14ac:dyDescent="0.35">
      <c r="A1202" s="3" t="str">
        <f>IF(D1202="","",(VLOOKUP($D1202,KEY!$B$5:$D$74,3,FALSE)))</f>
        <v>Arizona</v>
      </c>
      <c r="B1202" s="221">
        <v>45474</v>
      </c>
      <c r="C1202" s="221" t="str">
        <f>IFERROR(VLOOKUP($B1202,KEY!$AE$19:$AH$60,2,FALSE),"")</f>
        <v>2024-Q3</v>
      </c>
      <c r="D1202" s="222" t="s">
        <v>151</v>
      </c>
      <c r="E1202" s="218">
        <v>4</v>
      </c>
    </row>
    <row r="1203" spans="1:5" x14ac:dyDescent="0.35">
      <c r="A1203" s="3" t="str">
        <f>IF(D1203="","",(VLOOKUP($D1203,KEY!$B$5:$D$74,3,FALSE)))</f>
        <v>Northern California</v>
      </c>
      <c r="B1203" s="221">
        <v>45474</v>
      </c>
      <c r="C1203" s="221" t="str">
        <f>IFERROR(VLOOKUP($B1203,KEY!$AE$19:$AH$60,2,FALSE),"")</f>
        <v>2024-Q3</v>
      </c>
      <c r="D1203" s="222" t="s">
        <v>152</v>
      </c>
      <c r="E1203" s="218">
        <v>13</v>
      </c>
    </row>
    <row r="1204" spans="1:5" x14ac:dyDescent="0.35">
      <c r="A1204" s="3" t="str">
        <f>IF(D1204="","",(VLOOKUP($D1204,KEY!$B$5:$D$74,3,FALSE)))</f>
        <v>Arizona</v>
      </c>
      <c r="B1204" s="221">
        <v>45474</v>
      </c>
      <c r="C1204" s="221" t="str">
        <f>IFERROR(VLOOKUP($B1204,KEY!$AE$19:$AH$60,2,FALSE),"")</f>
        <v>2024-Q3</v>
      </c>
      <c r="D1204" s="222" t="s">
        <v>153</v>
      </c>
      <c r="E1204" s="218">
        <v>13</v>
      </c>
    </row>
    <row r="1205" spans="1:5" x14ac:dyDescent="0.35">
      <c r="A1205" s="3" t="str">
        <f>IF(D1205="","",(VLOOKUP($D1205,KEY!$B$5:$D$74,3,FALSE)))</f>
        <v>Northern California</v>
      </c>
      <c r="B1205" s="221">
        <v>45474</v>
      </c>
      <c r="C1205" s="221" t="str">
        <f>IFERROR(VLOOKUP($B1205,KEY!$AE$19:$AH$60,2,FALSE),"")</f>
        <v>2024-Q3</v>
      </c>
      <c r="D1205" s="222" t="s">
        <v>154</v>
      </c>
      <c r="E1205" s="218">
        <v>7</v>
      </c>
    </row>
    <row r="1206" spans="1:5" x14ac:dyDescent="0.35">
      <c r="A1206" s="3" t="str">
        <f>IF(D1206="","",(VLOOKUP($D1206,KEY!$B$5:$D$74,3,FALSE)))</f>
        <v>Texas</v>
      </c>
      <c r="B1206" s="221">
        <v>45474</v>
      </c>
      <c r="C1206" s="221" t="str">
        <f>IFERROR(VLOOKUP($B1206,KEY!$AE$19:$AH$60,2,FALSE),"")</f>
        <v>2024-Q3</v>
      </c>
      <c r="D1206" s="222" t="s">
        <v>155</v>
      </c>
      <c r="E1206" s="218">
        <v>22</v>
      </c>
    </row>
    <row r="1207" spans="1:5" x14ac:dyDescent="0.35">
      <c r="A1207" s="3" t="str">
        <f>IF(D1207="","",(VLOOKUP($D1207,KEY!$B$5:$D$74,3,FALSE)))</f>
        <v>Texas</v>
      </c>
      <c r="B1207" s="221">
        <v>45474</v>
      </c>
      <c r="C1207" s="221" t="str">
        <f>IFERROR(VLOOKUP($B1207,KEY!$AE$19:$AH$60,2,FALSE),"")</f>
        <v>2024-Q3</v>
      </c>
      <c r="D1207" s="222" t="s">
        <v>156</v>
      </c>
      <c r="E1207" s="218">
        <v>18</v>
      </c>
    </row>
    <row r="1208" spans="1:5" x14ac:dyDescent="0.35">
      <c r="A1208" s="3" t="str">
        <f>IF(D1208="","",(VLOOKUP($D1208,KEY!$B$5:$D$74,3,FALSE)))</f>
        <v>Texas</v>
      </c>
      <c r="B1208" s="221">
        <v>45474</v>
      </c>
      <c r="C1208" s="221" t="str">
        <f>IFERROR(VLOOKUP($B1208,KEY!$AE$19:$AH$60,2,FALSE),"")</f>
        <v>2024-Q3</v>
      </c>
      <c r="D1208" s="222" t="s">
        <v>157</v>
      </c>
      <c r="E1208" s="218">
        <v>35</v>
      </c>
    </row>
    <row r="1209" spans="1:5" x14ac:dyDescent="0.35">
      <c r="A1209" s="3" t="str">
        <f>IF(D1209="","",(VLOOKUP($D1209,KEY!$B$5:$D$74,3,FALSE)))</f>
        <v>Arizona</v>
      </c>
      <c r="B1209" s="221">
        <v>45474</v>
      </c>
      <c r="C1209" s="221" t="str">
        <f>IFERROR(VLOOKUP($B1209,KEY!$AE$19:$AH$60,2,FALSE),"")</f>
        <v>2024-Q3</v>
      </c>
      <c r="D1209" s="222" t="s">
        <v>158</v>
      </c>
      <c r="E1209" s="218">
        <v>6</v>
      </c>
    </row>
    <row r="1210" spans="1:5" x14ac:dyDescent="0.35">
      <c r="A1210" s="3" t="str">
        <f>IF(D1210="","",(VLOOKUP($D1210,KEY!$B$5:$D$74,3,FALSE)))</f>
        <v>Orange County</v>
      </c>
      <c r="B1210" s="221">
        <v>45474</v>
      </c>
      <c r="C1210" s="221" t="str">
        <f>IFERROR(VLOOKUP($B1210,KEY!$AE$19:$AH$60,2,FALSE),"")</f>
        <v>2024-Q3</v>
      </c>
      <c r="D1210" s="222" t="s">
        <v>159</v>
      </c>
      <c r="E1210" s="218">
        <v>10</v>
      </c>
    </row>
    <row r="1211" spans="1:5" x14ac:dyDescent="0.35">
      <c r="A1211" s="3" t="str">
        <f>IF(D1211="","",(VLOOKUP($D1211,KEY!$B$5:$D$74,3,FALSE)))</f>
        <v>Arizona</v>
      </c>
      <c r="B1211" s="221">
        <v>45474</v>
      </c>
      <c r="C1211" s="221" t="str">
        <f>IFERROR(VLOOKUP($B1211,KEY!$AE$19:$AH$60,2,FALSE),"")</f>
        <v>2024-Q3</v>
      </c>
      <c r="D1211" s="222" t="s">
        <v>160</v>
      </c>
      <c r="E1211" s="218">
        <v>24</v>
      </c>
    </row>
    <row r="1212" spans="1:5" x14ac:dyDescent="0.35">
      <c r="A1212" s="3" t="str">
        <f>IF(D1212="","",(VLOOKUP($D1212,KEY!$B$5:$D$74,3,FALSE)))</f>
        <v>Northern California</v>
      </c>
      <c r="B1212" s="221">
        <v>45474</v>
      </c>
      <c r="C1212" s="221" t="str">
        <f>IFERROR(VLOOKUP($B1212,KEY!$AE$19:$AH$60,2,FALSE),"")</f>
        <v>2024-Q3</v>
      </c>
      <c r="D1212" s="222" t="s">
        <v>161</v>
      </c>
      <c r="E1212" s="218">
        <v>22</v>
      </c>
    </row>
    <row r="1213" spans="1:5" x14ac:dyDescent="0.35">
      <c r="A1213" s="3" t="e">
        <f>IF(D1213="","",(VLOOKUP($D1213,KEY!$B$5:$D$74,3,FALSE)))</f>
        <v>#N/A</v>
      </c>
      <c r="B1213" s="221">
        <v>45474</v>
      </c>
      <c r="C1213" s="221" t="str">
        <f>IFERROR(VLOOKUP($B1213,KEY!$AE$19:$AH$60,2,FALSE),"")</f>
        <v>2024-Q3</v>
      </c>
      <c r="D1213" s="222" t="s">
        <v>162</v>
      </c>
      <c r="E1213" s="218">
        <v>35</v>
      </c>
    </row>
    <row r="1214" spans="1:5" x14ac:dyDescent="0.35">
      <c r="A1214" s="3" t="str">
        <f>IF(D1214="","",(VLOOKUP($D1214,KEY!$B$5:$D$74,3,FALSE)))</f>
        <v>Arizona</v>
      </c>
      <c r="B1214" s="221">
        <v>45474</v>
      </c>
      <c r="C1214" s="221" t="str">
        <f>IFERROR(VLOOKUP($B1214,KEY!$AE$19:$AH$60,2,FALSE),"")</f>
        <v>2024-Q3</v>
      </c>
      <c r="D1214" s="222" t="s">
        <v>163</v>
      </c>
      <c r="E1214" s="218">
        <v>19</v>
      </c>
    </row>
    <row r="1215" spans="1:5" x14ac:dyDescent="0.35">
      <c r="A1215" s="3" t="str">
        <f>IF(D1215="","",(VLOOKUP($D1215,KEY!$B$5:$D$74,3,FALSE)))</f>
        <v>Arizona</v>
      </c>
      <c r="B1215" s="221">
        <v>45474</v>
      </c>
      <c r="C1215" s="221" t="str">
        <f>IFERROR(VLOOKUP($B1215,KEY!$AE$19:$AH$60,2,FALSE),"")</f>
        <v>2024-Q3</v>
      </c>
      <c r="D1215" s="222" t="s">
        <v>164</v>
      </c>
      <c r="E1215" s="218">
        <v>8</v>
      </c>
    </row>
    <row r="1216" spans="1:5" x14ac:dyDescent="0.35">
      <c r="A1216" s="3" t="str">
        <f>IF(D1216="","",(VLOOKUP($D1216,KEY!$B$5:$D$74,3,FALSE)))</f>
        <v>Orange County</v>
      </c>
      <c r="B1216" s="221">
        <v>45474</v>
      </c>
      <c r="C1216" s="221" t="str">
        <f>IFERROR(VLOOKUP($B1216,KEY!$AE$19:$AH$60,2,FALSE),"")</f>
        <v>2024-Q3</v>
      </c>
      <c r="D1216" s="222" t="s">
        <v>165</v>
      </c>
      <c r="E1216" s="218">
        <v>8</v>
      </c>
    </row>
    <row r="1217" spans="1:5" x14ac:dyDescent="0.35">
      <c r="A1217" s="3" t="str">
        <f>IF(D1217="","",(VLOOKUP($D1217,KEY!$B$5:$D$74,3,FALSE)))</f>
        <v>Arizona</v>
      </c>
      <c r="B1217" s="221">
        <v>45505</v>
      </c>
      <c r="C1217" s="221" t="str">
        <f>IFERROR(VLOOKUP($B1217,KEY!$AE$19:$AH$60,2,FALSE),"")</f>
        <v>2024-Q3</v>
      </c>
      <c r="D1217" s="222" t="s">
        <v>111</v>
      </c>
      <c r="E1217" s="218">
        <v>7</v>
      </c>
    </row>
    <row r="1218" spans="1:5" x14ac:dyDescent="0.35">
      <c r="A1218" s="3" t="str">
        <f>IF(D1218="","",(VLOOKUP($D1218,KEY!$B$5:$D$74,3,FALSE)))</f>
        <v>Southern California</v>
      </c>
      <c r="B1218" s="221">
        <v>45505</v>
      </c>
      <c r="C1218" s="221" t="str">
        <f>IFERROR(VLOOKUP($B1218,KEY!$AE$19:$AH$60,2,FALSE),"")</f>
        <v>2024-Q3</v>
      </c>
      <c r="D1218" s="222" t="s">
        <v>112</v>
      </c>
      <c r="E1218" s="218">
        <v>4</v>
      </c>
    </row>
    <row r="1219" spans="1:5" x14ac:dyDescent="0.35">
      <c r="A1219" s="3" t="str">
        <f>IF(D1219="","",(VLOOKUP($D1219,KEY!$B$5:$D$74,3,FALSE)))</f>
        <v>Arizona</v>
      </c>
      <c r="B1219" s="221">
        <v>45505</v>
      </c>
      <c r="C1219" s="221" t="str">
        <f>IFERROR(VLOOKUP($B1219,KEY!$AE$19:$AH$60,2,FALSE),"")</f>
        <v>2024-Q3</v>
      </c>
      <c r="D1219" s="222" t="s">
        <v>113</v>
      </c>
      <c r="E1219" s="218">
        <v>7</v>
      </c>
    </row>
    <row r="1220" spans="1:5" x14ac:dyDescent="0.35">
      <c r="A1220" s="3" t="str">
        <f>IF(D1220="","",(VLOOKUP($D1220,KEY!$B$5:$D$74,3,FALSE)))</f>
        <v>Southern California</v>
      </c>
      <c r="B1220" s="221">
        <v>45505</v>
      </c>
      <c r="C1220" s="221" t="str">
        <f>IFERROR(VLOOKUP($B1220,KEY!$AE$19:$AH$60,2,FALSE),"")</f>
        <v>2024-Q3</v>
      </c>
      <c r="D1220" s="222" t="s">
        <v>114</v>
      </c>
      <c r="E1220" s="218">
        <v>5</v>
      </c>
    </row>
    <row r="1221" spans="1:5" x14ac:dyDescent="0.35">
      <c r="A1221" s="3" t="str">
        <f>IF(D1221="","",(VLOOKUP($D1221,KEY!$B$5:$D$74,3,FALSE)))</f>
        <v>Orange County</v>
      </c>
      <c r="B1221" s="221">
        <v>45505</v>
      </c>
      <c r="C1221" s="221" t="str">
        <f>IFERROR(VLOOKUP($B1221,KEY!$AE$19:$AH$60,2,FALSE),"")</f>
        <v>2024-Q3</v>
      </c>
      <c r="D1221" s="222" t="s">
        <v>115</v>
      </c>
      <c r="E1221" s="218">
        <v>5</v>
      </c>
    </row>
    <row r="1222" spans="1:5" x14ac:dyDescent="0.35">
      <c r="A1222" s="3" t="str">
        <f>IF(D1222="","",(VLOOKUP($D1222,KEY!$B$5:$D$74,3,FALSE)))</f>
        <v>Arizona</v>
      </c>
      <c r="B1222" s="221">
        <v>45505</v>
      </c>
      <c r="C1222" s="221" t="str">
        <f>IFERROR(VLOOKUP($B1222,KEY!$AE$19:$AH$60,2,FALSE),"")</f>
        <v>2024-Q3</v>
      </c>
      <c r="D1222" s="222" t="s">
        <v>116</v>
      </c>
      <c r="E1222" s="218">
        <v>9</v>
      </c>
    </row>
    <row r="1223" spans="1:5" x14ac:dyDescent="0.35">
      <c r="A1223" s="3" t="str">
        <f>IF(D1223="","",(VLOOKUP($D1223,KEY!$B$5:$D$74,3,FALSE)))</f>
        <v>Northern California</v>
      </c>
      <c r="B1223" s="221">
        <v>45505</v>
      </c>
      <c r="C1223" s="221" t="str">
        <f>IFERROR(VLOOKUP($B1223,KEY!$AE$19:$AH$60,2,FALSE),"")</f>
        <v>2024-Q3</v>
      </c>
      <c r="D1223" s="222" t="s">
        <v>118</v>
      </c>
      <c r="E1223" s="218">
        <v>13</v>
      </c>
    </row>
    <row r="1224" spans="1:5" x14ac:dyDescent="0.35">
      <c r="A1224" s="3" t="str">
        <f>IF(D1224="","",(VLOOKUP($D1224,KEY!$B$5:$D$74,3,FALSE)))</f>
        <v>Orange County</v>
      </c>
      <c r="B1224" s="221">
        <v>45505</v>
      </c>
      <c r="C1224" s="221" t="str">
        <f>IFERROR(VLOOKUP($B1224,KEY!$AE$19:$AH$60,2,FALSE),"")</f>
        <v>2024-Q3</v>
      </c>
      <c r="D1224" s="222" t="s">
        <v>117</v>
      </c>
      <c r="E1224" s="218">
        <v>8</v>
      </c>
    </row>
    <row r="1225" spans="1:5" x14ac:dyDescent="0.35">
      <c r="A1225" s="3" t="str">
        <f>IF(D1225="","",(VLOOKUP($D1225,KEY!$B$5:$D$74,3,FALSE)))</f>
        <v>Arizona</v>
      </c>
      <c r="B1225" s="221">
        <v>45505</v>
      </c>
      <c r="C1225" s="221" t="str">
        <f>IFERROR(VLOOKUP($B1225,KEY!$AE$19:$AH$60,2,FALSE),"")</f>
        <v>2024-Q3</v>
      </c>
      <c r="D1225" s="222" t="s">
        <v>119</v>
      </c>
      <c r="E1225" s="218">
        <v>4</v>
      </c>
    </row>
    <row r="1226" spans="1:5" x14ac:dyDescent="0.35">
      <c r="A1226" s="3" t="str">
        <f>IF(D1226="","",(VLOOKUP($D1226,KEY!$B$5:$D$74,3,FALSE)))</f>
        <v>Arizona</v>
      </c>
      <c r="B1226" s="221">
        <v>45505</v>
      </c>
      <c r="C1226" s="221" t="str">
        <f>IFERROR(VLOOKUP($B1226,KEY!$AE$19:$AH$60,2,FALSE),"")</f>
        <v>2024-Q3</v>
      </c>
      <c r="D1226" s="222" t="s">
        <v>120</v>
      </c>
      <c r="E1226" s="218">
        <v>25</v>
      </c>
    </row>
    <row r="1227" spans="1:5" x14ac:dyDescent="0.35">
      <c r="A1227" s="3" t="str">
        <f>IF(D1227="","",(VLOOKUP($D1227,KEY!$B$5:$D$74,3,FALSE)))</f>
        <v>Texas</v>
      </c>
      <c r="B1227" s="221">
        <v>45505</v>
      </c>
      <c r="C1227" s="221" t="str">
        <f>IFERROR(VLOOKUP($B1227,KEY!$AE$19:$AH$60,2,FALSE),"")</f>
        <v>2024-Q3</v>
      </c>
      <c r="D1227" s="222" t="s">
        <v>121</v>
      </c>
      <c r="E1227" s="218">
        <v>22</v>
      </c>
    </row>
    <row r="1228" spans="1:5" x14ac:dyDescent="0.35">
      <c r="A1228" s="3" t="str">
        <f>IF(D1228="","",(VLOOKUP($D1228,KEY!$B$5:$D$74,3,FALSE)))</f>
        <v>Southern California</v>
      </c>
      <c r="B1228" s="221">
        <v>45505</v>
      </c>
      <c r="C1228" s="221" t="str">
        <f>IFERROR(VLOOKUP($B1228,KEY!$AE$19:$AH$60,2,FALSE),"")</f>
        <v>2024-Q3</v>
      </c>
      <c r="D1228" s="222" t="s">
        <v>122</v>
      </c>
      <c r="E1228" s="218">
        <v>8</v>
      </c>
    </row>
    <row r="1229" spans="1:5" x14ac:dyDescent="0.35">
      <c r="A1229" s="3" t="str">
        <f>IF(D1229="","",(VLOOKUP($D1229,KEY!$B$5:$D$74,3,FALSE)))</f>
        <v>Orange County</v>
      </c>
      <c r="B1229" s="221">
        <v>45505</v>
      </c>
      <c r="C1229" s="221" t="str">
        <f>IFERROR(VLOOKUP($B1229,KEY!$AE$19:$AH$60,2,FALSE),"")</f>
        <v>2024-Q3</v>
      </c>
      <c r="D1229" s="222" t="s">
        <v>123</v>
      </c>
      <c r="E1229" s="218">
        <v>19</v>
      </c>
    </row>
    <row r="1230" spans="1:5" x14ac:dyDescent="0.35">
      <c r="A1230" s="3" t="str">
        <f>IF(D1230="","",(VLOOKUP($D1230,KEY!$B$5:$D$74,3,FALSE)))</f>
        <v>Southern California</v>
      </c>
      <c r="B1230" s="221">
        <v>45505</v>
      </c>
      <c r="C1230" s="221" t="str">
        <f>IFERROR(VLOOKUP($B1230,KEY!$AE$19:$AH$60,2,FALSE),"")</f>
        <v>2024-Q3</v>
      </c>
      <c r="D1230" s="222" t="s">
        <v>124</v>
      </c>
      <c r="E1230" s="218">
        <v>22</v>
      </c>
    </row>
    <row r="1231" spans="1:5" x14ac:dyDescent="0.35">
      <c r="A1231" s="3" t="str">
        <f>IF(D1231="","",(VLOOKUP($D1231,KEY!$B$5:$D$74,3,FALSE)))</f>
        <v>Northern California</v>
      </c>
      <c r="B1231" s="221">
        <v>45505</v>
      </c>
      <c r="C1231" s="221" t="str">
        <f>IFERROR(VLOOKUP($B1231,KEY!$AE$19:$AH$60,2,FALSE),"")</f>
        <v>2024-Q3</v>
      </c>
      <c r="D1231" s="222" t="s">
        <v>195</v>
      </c>
      <c r="E1231" s="218">
        <v>6</v>
      </c>
    </row>
    <row r="1232" spans="1:5" x14ac:dyDescent="0.35">
      <c r="A1232" s="3" t="str">
        <f>IF(D1232="","",(VLOOKUP($D1232,KEY!$B$5:$D$74,3,FALSE)))</f>
        <v>Northern California</v>
      </c>
      <c r="B1232" s="221">
        <v>45505</v>
      </c>
      <c r="C1232" s="221" t="str">
        <f>IFERROR(VLOOKUP($B1232,KEY!$AE$19:$AH$60,2,FALSE),"")</f>
        <v>2024-Q3</v>
      </c>
      <c r="D1232" s="222" t="s">
        <v>125</v>
      </c>
      <c r="E1232" s="218">
        <v>20</v>
      </c>
    </row>
    <row r="1233" spans="1:5" x14ac:dyDescent="0.35">
      <c r="A1233" s="3" t="str">
        <f>IF(D1233="","",(VLOOKUP($D1233,KEY!$B$5:$D$74,3,FALSE)))</f>
        <v>Orange County</v>
      </c>
      <c r="B1233" s="221">
        <v>45505</v>
      </c>
      <c r="C1233" s="221" t="str">
        <f>IFERROR(VLOOKUP($B1233,KEY!$AE$19:$AH$60,2,FALSE),"")</f>
        <v>2024-Q3</v>
      </c>
      <c r="D1233" s="222" t="s">
        <v>126</v>
      </c>
      <c r="E1233" s="218">
        <v>29</v>
      </c>
    </row>
    <row r="1234" spans="1:5" x14ac:dyDescent="0.35">
      <c r="A1234" s="3" t="str">
        <f>IF(D1234="","",(VLOOKUP($D1234,KEY!$B$5:$D$74,3,FALSE)))</f>
        <v>Orange County</v>
      </c>
      <c r="B1234" s="221">
        <v>45505</v>
      </c>
      <c r="C1234" s="221" t="str">
        <f>IFERROR(VLOOKUP($B1234,KEY!$AE$19:$AH$60,2,FALSE),"")</f>
        <v>2024-Q3</v>
      </c>
      <c r="D1234" s="222" t="s">
        <v>127</v>
      </c>
      <c r="E1234" s="218">
        <v>5</v>
      </c>
    </row>
    <row r="1235" spans="1:5" x14ac:dyDescent="0.35">
      <c r="A1235" s="3" t="str">
        <f>IF(D1235="","",(VLOOKUP($D1235,KEY!$B$5:$D$74,3,FALSE)))</f>
        <v>Texas</v>
      </c>
      <c r="B1235" s="221">
        <v>45505</v>
      </c>
      <c r="C1235" s="221" t="str">
        <f>IFERROR(VLOOKUP($B1235,KEY!$AE$19:$AH$60,2,FALSE),"")</f>
        <v>2024-Q3</v>
      </c>
      <c r="D1235" s="222" t="s">
        <v>198</v>
      </c>
      <c r="E1235" s="218">
        <v>7</v>
      </c>
    </row>
    <row r="1236" spans="1:5" x14ac:dyDescent="0.35">
      <c r="A1236" s="3" t="str">
        <f>IF(D1236="","",(VLOOKUP($D1236,KEY!$B$5:$D$74,3,FALSE)))</f>
        <v>Texas</v>
      </c>
      <c r="B1236" s="221">
        <v>45505</v>
      </c>
      <c r="C1236" s="221" t="str">
        <f>IFERROR(VLOOKUP($B1236,KEY!$AE$19:$AH$60,2,FALSE),"")</f>
        <v>2024-Q3</v>
      </c>
      <c r="D1236" s="222" t="s">
        <v>128</v>
      </c>
      <c r="E1236" s="218">
        <v>15</v>
      </c>
    </row>
    <row r="1237" spans="1:5" x14ac:dyDescent="0.35">
      <c r="A1237" s="3" t="str">
        <f>IF(D1237="","",(VLOOKUP($D1237,KEY!$B$5:$D$74,3,FALSE)))</f>
        <v>Northern California</v>
      </c>
      <c r="B1237" s="221">
        <v>45505</v>
      </c>
      <c r="C1237" s="221" t="str">
        <f>IFERROR(VLOOKUP($B1237,KEY!$AE$19:$AH$60,2,FALSE),"")</f>
        <v>2024-Q3</v>
      </c>
      <c r="D1237" s="222" t="s">
        <v>129</v>
      </c>
      <c r="E1237" s="218">
        <v>13</v>
      </c>
    </row>
    <row r="1238" spans="1:5" x14ac:dyDescent="0.35">
      <c r="A1238" s="3" t="str">
        <f>IF(D1238="","",(VLOOKUP($D1238,KEY!$B$5:$D$74,3,FALSE)))</f>
        <v>Southern California</v>
      </c>
      <c r="B1238" s="221">
        <v>45505</v>
      </c>
      <c r="C1238" s="221" t="str">
        <f>IFERROR(VLOOKUP($B1238,KEY!$AE$19:$AH$60,2,FALSE),"")</f>
        <v>2024-Q3</v>
      </c>
      <c r="D1238" s="222" t="s">
        <v>130</v>
      </c>
      <c r="E1238" s="218">
        <v>8</v>
      </c>
    </row>
    <row r="1239" spans="1:5" x14ac:dyDescent="0.35">
      <c r="A1239" s="3">
        <f>IF(D1239="","",(VLOOKUP($D1239,KEY!$B$5:$D$74,3,FALSE)))</f>
        <v>0</v>
      </c>
      <c r="B1239" s="221">
        <v>45505</v>
      </c>
      <c r="C1239" s="221" t="str">
        <f>IFERROR(VLOOKUP($B1239,KEY!$AE$19:$AH$60,2,FALSE),"")</f>
        <v>2024-Q3</v>
      </c>
      <c r="D1239" s="222" t="s">
        <v>131</v>
      </c>
      <c r="E1239" s="218">
        <v>14</v>
      </c>
    </row>
    <row r="1240" spans="1:5" x14ac:dyDescent="0.35">
      <c r="A1240" s="3" t="e">
        <f>IF(D1240="","",(VLOOKUP($D1240,KEY!$B$5:$D$74,3,FALSE)))</f>
        <v>#N/A</v>
      </c>
      <c r="B1240" s="221">
        <v>45505</v>
      </c>
      <c r="C1240" s="221" t="str">
        <f>IFERROR(VLOOKUP($B1240,KEY!$AE$19:$AH$60,2,FALSE),"")</f>
        <v>2024-Q3</v>
      </c>
      <c r="D1240" s="222" t="s">
        <v>134</v>
      </c>
      <c r="E1240" s="218">
        <v>3</v>
      </c>
    </row>
    <row r="1241" spans="1:5" x14ac:dyDescent="0.35">
      <c r="A1241" s="3" t="str">
        <f>IF(D1241="","",(VLOOKUP($D1241,KEY!$B$5:$D$74,3,FALSE)))</f>
        <v>Southern California</v>
      </c>
      <c r="B1241" s="221">
        <v>45505</v>
      </c>
      <c r="C1241" s="221" t="str">
        <f>IFERROR(VLOOKUP($B1241,KEY!$AE$19:$AH$60,2,FALSE),"")</f>
        <v>2024-Q3</v>
      </c>
      <c r="D1241" s="222" t="s">
        <v>135</v>
      </c>
      <c r="E1241" s="218">
        <v>21</v>
      </c>
    </row>
    <row r="1242" spans="1:5" x14ac:dyDescent="0.35">
      <c r="A1242" s="3" t="str">
        <f>IF(D1242="","",(VLOOKUP($D1242,KEY!$B$5:$D$74,3,FALSE)))</f>
        <v>Arizona</v>
      </c>
      <c r="B1242" s="221">
        <v>45505</v>
      </c>
      <c r="C1242" s="221" t="str">
        <f>IFERROR(VLOOKUP($B1242,KEY!$AE$19:$AH$60,2,FALSE),"")</f>
        <v>2024-Q3</v>
      </c>
      <c r="D1242" s="222" t="s">
        <v>196</v>
      </c>
      <c r="E1242" s="218">
        <v>5</v>
      </c>
    </row>
    <row r="1243" spans="1:5" x14ac:dyDescent="0.35">
      <c r="A1243" s="3" t="str">
        <f>IF(D1243="","",(VLOOKUP($D1243,KEY!$B$5:$D$74,3,FALSE)))</f>
        <v>Arizona</v>
      </c>
      <c r="B1243" s="221">
        <v>45505</v>
      </c>
      <c r="C1243" s="221" t="str">
        <f>IFERROR(VLOOKUP($B1243,KEY!$AE$19:$AH$60,2,FALSE),"")</f>
        <v>2024-Q3</v>
      </c>
      <c r="D1243" s="222" t="s">
        <v>197</v>
      </c>
      <c r="E1243" s="218">
        <v>10</v>
      </c>
    </row>
    <row r="1244" spans="1:5" x14ac:dyDescent="0.35">
      <c r="A1244" s="3" t="str">
        <f>IF(D1244="","",(VLOOKUP($D1244,KEY!$B$5:$D$74,3,FALSE)))</f>
        <v>Texas</v>
      </c>
      <c r="B1244" s="221">
        <v>45505</v>
      </c>
      <c r="C1244" s="221" t="str">
        <f>IFERROR(VLOOKUP($B1244,KEY!$AE$19:$AH$60,2,FALSE),"")</f>
        <v>2024-Q3</v>
      </c>
      <c r="D1244" s="222" t="s">
        <v>136</v>
      </c>
      <c r="E1244" s="218">
        <v>15</v>
      </c>
    </row>
    <row r="1245" spans="1:5" x14ac:dyDescent="0.35">
      <c r="A1245" s="3" t="str">
        <f>IF(D1245="","",(VLOOKUP($D1245,KEY!$B$5:$D$74,3,FALSE)))</f>
        <v>Arizona</v>
      </c>
      <c r="B1245" s="221">
        <v>45505</v>
      </c>
      <c r="C1245" s="221" t="str">
        <f>IFERROR(VLOOKUP($B1245,KEY!$AE$19:$AH$60,2,FALSE),"")</f>
        <v>2024-Q3</v>
      </c>
      <c r="D1245" s="222" t="s">
        <v>137</v>
      </c>
      <c r="E1245" s="218">
        <v>7</v>
      </c>
    </row>
    <row r="1246" spans="1:5" x14ac:dyDescent="0.35">
      <c r="A1246" s="3" t="str">
        <f>IF(D1246="","",(VLOOKUP($D1246,KEY!$B$5:$D$74,3,FALSE)))</f>
        <v>Texas</v>
      </c>
      <c r="B1246" s="221">
        <v>45505</v>
      </c>
      <c r="C1246" s="221" t="str">
        <f>IFERROR(VLOOKUP($B1246,KEY!$AE$19:$AH$60,2,FALSE),"")</f>
        <v>2024-Q3</v>
      </c>
      <c r="D1246" s="222" t="s">
        <v>138</v>
      </c>
      <c r="E1246" s="218">
        <v>8</v>
      </c>
    </row>
    <row r="1247" spans="1:5" x14ac:dyDescent="0.35">
      <c r="A1247" s="3" t="str">
        <f>IF(D1247="","",(VLOOKUP($D1247,KEY!$B$5:$D$74,3,FALSE)))</f>
        <v>Southern California</v>
      </c>
      <c r="B1247" s="221">
        <v>45505</v>
      </c>
      <c r="C1247" s="221" t="str">
        <f>IFERROR(VLOOKUP($B1247,KEY!$AE$19:$AH$60,2,FALSE),"")</f>
        <v>2024-Q3</v>
      </c>
      <c r="D1247" s="222" t="s">
        <v>139</v>
      </c>
      <c r="E1247" s="218">
        <v>14</v>
      </c>
    </row>
    <row r="1248" spans="1:5" x14ac:dyDescent="0.35">
      <c r="A1248" s="3" t="str">
        <f>IF(D1248="","",(VLOOKUP($D1248,KEY!$B$5:$D$74,3,FALSE)))</f>
        <v>Orange County</v>
      </c>
      <c r="B1248" s="221">
        <v>45505</v>
      </c>
      <c r="C1248" s="221" t="str">
        <f>IFERROR(VLOOKUP($B1248,KEY!$AE$19:$AH$60,2,FALSE),"")</f>
        <v>2024-Q3</v>
      </c>
      <c r="D1248" s="222" t="s">
        <v>140</v>
      </c>
      <c r="E1248" s="218">
        <v>3</v>
      </c>
    </row>
    <row r="1249" spans="1:5" x14ac:dyDescent="0.35">
      <c r="A1249" s="3" t="str">
        <f>IF(D1249="","",(VLOOKUP($D1249,KEY!$B$5:$D$74,3,FALSE)))</f>
        <v>Southern California</v>
      </c>
      <c r="B1249" s="221">
        <v>45505</v>
      </c>
      <c r="C1249" s="221" t="str">
        <f>IFERROR(VLOOKUP($B1249,KEY!$AE$19:$AH$60,2,FALSE),"")</f>
        <v>2024-Q3</v>
      </c>
      <c r="D1249" s="222" t="s">
        <v>142</v>
      </c>
      <c r="E1249" s="218">
        <v>5</v>
      </c>
    </row>
    <row r="1250" spans="1:5" x14ac:dyDescent="0.35">
      <c r="A1250" s="3" t="str">
        <f>IF(D1250="","",(VLOOKUP($D1250,KEY!$B$5:$D$74,3,FALSE)))</f>
        <v>Arizona</v>
      </c>
      <c r="B1250" s="221">
        <v>45505</v>
      </c>
      <c r="C1250" s="221" t="str">
        <f>IFERROR(VLOOKUP($B1250,KEY!$AE$19:$AH$60,2,FALSE),"")</f>
        <v>2024-Q3</v>
      </c>
      <c r="D1250" s="222" t="s">
        <v>143</v>
      </c>
      <c r="E1250" s="218">
        <v>7</v>
      </c>
    </row>
    <row r="1251" spans="1:5" x14ac:dyDescent="0.35">
      <c r="A1251" s="3" t="str">
        <f>IF(D1251="","",(VLOOKUP($D1251,KEY!$B$5:$D$74,3,FALSE)))</f>
        <v>Arizona</v>
      </c>
      <c r="B1251" s="221">
        <v>45505</v>
      </c>
      <c r="C1251" s="221" t="str">
        <f>IFERROR(VLOOKUP($B1251,KEY!$AE$19:$AH$60,2,FALSE),"")</f>
        <v>2024-Q3</v>
      </c>
      <c r="D1251" s="222" t="s">
        <v>144</v>
      </c>
      <c r="E1251" s="218">
        <v>18</v>
      </c>
    </row>
    <row r="1252" spans="1:5" x14ac:dyDescent="0.35">
      <c r="A1252" s="3" t="str">
        <f>IF(D1252="","",(VLOOKUP($D1252,KEY!$B$5:$D$74,3,FALSE)))</f>
        <v>Southern California</v>
      </c>
      <c r="B1252" s="221">
        <v>45505</v>
      </c>
      <c r="C1252" s="221" t="str">
        <f>IFERROR(VLOOKUP($B1252,KEY!$AE$19:$AH$60,2,FALSE),"")</f>
        <v>2024-Q3</v>
      </c>
      <c r="D1252" s="222" t="s">
        <v>145</v>
      </c>
      <c r="E1252" s="218">
        <v>14</v>
      </c>
    </row>
    <row r="1253" spans="1:5" x14ac:dyDescent="0.35">
      <c r="A1253" s="3" t="str">
        <f>IF(D1253="","",(VLOOKUP($D1253,KEY!$B$5:$D$74,3,FALSE)))</f>
        <v>Arizona</v>
      </c>
      <c r="B1253" s="221">
        <v>45505</v>
      </c>
      <c r="C1253" s="221" t="str">
        <f>IFERROR(VLOOKUP($B1253,KEY!$AE$19:$AH$60,2,FALSE),"")</f>
        <v>2024-Q3</v>
      </c>
      <c r="D1253" s="222" t="s">
        <v>146</v>
      </c>
      <c r="E1253" s="218">
        <v>4</v>
      </c>
    </row>
    <row r="1254" spans="1:5" x14ac:dyDescent="0.35">
      <c r="A1254" s="3" t="str">
        <f>IF(D1254="","",(VLOOKUP($D1254,KEY!$B$5:$D$74,3,FALSE)))</f>
        <v>Texas</v>
      </c>
      <c r="B1254" s="221">
        <v>45505</v>
      </c>
      <c r="C1254" s="221" t="str">
        <f>IFERROR(VLOOKUP($B1254,KEY!$AE$19:$AH$60,2,FALSE),"")</f>
        <v>2024-Q3</v>
      </c>
      <c r="D1254" s="222" t="s">
        <v>147</v>
      </c>
      <c r="E1254" s="218">
        <v>4</v>
      </c>
    </row>
    <row r="1255" spans="1:5" x14ac:dyDescent="0.35">
      <c r="A1255" s="3" t="str">
        <f>IF(D1255="","",(VLOOKUP($D1255,KEY!$B$5:$D$74,3,FALSE)))</f>
        <v>Northern California</v>
      </c>
      <c r="B1255" s="221">
        <v>45505</v>
      </c>
      <c r="C1255" s="221" t="str">
        <f>IFERROR(VLOOKUP($B1255,KEY!$AE$19:$AH$60,2,FALSE),"")</f>
        <v>2024-Q3</v>
      </c>
      <c r="D1255" s="222" t="s">
        <v>148</v>
      </c>
      <c r="E1255" s="218">
        <v>3</v>
      </c>
    </row>
    <row r="1256" spans="1:5" x14ac:dyDescent="0.35">
      <c r="A1256" s="3" t="str">
        <f>IF(D1256="","",(VLOOKUP($D1256,KEY!$B$5:$D$74,3,FALSE)))</f>
        <v>Orange County</v>
      </c>
      <c r="B1256" s="221">
        <v>45505</v>
      </c>
      <c r="C1256" s="221" t="str">
        <f>IFERROR(VLOOKUP($B1256,KEY!$AE$19:$AH$60,2,FALSE),"")</f>
        <v>2024-Q3</v>
      </c>
      <c r="D1256" s="222" t="s">
        <v>149</v>
      </c>
      <c r="E1256" s="218">
        <v>3</v>
      </c>
    </row>
    <row r="1257" spans="1:5" x14ac:dyDescent="0.35">
      <c r="A1257" s="3" t="str">
        <f>IF(D1257="","",(VLOOKUP($D1257,KEY!$B$5:$D$74,3,FALSE)))</f>
        <v>Southern California</v>
      </c>
      <c r="B1257" s="221">
        <v>45505</v>
      </c>
      <c r="C1257" s="221" t="str">
        <f>IFERROR(VLOOKUP($B1257,KEY!$AE$19:$AH$60,2,FALSE),"")</f>
        <v>2024-Q3</v>
      </c>
      <c r="D1257" s="222" t="s">
        <v>150</v>
      </c>
      <c r="E1257" s="218">
        <v>4</v>
      </c>
    </row>
    <row r="1258" spans="1:5" x14ac:dyDescent="0.35">
      <c r="A1258" s="3" t="str">
        <f>IF(D1258="","",(VLOOKUP($D1258,KEY!$B$5:$D$74,3,FALSE)))</f>
        <v>Arizona</v>
      </c>
      <c r="B1258" s="221">
        <v>45505</v>
      </c>
      <c r="C1258" s="221" t="str">
        <f>IFERROR(VLOOKUP($B1258,KEY!$AE$19:$AH$60,2,FALSE),"")</f>
        <v>2024-Q3</v>
      </c>
      <c r="D1258" s="222" t="s">
        <v>151</v>
      </c>
      <c r="E1258" s="218">
        <v>4</v>
      </c>
    </row>
    <row r="1259" spans="1:5" x14ac:dyDescent="0.35">
      <c r="A1259" s="3" t="str">
        <f>IF(D1259="","",(VLOOKUP($D1259,KEY!$B$5:$D$74,3,FALSE)))</f>
        <v>Northern California</v>
      </c>
      <c r="B1259" s="221">
        <v>45505</v>
      </c>
      <c r="C1259" s="221" t="str">
        <f>IFERROR(VLOOKUP($B1259,KEY!$AE$19:$AH$60,2,FALSE),"")</f>
        <v>2024-Q3</v>
      </c>
      <c r="D1259" s="222" t="s">
        <v>152</v>
      </c>
      <c r="E1259" s="218">
        <v>13</v>
      </c>
    </row>
    <row r="1260" spans="1:5" x14ac:dyDescent="0.35">
      <c r="A1260" s="3" t="str">
        <f>IF(D1260="","",(VLOOKUP($D1260,KEY!$B$5:$D$74,3,FALSE)))</f>
        <v>Arizona</v>
      </c>
      <c r="B1260" s="221">
        <v>45505</v>
      </c>
      <c r="C1260" s="221" t="str">
        <f>IFERROR(VLOOKUP($B1260,KEY!$AE$19:$AH$60,2,FALSE),"")</f>
        <v>2024-Q3</v>
      </c>
      <c r="D1260" s="222" t="s">
        <v>153</v>
      </c>
      <c r="E1260" s="218">
        <v>13</v>
      </c>
    </row>
    <row r="1261" spans="1:5" x14ac:dyDescent="0.35">
      <c r="A1261" s="3" t="str">
        <f>IF(D1261="","",(VLOOKUP($D1261,KEY!$B$5:$D$74,3,FALSE)))</f>
        <v>Northern California</v>
      </c>
      <c r="B1261" s="221">
        <v>45505</v>
      </c>
      <c r="C1261" s="221" t="str">
        <f>IFERROR(VLOOKUP($B1261,KEY!$AE$19:$AH$60,2,FALSE),"")</f>
        <v>2024-Q3</v>
      </c>
      <c r="D1261" s="222" t="s">
        <v>154</v>
      </c>
      <c r="E1261" s="218">
        <v>7</v>
      </c>
    </row>
    <row r="1262" spans="1:5" x14ac:dyDescent="0.35">
      <c r="A1262" s="3" t="str">
        <f>IF(D1262="","",(VLOOKUP($D1262,KEY!$B$5:$D$74,3,FALSE)))</f>
        <v>Texas</v>
      </c>
      <c r="B1262" s="221">
        <v>45505</v>
      </c>
      <c r="C1262" s="221" t="str">
        <f>IFERROR(VLOOKUP($B1262,KEY!$AE$19:$AH$60,2,FALSE),"")</f>
        <v>2024-Q3</v>
      </c>
      <c r="D1262" s="222" t="s">
        <v>155</v>
      </c>
      <c r="E1262" s="218">
        <v>22</v>
      </c>
    </row>
    <row r="1263" spans="1:5" x14ac:dyDescent="0.35">
      <c r="A1263" s="3" t="str">
        <f>IF(D1263="","",(VLOOKUP($D1263,KEY!$B$5:$D$74,3,FALSE)))</f>
        <v>Texas</v>
      </c>
      <c r="B1263" s="221">
        <v>45505</v>
      </c>
      <c r="C1263" s="221" t="str">
        <f>IFERROR(VLOOKUP($B1263,KEY!$AE$19:$AH$60,2,FALSE),"")</f>
        <v>2024-Q3</v>
      </c>
      <c r="D1263" s="222" t="s">
        <v>156</v>
      </c>
      <c r="E1263" s="218">
        <v>18</v>
      </c>
    </row>
    <row r="1264" spans="1:5" x14ac:dyDescent="0.35">
      <c r="A1264" s="3" t="str">
        <f>IF(D1264="","",(VLOOKUP($D1264,KEY!$B$5:$D$74,3,FALSE)))</f>
        <v>Texas</v>
      </c>
      <c r="B1264" s="221">
        <v>45505</v>
      </c>
      <c r="C1264" s="221" t="str">
        <f>IFERROR(VLOOKUP($B1264,KEY!$AE$19:$AH$60,2,FALSE),"")</f>
        <v>2024-Q3</v>
      </c>
      <c r="D1264" s="222" t="s">
        <v>157</v>
      </c>
      <c r="E1264" s="218">
        <v>32</v>
      </c>
    </row>
    <row r="1265" spans="1:5" x14ac:dyDescent="0.35">
      <c r="A1265" s="3" t="str">
        <f>IF(D1265="","",(VLOOKUP($D1265,KEY!$B$5:$D$74,3,FALSE)))</f>
        <v>Arizona</v>
      </c>
      <c r="B1265" s="221">
        <v>45505</v>
      </c>
      <c r="C1265" s="221" t="str">
        <f>IFERROR(VLOOKUP($B1265,KEY!$AE$19:$AH$60,2,FALSE),"")</f>
        <v>2024-Q3</v>
      </c>
      <c r="D1265" s="222" t="s">
        <v>158</v>
      </c>
      <c r="E1265" s="218">
        <v>5</v>
      </c>
    </row>
    <row r="1266" spans="1:5" x14ac:dyDescent="0.35">
      <c r="A1266" s="3" t="str">
        <f>IF(D1266="","",(VLOOKUP($D1266,KEY!$B$5:$D$74,3,FALSE)))</f>
        <v>Orange County</v>
      </c>
      <c r="B1266" s="221">
        <v>45505</v>
      </c>
      <c r="C1266" s="221" t="str">
        <f>IFERROR(VLOOKUP($B1266,KEY!$AE$19:$AH$60,2,FALSE),"")</f>
        <v>2024-Q3</v>
      </c>
      <c r="D1266" s="222" t="s">
        <v>159</v>
      </c>
      <c r="E1266" s="218">
        <v>10</v>
      </c>
    </row>
    <row r="1267" spans="1:5" x14ac:dyDescent="0.35">
      <c r="A1267" s="3" t="str">
        <f>IF(D1267="","",(VLOOKUP($D1267,KEY!$B$5:$D$74,3,FALSE)))</f>
        <v>Arizona</v>
      </c>
      <c r="B1267" s="221">
        <v>45505</v>
      </c>
      <c r="C1267" s="221" t="str">
        <f>IFERROR(VLOOKUP($B1267,KEY!$AE$19:$AH$60,2,FALSE),"")</f>
        <v>2024-Q3</v>
      </c>
      <c r="D1267" s="222" t="s">
        <v>160</v>
      </c>
      <c r="E1267" s="218">
        <v>24</v>
      </c>
    </row>
    <row r="1268" spans="1:5" x14ac:dyDescent="0.35">
      <c r="A1268" s="3" t="str">
        <f>IF(D1268="","",(VLOOKUP($D1268,KEY!$B$5:$D$74,3,FALSE)))</f>
        <v>Northern California</v>
      </c>
      <c r="B1268" s="221">
        <v>45505</v>
      </c>
      <c r="C1268" s="221" t="str">
        <f>IFERROR(VLOOKUP($B1268,KEY!$AE$19:$AH$60,2,FALSE),"")</f>
        <v>2024-Q3</v>
      </c>
      <c r="D1268" s="222" t="s">
        <v>161</v>
      </c>
      <c r="E1268" s="218">
        <v>22</v>
      </c>
    </row>
    <row r="1269" spans="1:5" x14ac:dyDescent="0.35">
      <c r="A1269" s="3" t="e">
        <f>IF(D1269="","",(VLOOKUP($D1269,KEY!$B$5:$D$74,3,FALSE)))</f>
        <v>#N/A</v>
      </c>
      <c r="B1269" s="221">
        <v>45505</v>
      </c>
      <c r="C1269" s="221" t="str">
        <f>IFERROR(VLOOKUP($B1269,KEY!$AE$19:$AH$60,2,FALSE),"")</f>
        <v>2024-Q3</v>
      </c>
      <c r="D1269" s="222" t="s">
        <v>162</v>
      </c>
      <c r="E1269" s="218">
        <v>32</v>
      </c>
    </row>
    <row r="1270" spans="1:5" x14ac:dyDescent="0.35">
      <c r="A1270" s="3" t="str">
        <f>IF(D1270="","",(VLOOKUP($D1270,KEY!$B$5:$D$74,3,FALSE)))</f>
        <v>Arizona</v>
      </c>
      <c r="B1270" s="221">
        <v>45505</v>
      </c>
      <c r="C1270" s="221" t="str">
        <f>IFERROR(VLOOKUP($B1270,KEY!$AE$19:$AH$60,2,FALSE),"")</f>
        <v>2024-Q3</v>
      </c>
      <c r="D1270" s="222" t="s">
        <v>163</v>
      </c>
      <c r="E1270" s="218">
        <v>19</v>
      </c>
    </row>
    <row r="1271" spans="1:5" x14ac:dyDescent="0.35">
      <c r="A1271" s="3" t="str">
        <f>IF(D1271="","",(VLOOKUP($D1271,KEY!$B$5:$D$74,3,FALSE)))</f>
        <v>Arizona</v>
      </c>
      <c r="B1271" s="221">
        <v>45505</v>
      </c>
      <c r="C1271" s="221" t="str">
        <f>IFERROR(VLOOKUP($B1271,KEY!$AE$19:$AH$60,2,FALSE),"")</f>
        <v>2024-Q3</v>
      </c>
      <c r="D1271" s="222" t="s">
        <v>164</v>
      </c>
      <c r="E1271" s="218">
        <v>7</v>
      </c>
    </row>
    <row r="1272" spans="1:5" x14ac:dyDescent="0.35">
      <c r="A1272" s="3" t="str">
        <f>IF(D1272="","",(VLOOKUP($D1272,KEY!$B$5:$D$74,3,FALSE)))</f>
        <v>Orange County</v>
      </c>
      <c r="B1272" s="221">
        <v>45505</v>
      </c>
      <c r="C1272" s="221" t="str">
        <f>IFERROR(VLOOKUP($B1272,KEY!$AE$19:$AH$60,2,FALSE),"")</f>
        <v>2024-Q3</v>
      </c>
      <c r="D1272" s="222" t="s">
        <v>165</v>
      </c>
      <c r="E1272" s="218">
        <v>8</v>
      </c>
    </row>
    <row r="1273" spans="1:5" x14ac:dyDescent="0.35">
      <c r="A1273" s="3" t="str">
        <f>IF(D1273="","",(VLOOKUP($D1273,KEY!$B$5:$D$74,3,FALSE)))</f>
        <v>Arizona</v>
      </c>
      <c r="B1273" s="221">
        <v>45536</v>
      </c>
      <c r="C1273" s="221" t="str">
        <f>IFERROR(VLOOKUP($B1273,KEY!$AE$19:$AH$60,2,FALSE),"")</f>
        <v>2024-Q3</v>
      </c>
      <c r="D1273" s="222" t="s">
        <v>111</v>
      </c>
      <c r="E1273" s="218">
        <v>6</v>
      </c>
    </row>
    <row r="1274" spans="1:5" x14ac:dyDescent="0.35">
      <c r="A1274" s="3" t="str">
        <f>IF(D1274="","",(VLOOKUP($D1274,KEY!$B$5:$D$74,3,FALSE)))</f>
        <v>Southern California</v>
      </c>
      <c r="B1274" s="221">
        <v>45536</v>
      </c>
      <c r="C1274" s="221" t="str">
        <f>IFERROR(VLOOKUP($B1274,KEY!$AE$19:$AH$60,2,FALSE),"")</f>
        <v>2024-Q3</v>
      </c>
      <c r="D1274" s="222" t="s">
        <v>112</v>
      </c>
      <c r="E1274" s="218">
        <v>4</v>
      </c>
    </row>
    <row r="1275" spans="1:5" x14ac:dyDescent="0.35">
      <c r="A1275" s="3" t="str">
        <f>IF(D1275="","",(VLOOKUP($D1275,KEY!$B$5:$D$74,3,FALSE)))</f>
        <v>Arizona</v>
      </c>
      <c r="B1275" s="221">
        <v>45536</v>
      </c>
      <c r="C1275" s="221" t="str">
        <f>IFERROR(VLOOKUP($B1275,KEY!$AE$19:$AH$60,2,FALSE),"")</f>
        <v>2024-Q3</v>
      </c>
      <c r="D1275" s="222" t="s">
        <v>113</v>
      </c>
      <c r="E1275" s="218">
        <v>7</v>
      </c>
    </row>
    <row r="1276" spans="1:5" x14ac:dyDescent="0.35">
      <c r="A1276" s="3" t="str">
        <f>IF(D1276="","",(VLOOKUP($D1276,KEY!$B$5:$D$74,3,FALSE)))</f>
        <v>Southern California</v>
      </c>
      <c r="B1276" s="221">
        <v>45536</v>
      </c>
      <c r="C1276" s="221" t="str">
        <f>IFERROR(VLOOKUP($B1276,KEY!$AE$19:$AH$60,2,FALSE),"")</f>
        <v>2024-Q3</v>
      </c>
      <c r="D1276" s="222" t="s">
        <v>114</v>
      </c>
      <c r="E1276" s="218">
        <v>5</v>
      </c>
    </row>
    <row r="1277" spans="1:5" x14ac:dyDescent="0.35">
      <c r="A1277" s="3" t="str">
        <f>IF(D1277="","",(VLOOKUP($D1277,KEY!$B$5:$D$74,3,FALSE)))</f>
        <v>Orange County</v>
      </c>
      <c r="B1277" s="221">
        <v>45536</v>
      </c>
      <c r="C1277" s="221" t="str">
        <f>IFERROR(VLOOKUP($B1277,KEY!$AE$19:$AH$60,2,FALSE),"")</f>
        <v>2024-Q3</v>
      </c>
      <c r="D1277" s="222" t="s">
        <v>115</v>
      </c>
      <c r="E1277" s="218">
        <v>5</v>
      </c>
    </row>
    <row r="1278" spans="1:5" x14ac:dyDescent="0.35">
      <c r="A1278" s="3" t="str">
        <f>IF(D1278="","",(VLOOKUP($D1278,KEY!$B$5:$D$74,3,FALSE)))</f>
        <v>Arizona</v>
      </c>
      <c r="B1278" s="221">
        <v>45536</v>
      </c>
      <c r="C1278" s="221" t="str">
        <f>IFERROR(VLOOKUP($B1278,KEY!$AE$19:$AH$60,2,FALSE),"")</f>
        <v>2024-Q3</v>
      </c>
      <c r="D1278" s="222" t="s">
        <v>116</v>
      </c>
      <c r="E1278" s="218">
        <v>9</v>
      </c>
    </row>
    <row r="1279" spans="1:5" x14ac:dyDescent="0.35">
      <c r="A1279" s="3" t="str">
        <f>IF(D1279="","",(VLOOKUP($D1279,KEY!$B$5:$D$74,3,FALSE)))</f>
        <v>Northern California</v>
      </c>
      <c r="B1279" s="221">
        <v>45536</v>
      </c>
      <c r="C1279" s="221" t="str">
        <f>IFERROR(VLOOKUP($B1279,KEY!$AE$19:$AH$60,2,FALSE),"")</f>
        <v>2024-Q3</v>
      </c>
      <c r="D1279" s="222" t="s">
        <v>118</v>
      </c>
      <c r="E1279" s="218">
        <v>13</v>
      </c>
    </row>
    <row r="1280" spans="1:5" x14ac:dyDescent="0.35">
      <c r="A1280" s="3" t="str">
        <f>IF(D1280="","",(VLOOKUP($D1280,KEY!$B$5:$D$74,3,FALSE)))</f>
        <v>Orange County</v>
      </c>
      <c r="B1280" s="221">
        <v>45536</v>
      </c>
      <c r="C1280" s="221" t="str">
        <f>IFERROR(VLOOKUP($B1280,KEY!$AE$19:$AH$60,2,FALSE),"")</f>
        <v>2024-Q3</v>
      </c>
      <c r="D1280" s="222" t="s">
        <v>117</v>
      </c>
      <c r="E1280" s="218">
        <v>7</v>
      </c>
    </row>
    <row r="1281" spans="1:5" x14ac:dyDescent="0.35">
      <c r="A1281" s="3" t="str">
        <f>IF(D1281="","",(VLOOKUP($D1281,KEY!$B$5:$D$74,3,FALSE)))</f>
        <v>Arizona</v>
      </c>
      <c r="B1281" s="221">
        <v>45536</v>
      </c>
      <c r="C1281" s="221" t="str">
        <f>IFERROR(VLOOKUP($B1281,KEY!$AE$19:$AH$60,2,FALSE),"")</f>
        <v>2024-Q3</v>
      </c>
      <c r="D1281" s="222" t="s">
        <v>119</v>
      </c>
      <c r="E1281" s="218">
        <v>3</v>
      </c>
    </row>
    <row r="1282" spans="1:5" x14ac:dyDescent="0.35">
      <c r="A1282" s="3" t="str">
        <f>IF(D1282="","",(VLOOKUP($D1282,KEY!$B$5:$D$74,3,FALSE)))</f>
        <v>Arizona</v>
      </c>
      <c r="B1282" s="221">
        <v>45536</v>
      </c>
      <c r="C1282" s="221" t="str">
        <f>IFERROR(VLOOKUP($B1282,KEY!$AE$19:$AH$60,2,FALSE),"")</f>
        <v>2024-Q3</v>
      </c>
      <c r="D1282" s="222" t="s">
        <v>120</v>
      </c>
      <c r="E1282" s="218">
        <v>24</v>
      </c>
    </row>
    <row r="1283" spans="1:5" x14ac:dyDescent="0.35">
      <c r="A1283" s="3" t="str">
        <f>IF(D1283="","",(VLOOKUP($D1283,KEY!$B$5:$D$74,3,FALSE)))</f>
        <v>Texas</v>
      </c>
      <c r="B1283" s="221">
        <v>45536</v>
      </c>
      <c r="C1283" s="221" t="str">
        <f>IFERROR(VLOOKUP($B1283,KEY!$AE$19:$AH$60,2,FALSE),"")</f>
        <v>2024-Q3</v>
      </c>
      <c r="D1283" s="222" t="s">
        <v>121</v>
      </c>
      <c r="E1283" s="218">
        <v>23</v>
      </c>
    </row>
    <row r="1284" spans="1:5" x14ac:dyDescent="0.35">
      <c r="A1284" s="3" t="str">
        <f>IF(D1284="","",(VLOOKUP($D1284,KEY!$B$5:$D$74,3,FALSE)))</f>
        <v>Southern California</v>
      </c>
      <c r="B1284" s="221">
        <v>45536</v>
      </c>
      <c r="C1284" s="221" t="str">
        <f>IFERROR(VLOOKUP($B1284,KEY!$AE$19:$AH$60,2,FALSE),"")</f>
        <v>2024-Q3</v>
      </c>
      <c r="D1284" s="222" t="s">
        <v>122</v>
      </c>
      <c r="E1284" s="218">
        <v>8</v>
      </c>
    </row>
    <row r="1285" spans="1:5" x14ac:dyDescent="0.35">
      <c r="A1285" s="3" t="str">
        <f>IF(D1285="","",(VLOOKUP($D1285,KEY!$B$5:$D$74,3,FALSE)))</f>
        <v>Orange County</v>
      </c>
      <c r="B1285" s="221">
        <v>45536</v>
      </c>
      <c r="C1285" s="221" t="str">
        <f>IFERROR(VLOOKUP($B1285,KEY!$AE$19:$AH$60,2,FALSE),"")</f>
        <v>2024-Q3</v>
      </c>
      <c r="D1285" s="222" t="s">
        <v>123</v>
      </c>
      <c r="E1285" s="218">
        <v>19</v>
      </c>
    </row>
    <row r="1286" spans="1:5" x14ac:dyDescent="0.35">
      <c r="A1286" s="3" t="str">
        <f>IF(D1286="","",(VLOOKUP($D1286,KEY!$B$5:$D$74,3,FALSE)))</f>
        <v>Southern California</v>
      </c>
      <c r="B1286" s="221">
        <v>45536</v>
      </c>
      <c r="C1286" s="221" t="str">
        <f>IFERROR(VLOOKUP($B1286,KEY!$AE$19:$AH$60,2,FALSE),"")</f>
        <v>2024-Q3</v>
      </c>
      <c r="D1286" s="222" t="s">
        <v>124</v>
      </c>
      <c r="E1286" s="218">
        <v>23</v>
      </c>
    </row>
    <row r="1287" spans="1:5" x14ac:dyDescent="0.35">
      <c r="A1287" s="3" t="str">
        <f>IF(D1287="","",(VLOOKUP($D1287,KEY!$B$5:$D$74,3,FALSE)))</f>
        <v>Northern California</v>
      </c>
      <c r="B1287" s="221">
        <v>45536</v>
      </c>
      <c r="C1287" s="221" t="str">
        <f>IFERROR(VLOOKUP($B1287,KEY!$AE$19:$AH$60,2,FALSE),"")</f>
        <v>2024-Q3</v>
      </c>
      <c r="D1287" s="222" t="s">
        <v>195</v>
      </c>
      <c r="E1287" s="218">
        <v>6</v>
      </c>
    </row>
    <row r="1288" spans="1:5" x14ac:dyDescent="0.35">
      <c r="A1288" s="3" t="str">
        <f>IF(D1288="","",(VLOOKUP($D1288,KEY!$B$5:$D$74,3,FALSE)))</f>
        <v>Northern California</v>
      </c>
      <c r="B1288" s="221">
        <v>45536</v>
      </c>
      <c r="C1288" s="221" t="str">
        <f>IFERROR(VLOOKUP($B1288,KEY!$AE$19:$AH$60,2,FALSE),"")</f>
        <v>2024-Q3</v>
      </c>
      <c r="D1288" s="222" t="s">
        <v>125</v>
      </c>
      <c r="E1288" s="218">
        <v>19</v>
      </c>
    </row>
    <row r="1289" spans="1:5" x14ac:dyDescent="0.35">
      <c r="A1289" s="3" t="str">
        <f>IF(D1289="","",(VLOOKUP($D1289,KEY!$B$5:$D$74,3,FALSE)))</f>
        <v>Orange County</v>
      </c>
      <c r="B1289" s="221">
        <v>45536</v>
      </c>
      <c r="C1289" s="221" t="str">
        <f>IFERROR(VLOOKUP($B1289,KEY!$AE$19:$AH$60,2,FALSE),"")</f>
        <v>2024-Q3</v>
      </c>
      <c r="D1289" s="222" t="s">
        <v>126</v>
      </c>
      <c r="E1289" s="218">
        <v>28</v>
      </c>
    </row>
    <row r="1290" spans="1:5" x14ac:dyDescent="0.35">
      <c r="A1290" s="3" t="str">
        <f>IF(D1290="","",(VLOOKUP($D1290,KEY!$B$5:$D$74,3,FALSE)))</f>
        <v>Orange County</v>
      </c>
      <c r="B1290" s="221">
        <v>45536</v>
      </c>
      <c r="C1290" s="221" t="str">
        <f>IFERROR(VLOOKUP($B1290,KEY!$AE$19:$AH$60,2,FALSE),"")</f>
        <v>2024-Q3</v>
      </c>
      <c r="D1290" s="222" t="s">
        <v>127</v>
      </c>
      <c r="E1290" s="218">
        <v>5</v>
      </c>
    </row>
    <row r="1291" spans="1:5" x14ac:dyDescent="0.35">
      <c r="A1291" s="3" t="str">
        <f>IF(D1291="","",(VLOOKUP($D1291,KEY!$B$5:$D$74,3,FALSE)))</f>
        <v>Texas</v>
      </c>
      <c r="B1291" s="221">
        <v>45536</v>
      </c>
      <c r="C1291" s="221" t="str">
        <f>IFERROR(VLOOKUP($B1291,KEY!$AE$19:$AH$60,2,FALSE),"")</f>
        <v>2024-Q3</v>
      </c>
      <c r="D1291" s="222" t="s">
        <v>198</v>
      </c>
      <c r="E1291" s="218">
        <v>7</v>
      </c>
    </row>
    <row r="1292" spans="1:5" x14ac:dyDescent="0.35">
      <c r="A1292" s="3" t="str">
        <f>IF(D1292="","",(VLOOKUP($D1292,KEY!$B$5:$D$74,3,FALSE)))</f>
        <v>Texas</v>
      </c>
      <c r="B1292" s="221">
        <v>45536</v>
      </c>
      <c r="C1292" s="221" t="str">
        <f>IFERROR(VLOOKUP($B1292,KEY!$AE$19:$AH$60,2,FALSE),"")</f>
        <v>2024-Q3</v>
      </c>
      <c r="D1292" s="222" t="s">
        <v>128</v>
      </c>
      <c r="E1292" s="218">
        <v>14</v>
      </c>
    </row>
    <row r="1293" spans="1:5" x14ac:dyDescent="0.35">
      <c r="A1293" s="3" t="str">
        <f>IF(D1293="","",(VLOOKUP($D1293,KEY!$B$5:$D$74,3,FALSE)))</f>
        <v>Northern California</v>
      </c>
      <c r="B1293" s="221">
        <v>45536</v>
      </c>
      <c r="C1293" s="221" t="str">
        <f>IFERROR(VLOOKUP($B1293,KEY!$AE$19:$AH$60,2,FALSE),"")</f>
        <v>2024-Q3</v>
      </c>
      <c r="D1293" s="222" t="s">
        <v>129</v>
      </c>
      <c r="E1293" s="218">
        <v>14</v>
      </c>
    </row>
    <row r="1294" spans="1:5" x14ac:dyDescent="0.35">
      <c r="A1294" s="3" t="str">
        <f>IF(D1294="","",(VLOOKUP($D1294,KEY!$B$5:$D$74,3,FALSE)))</f>
        <v>Southern California</v>
      </c>
      <c r="B1294" s="221">
        <v>45536</v>
      </c>
      <c r="C1294" s="221" t="str">
        <f>IFERROR(VLOOKUP($B1294,KEY!$AE$19:$AH$60,2,FALSE),"")</f>
        <v>2024-Q3</v>
      </c>
      <c r="D1294" s="222" t="s">
        <v>130</v>
      </c>
      <c r="E1294" s="218">
        <v>8</v>
      </c>
    </row>
    <row r="1295" spans="1:5" x14ac:dyDescent="0.35">
      <c r="A1295" s="3">
        <f>IF(D1295="","",(VLOOKUP($D1295,KEY!$B$5:$D$74,3,FALSE)))</f>
        <v>0</v>
      </c>
      <c r="B1295" s="221">
        <v>45536</v>
      </c>
      <c r="C1295" s="221" t="str">
        <f>IFERROR(VLOOKUP($B1295,KEY!$AE$19:$AH$60,2,FALSE),"")</f>
        <v>2024-Q3</v>
      </c>
      <c r="D1295" s="222" t="s">
        <v>131</v>
      </c>
      <c r="E1295" s="218">
        <v>14</v>
      </c>
    </row>
    <row r="1296" spans="1:5" x14ac:dyDescent="0.35">
      <c r="A1296" s="3" t="e">
        <f>IF(D1296="","",(VLOOKUP($D1296,KEY!$B$5:$D$74,3,FALSE)))</f>
        <v>#N/A</v>
      </c>
      <c r="B1296" s="221">
        <v>45536</v>
      </c>
      <c r="C1296" s="221" t="str">
        <f>IFERROR(VLOOKUP($B1296,KEY!$AE$19:$AH$60,2,FALSE),"")</f>
        <v>2024-Q3</v>
      </c>
      <c r="D1296" s="222" t="s">
        <v>134</v>
      </c>
      <c r="E1296" s="218">
        <v>3</v>
      </c>
    </row>
    <row r="1297" spans="1:5" x14ac:dyDescent="0.35">
      <c r="A1297" s="3" t="str">
        <f>IF(D1297="","",(VLOOKUP($D1297,KEY!$B$5:$D$74,3,FALSE)))</f>
        <v>Southern California</v>
      </c>
      <c r="B1297" s="221">
        <v>45536</v>
      </c>
      <c r="C1297" s="221" t="str">
        <f>IFERROR(VLOOKUP($B1297,KEY!$AE$19:$AH$60,2,FALSE),"")</f>
        <v>2024-Q3</v>
      </c>
      <c r="D1297" s="222" t="s">
        <v>135</v>
      </c>
      <c r="E1297" s="218">
        <v>17</v>
      </c>
    </row>
    <row r="1298" spans="1:5" x14ac:dyDescent="0.35">
      <c r="A1298" s="3" t="str">
        <f>IF(D1298="","",(VLOOKUP($D1298,KEY!$B$5:$D$74,3,FALSE)))</f>
        <v>Arizona</v>
      </c>
      <c r="B1298" s="221">
        <v>45536</v>
      </c>
      <c r="C1298" s="221" t="str">
        <f>IFERROR(VLOOKUP($B1298,KEY!$AE$19:$AH$60,2,FALSE),"")</f>
        <v>2024-Q3</v>
      </c>
      <c r="D1298" s="222" t="s">
        <v>196</v>
      </c>
      <c r="E1298" s="218">
        <v>6</v>
      </c>
    </row>
    <row r="1299" spans="1:5" x14ac:dyDescent="0.35">
      <c r="A1299" s="3" t="str">
        <f>IF(D1299="","",(VLOOKUP($D1299,KEY!$B$5:$D$74,3,FALSE)))</f>
        <v>Arizona</v>
      </c>
      <c r="B1299" s="221">
        <v>45536</v>
      </c>
      <c r="C1299" s="221" t="str">
        <f>IFERROR(VLOOKUP($B1299,KEY!$AE$19:$AH$60,2,FALSE),"")</f>
        <v>2024-Q3</v>
      </c>
      <c r="D1299" s="222" t="s">
        <v>197</v>
      </c>
      <c r="E1299" s="218">
        <v>10</v>
      </c>
    </row>
    <row r="1300" spans="1:5" x14ac:dyDescent="0.35">
      <c r="A1300" s="3" t="str">
        <f>IF(D1300="","",(VLOOKUP($D1300,KEY!$B$5:$D$74,3,FALSE)))</f>
        <v>Texas</v>
      </c>
      <c r="B1300" s="221">
        <v>45536</v>
      </c>
      <c r="C1300" s="221" t="str">
        <f>IFERROR(VLOOKUP($B1300,KEY!$AE$19:$AH$60,2,FALSE),"")</f>
        <v>2024-Q3</v>
      </c>
      <c r="D1300" s="222" t="s">
        <v>136</v>
      </c>
      <c r="E1300" s="218">
        <v>15</v>
      </c>
    </row>
    <row r="1301" spans="1:5" x14ac:dyDescent="0.35">
      <c r="A1301" s="3" t="str">
        <f>IF(D1301="","",(VLOOKUP($D1301,KEY!$B$5:$D$74,3,FALSE)))</f>
        <v>Arizona</v>
      </c>
      <c r="B1301" s="221">
        <v>45536</v>
      </c>
      <c r="C1301" s="221" t="str">
        <f>IFERROR(VLOOKUP($B1301,KEY!$AE$19:$AH$60,2,FALSE),"")</f>
        <v>2024-Q3</v>
      </c>
      <c r="D1301" s="222" t="s">
        <v>137</v>
      </c>
      <c r="E1301" s="218">
        <v>7</v>
      </c>
    </row>
    <row r="1302" spans="1:5" x14ac:dyDescent="0.35">
      <c r="A1302" s="3" t="str">
        <f>IF(D1302="","",(VLOOKUP($D1302,KEY!$B$5:$D$74,3,FALSE)))</f>
        <v>Texas</v>
      </c>
      <c r="B1302" s="221">
        <v>45536</v>
      </c>
      <c r="C1302" s="221" t="str">
        <f>IFERROR(VLOOKUP($B1302,KEY!$AE$19:$AH$60,2,FALSE),"")</f>
        <v>2024-Q3</v>
      </c>
      <c r="D1302" s="222" t="s">
        <v>138</v>
      </c>
      <c r="E1302" s="218">
        <v>8</v>
      </c>
    </row>
    <row r="1303" spans="1:5" x14ac:dyDescent="0.35">
      <c r="A1303" s="3" t="str">
        <f>IF(D1303="","",(VLOOKUP($D1303,KEY!$B$5:$D$74,3,FALSE)))</f>
        <v>Southern California</v>
      </c>
      <c r="B1303" s="221">
        <v>45536</v>
      </c>
      <c r="C1303" s="221" t="str">
        <f>IFERROR(VLOOKUP($B1303,KEY!$AE$19:$AH$60,2,FALSE),"")</f>
        <v>2024-Q3</v>
      </c>
      <c r="D1303" s="222" t="s">
        <v>139</v>
      </c>
      <c r="E1303" s="218">
        <v>14</v>
      </c>
    </row>
    <row r="1304" spans="1:5" x14ac:dyDescent="0.35">
      <c r="A1304" s="3" t="str">
        <f>IF(D1304="","",(VLOOKUP($D1304,KEY!$B$5:$D$74,3,FALSE)))</f>
        <v>Orange County</v>
      </c>
      <c r="B1304" s="221">
        <v>45536</v>
      </c>
      <c r="C1304" s="221" t="str">
        <f>IFERROR(VLOOKUP($B1304,KEY!$AE$19:$AH$60,2,FALSE),"")</f>
        <v>2024-Q3</v>
      </c>
      <c r="D1304" s="222" t="s">
        <v>140</v>
      </c>
      <c r="E1304" s="218">
        <v>3</v>
      </c>
    </row>
    <row r="1305" spans="1:5" x14ac:dyDescent="0.35">
      <c r="A1305" s="3" t="str">
        <f>IF(D1305="","",(VLOOKUP($D1305,KEY!$B$5:$D$74,3,FALSE)))</f>
        <v>Southern California</v>
      </c>
      <c r="B1305" s="221">
        <v>45536</v>
      </c>
      <c r="C1305" s="221" t="str">
        <f>IFERROR(VLOOKUP($B1305,KEY!$AE$19:$AH$60,2,FALSE),"")</f>
        <v>2024-Q3</v>
      </c>
      <c r="D1305" s="222" t="s">
        <v>142</v>
      </c>
      <c r="E1305" s="218">
        <v>6</v>
      </c>
    </row>
    <row r="1306" spans="1:5" x14ac:dyDescent="0.35">
      <c r="A1306" s="3" t="str">
        <f>IF(D1306="","",(VLOOKUP($D1306,KEY!$B$5:$D$74,3,FALSE)))</f>
        <v>Arizona</v>
      </c>
      <c r="B1306" s="221">
        <v>45536</v>
      </c>
      <c r="C1306" s="221" t="str">
        <f>IFERROR(VLOOKUP($B1306,KEY!$AE$19:$AH$60,2,FALSE),"")</f>
        <v>2024-Q3</v>
      </c>
      <c r="D1306" s="222" t="s">
        <v>143</v>
      </c>
      <c r="E1306" s="218">
        <v>7</v>
      </c>
    </row>
    <row r="1307" spans="1:5" x14ac:dyDescent="0.35">
      <c r="A1307" s="3" t="str">
        <f>IF(D1307="","",(VLOOKUP($D1307,KEY!$B$5:$D$74,3,FALSE)))</f>
        <v>Arizona</v>
      </c>
      <c r="B1307" s="221">
        <v>45536</v>
      </c>
      <c r="C1307" s="221" t="str">
        <f>IFERROR(VLOOKUP($B1307,KEY!$AE$19:$AH$60,2,FALSE),"")</f>
        <v>2024-Q3</v>
      </c>
      <c r="D1307" s="222" t="s">
        <v>144</v>
      </c>
      <c r="E1307" s="218">
        <v>18</v>
      </c>
    </row>
    <row r="1308" spans="1:5" x14ac:dyDescent="0.35">
      <c r="A1308" s="3" t="str">
        <f>IF(D1308="","",(VLOOKUP($D1308,KEY!$B$5:$D$74,3,FALSE)))</f>
        <v>Southern California</v>
      </c>
      <c r="B1308" s="221">
        <v>45536</v>
      </c>
      <c r="C1308" s="221" t="str">
        <f>IFERROR(VLOOKUP($B1308,KEY!$AE$19:$AH$60,2,FALSE),"")</f>
        <v>2024-Q3</v>
      </c>
      <c r="D1308" s="222" t="s">
        <v>145</v>
      </c>
      <c r="E1308" s="218">
        <v>15</v>
      </c>
    </row>
    <row r="1309" spans="1:5" x14ac:dyDescent="0.35">
      <c r="A1309" s="3" t="str">
        <f>IF(D1309="","",(VLOOKUP($D1309,KEY!$B$5:$D$74,3,FALSE)))</f>
        <v>Arizona</v>
      </c>
      <c r="B1309" s="221">
        <v>45536</v>
      </c>
      <c r="C1309" s="221" t="str">
        <f>IFERROR(VLOOKUP($B1309,KEY!$AE$19:$AH$60,2,FALSE),"")</f>
        <v>2024-Q3</v>
      </c>
      <c r="D1309" s="222" t="s">
        <v>146</v>
      </c>
      <c r="E1309" s="218">
        <v>4.5</v>
      </c>
    </row>
    <row r="1310" spans="1:5" x14ac:dyDescent="0.35">
      <c r="A1310" s="3" t="str">
        <f>IF(D1310="","",(VLOOKUP($D1310,KEY!$B$5:$D$74,3,FALSE)))</f>
        <v>Texas</v>
      </c>
      <c r="B1310" s="221">
        <v>45536</v>
      </c>
      <c r="C1310" s="221" t="str">
        <f>IFERROR(VLOOKUP($B1310,KEY!$AE$19:$AH$60,2,FALSE),"")</f>
        <v>2024-Q3</v>
      </c>
      <c r="D1310" s="222" t="s">
        <v>147</v>
      </c>
      <c r="E1310" s="218">
        <v>3</v>
      </c>
    </row>
    <row r="1311" spans="1:5" x14ac:dyDescent="0.35">
      <c r="A1311" s="3" t="str">
        <f>IF(D1311="","",(VLOOKUP($D1311,KEY!$B$5:$D$74,3,FALSE)))</f>
        <v>Northern California</v>
      </c>
      <c r="B1311" s="221">
        <v>45536</v>
      </c>
      <c r="C1311" s="221" t="str">
        <f>IFERROR(VLOOKUP($B1311,KEY!$AE$19:$AH$60,2,FALSE),"")</f>
        <v>2024-Q3</v>
      </c>
      <c r="D1311" s="222" t="s">
        <v>148</v>
      </c>
      <c r="E1311" s="218">
        <v>3</v>
      </c>
    </row>
    <row r="1312" spans="1:5" x14ac:dyDescent="0.35">
      <c r="A1312" s="3" t="str">
        <f>IF(D1312="","",(VLOOKUP($D1312,KEY!$B$5:$D$74,3,FALSE)))</f>
        <v>Orange County</v>
      </c>
      <c r="B1312" s="221">
        <v>45536</v>
      </c>
      <c r="C1312" s="221" t="str">
        <f>IFERROR(VLOOKUP($B1312,KEY!$AE$19:$AH$60,2,FALSE),"")</f>
        <v>2024-Q3</v>
      </c>
      <c r="D1312" s="222" t="s">
        <v>149</v>
      </c>
      <c r="E1312" s="218">
        <v>3</v>
      </c>
    </row>
    <row r="1313" spans="1:5" x14ac:dyDescent="0.35">
      <c r="A1313" s="3" t="str">
        <f>IF(D1313="","",(VLOOKUP($D1313,KEY!$B$5:$D$74,3,FALSE)))</f>
        <v>Southern California</v>
      </c>
      <c r="B1313" s="221">
        <v>45536</v>
      </c>
      <c r="C1313" s="221" t="str">
        <f>IFERROR(VLOOKUP($B1313,KEY!$AE$19:$AH$60,2,FALSE),"")</f>
        <v>2024-Q3</v>
      </c>
      <c r="D1313" s="222" t="s">
        <v>150</v>
      </c>
      <c r="E1313" s="218">
        <v>3</v>
      </c>
    </row>
    <row r="1314" spans="1:5" x14ac:dyDescent="0.35">
      <c r="A1314" s="3" t="str">
        <f>IF(D1314="","",(VLOOKUP($D1314,KEY!$B$5:$D$74,3,FALSE)))</f>
        <v>Arizona</v>
      </c>
      <c r="B1314" s="221">
        <v>45536</v>
      </c>
      <c r="C1314" s="221" t="str">
        <f>IFERROR(VLOOKUP($B1314,KEY!$AE$19:$AH$60,2,FALSE),"")</f>
        <v>2024-Q3</v>
      </c>
      <c r="D1314" s="222" t="s">
        <v>151</v>
      </c>
      <c r="E1314" s="218">
        <v>4</v>
      </c>
    </row>
    <row r="1315" spans="1:5" x14ac:dyDescent="0.35">
      <c r="A1315" s="3" t="str">
        <f>IF(D1315="","",(VLOOKUP($D1315,KEY!$B$5:$D$74,3,FALSE)))</f>
        <v>Northern California</v>
      </c>
      <c r="B1315" s="221">
        <v>45536</v>
      </c>
      <c r="C1315" s="221" t="str">
        <f>IFERROR(VLOOKUP($B1315,KEY!$AE$19:$AH$60,2,FALSE),"")</f>
        <v>2024-Q3</v>
      </c>
      <c r="D1315" s="222" t="s">
        <v>152</v>
      </c>
      <c r="E1315" s="218">
        <v>13</v>
      </c>
    </row>
    <row r="1316" spans="1:5" x14ac:dyDescent="0.35">
      <c r="A1316" s="3" t="str">
        <f>IF(D1316="","",(VLOOKUP($D1316,KEY!$B$5:$D$74,3,FALSE)))</f>
        <v>Arizona</v>
      </c>
      <c r="B1316" s="221">
        <v>45536</v>
      </c>
      <c r="C1316" s="221" t="str">
        <f>IFERROR(VLOOKUP($B1316,KEY!$AE$19:$AH$60,2,FALSE),"")</f>
        <v>2024-Q3</v>
      </c>
      <c r="D1316" s="222" t="s">
        <v>153</v>
      </c>
      <c r="E1316" s="218">
        <v>13</v>
      </c>
    </row>
    <row r="1317" spans="1:5" x14ac:dyDescent="0.35">
      <c r="A1317" s="3" t="str">
        <f>IF(D1317="","",(VLOOKUP($D1317,KEY!$B$5:$D$74,3,FALSE)))</f>
        <v>Northern California</v>
      </c>
      <c r="B1317" s="221">
        <v>45536</v>
      </c>
      <c r="C1317" s="221" t="str">
        <f>IFERROR(VLOOKUP($B1317,KEY!$AE$19:$AH$60,2,FALSE),"")</f>
        <v>2024-Q3</v>
      </c>
      <c r="D1317" s="222" t="s">
        <v>154</v>
      </c>
      <c r="E1317" s="218">
        <v>7</v>
      </c>
    </row>
    <row r="1318" spans="1:5" x14ac:dyDescent="0.35">
      <c r="A1318" s="3" t="str">
        <f>IF(D1318="","",(VLOOKUP($D1318,KEY!$B$5:$D$74,3,FALSE)))</f>
        <v>Texas</v>
      </c>
      <c r="B1318" s="221">
        <v>45536</v>
      </c>
      <c r="C1318" s="221" t="str">
        <f>IFERROR(VLOOKUP($B1318,KEY!$AE$19:$AH$60,2,FALSE),"")</f>
        <v>2024-Q3</v>
      </c>
      <c r="D1318" s="222" t="s">
        <v>155</v>
      </c>
      <c r="E1318" s="218">
        <v>24</v>
      </c>
    </row>
    <row r="1319" spans="1:5" x14ac:dyDescent="0.35">
      <c r="A1319" s="3" t="str">
        <f>IF(D1319="","",(VLOOKUP($D1319,KEY!$B$5:$D$74,3,FALSE)))</f>
        <v>Texas</v>
      </c>
      <c r="B1319" s="221">
        <v>45536</v>
      </c>
      <c r="C1319" s="221" t="str">
        <f>IFERROR(VLOOKUP($B1319,KEY!$AE$19:$AH$60,2,FALSE),"")</f>
        <v>2024-Q3</v>
      </c>
      <c r="D1319" s="222" t="s">
        <v>156</v>
      </c>
      <c r="E1319" s="218">
        <v>17</v>
      </c>
    </row>
    <row r="1320" spans="1:5" x14ac:dyDescent="0.35">
      <c r="A1320" s="3" t="str">
        <f>IF(D1320="","",(VLOOKUP($D1320,KEY!$B$5:$D$74,3,FALSE)))</f>
        <v>Texas</v>
      </c>
      <c r="B1320" s="221">
        <v>45536</v>
      </c>
      <c r="C1320" s="221" t="str">
        <f>IFERROR(VLOOKUP($B1320,KEY!$AE$19:$AH$60,2,FALSE),"")</f>
        <v>2024-Q3</v>
      </c>
      <c r="D1320" s="222" t="s">
        <v>157</v>
      </c>
      <c r="E1320" s="218">
        <v>32</v>
      </c>
    </row>
    <row r="1321" spans="1:5" x14ac:dyDescent="0.35">
      <c r="A1321" s="3" t="str">
        <f>IF(D1321="","",(VLOOKUP($D1321,KEY!$B$5:$D$74,3,FALSE)))</f>
        <v>Arizona</v>
      </c>
      <c r="B1321" s="221">
        <v>45536</v>
      </c>
      <c r="C1321" s="221" t="str">
        <f>IFERROR(VLOOKUP($B1321,KEY!$AE$19:$AH$60,2,FALSE),"")</f>
        <v>2024-Q3</v>
      </c>
      <c r="D1321" s="222" t="s">
        <v>158</v>
      </c>
      <c r="E1321" s="218">
        <v>6</v>
      </c>
    </row>
    <row r="1322" spans="1:5" x14ac:dyDescent="0.35">
      <c r="A1322" s="3" t="str">
        <f>IF(D1322="","",(VLOOKUP($D1322,KEY!$B$5:$D$74,3,FALSE)))</f>
        <v>Orange County</v>
      </c>
      <c r="B1322" s="221">
        <v>45536</v>
      </c>
      <c r="C1322" s="221" t="str">
        <f>IFERROR(VLOOKUP($B1322,KEY!$AE$19:$AH$60,2,FALSE),"")</f>
        <v>2024-Q3</v>
      </c>
      <c r="D1322" s="222" t="s">
        <v>159</v>
      </c>
      <c r="E1322" s="218">
        <v>10</v>
      </c>
    </row>
    <row r="1323" spans="1:5" x14ac:dyDescent="0.35">
      <c r="A1323" s="3" t="str">
        <f>IF(D1323="","",(VLOOKUP($D1323,KEY!$B$5:$D$74,3,FALSE)))</f>
        <v>Arizona</v>
      </c>
      <c r="B1323" s="221">
        <v>45536</v>
      </c>
      <c r="C1323" s="221" t="str">
        <f>IFERROR(VLOOKUP($B1323,KEY!$AE$19:$AH$60,2,FALSE),"")</f>
        <v>2024-Q3</v>
      </c>
      <c r="D1323" s="222" t="s">
        <v>160</v>
      </c>
      <c r="E1323" s="218">
        <v>25</v>
      </c>
    </row>
    <row r="1324" spans="1:5" x14ac:dyDescent="0.35">
      <c r="A1324" s="3" t="str">
        <f>IF(D1324="","",(VLOOKUP($D1324,KEY!$B$5:$D$74,3,FALSE)))</f>
        <v>Northern California</v>
      </c>
      <c r="B1324" s="221">
        <v>45536</v>
      </c>
      <c r="C1324" s="221" t="str">
        <f>IFERROR(VLOOKUP($B1324,KEY!$AE$19:$AH$60,2,FALSE),"")</f>
        <v>2024-Q3</v>
      </c>
      <c r="D1324" s="222" t="s">
        <v>161</v>
      </c>
      <c r="E1324" s="218">
        <v>22</v>
      </c>
    </row>
    <row r="1325" spans="1:5" x14ac:dyDescent="0.35">
      <c r="A1325" s="3" t="e">
        <f>IF(D1325="","",(VLOOKUP($D1325,KEY!$B$5:$D$74,3,FALSE)))</f>
        <v>#N/A</v>
      </c>
      <c r="B1325" s="221">
        <v>45536</v>
      </c>
      <c r="C1325" s="221" t="str">
        <f>IFERROR(VLOOKUP($B1325,KEY!$AE$19:$AH$60,2,FALSE),"")</f>
        <v>2024-Q3</v>
      </c>
      <c r="D1325" s="222" t="s">
        <v>162</v>
      </c>
      <c r="E1325" s="218">
        <v>32</v>
      </c>
    </row>
    <row r="1326" spans="1:5" x14ac:dyDescent="0.35">
      <c r="A1326" s="3" t="str">
        <f>IF(D1326="","",(VLOOKUP($D1326,KEY!$B$5:$D$74,3,FALSE)))</f>
        <v>Arizona</v>
      </c>
      <c r="B1326" s="221">
        <v>45536</v>
      </c>
      <c r="C1326" s="221" t="str">
        <f>IFERROR(VLOOKUP($B1326,KEY!$AE$19:$AH$60,2,FALSE),"")</f>
        <v>2024-Q3</v>
      </c>
      <c r="D1326" s="222" t="s">
        <v>163</v>
      </c>
      <c r="E1326" s="218">
        <v>19</v>
      </c>
    </row>
    <row r="1327" spans="1:5" x14ac:dyDescent="0.35">
      <c r="A1327" s="3" t="str">
        <f>IF(D1327="","",(VLOOKUP($D1327,KEY!$B$5:$D$74,3,FALSE)))</f>
        <v>Arizona</v>
      </c>
      <c r="B1327" s="221">
        <v>45536</v>
      </c>
      <c r="C1327" s="221" t="str">
        <f>IFERROR(VLOOKUP($B1327,KEY!$AE$19:$AH$60,2,FALSE),"")</f>
        <v>2024-Q3</v>
      </c>
      <c r="D1327" s="222" t="s">
        <v>164</v>
      </c>
      <c r="E1327" s="218">
        <v>6</v>
      </c>
    </row>
    <row r="1328" spans="1:5" x14ac:dyDescent="0.35">
      <c r="A1328" s="3" t="str">
        <f>IF(D1328="","",(VLOOKUP($D1328,KEY!$B$5:$D$74,3,FALSE)))</f>
        <v>Orange County</v>
      </c>
      <c r="B1328" s="221">
        <v>45536</v>
      </c>
      <c r="C1328" s="221" t="str">
        <f>IFERROR(VLOOKUP($B1328,KEY!$AE$19:$AH$60,2,FALSE),"")</f>
        <v>2024-Q3</v>
      </c>
      <c r="D1328" s="222" t="s">
        <v>165</v>
      </c>
      <c r="E1328" s="218">
        <v>8</v>
      </c>
    </row>
    <row r="1329" spans="1:5" x14ac:dyDescent="0.35">
      <c r="A1329" s="3" t="str">
        <f>IF(D1329="","",(VLOOKUP($D1329,KEY!$B$5:$D$74,3,FALSE)))</f>
        <v>Arizona</v>
      </c>
      <c r="B1329" s="221">
        <v>45566</v>
      </c>
      <c r="C1329" s="221" t="str">
        <f>IFERROR(VLOOKUP($B1329,KEY!$AE$19:$AH$60,2,FALSE),"")</f>
        <v>2024-Q4</v>
      </c>
      <c r="D1329" s="222" t="s">
        <v>111</v>
      </c>
      <c r="E1329" s="218">
        <v>6</v>
      </c>
    </row>
    <row r="1330" spans="1:5" x14ac:dyDescent="0.35">
      <c r="A1330" s="3" t="str">
        <f>IF(D1330="","",(VLOOKUP($D1330,KEY!$B$5:$D$74,3,FALSE)))</f>
        <v>Southern California</v>
      </c>
      <c r="B1330" s="221">
        <v>45566</v>
      </c>
      <c r="C1330" s="221" t="str">
        <f>IFERROR(VLOOKUP($B1330,KEY!$AE$19:$AH$60,2,FALSE),"")</f>
        <v>2024-Q4</v>
      </c>
      <c r="D1330" s="222" t="s">
        <v>112</v>
      </c>
      <c r="E1330" s="218">
        <v>4</v>
      </c>
    </row>
    <row r="1331" spans="1:5" x14ac:dyDescent="0.35">
      <c r="A1331" s="3" t="str">
        <f>IF(D1331="","",(VLOOKUP($D1331,KEY!$B$5:$D$74,3,FALSE)))</f>
        <v>Arizona</v>
      </c>
      <c r="B1331" s="221">
        <v>45566</v>
      </c>
      <c r="C1331" s="221" t="str">
        <f>IFERROR(VLOOKUP($B1331,KEY!$AE$19:$AH$60,2,FALSE),"")</f>
        <v>2024-Q4</v>
      </c>
      <c r="D1331" s="222" t="s">
        <v>113</v>
      </c>
      <c r="E1331" s="218">
        <v>7</v>
      </c>
    </row>
    <row r="1332" spans="1:5" x14ac:dyDescent="0.35">
      <c r="A1332" s="3" t="str">
        <f>IF(D1332="","",(VLOOKUP($D1332,KEY!$B$5:$D$74,3,FALSE)))</f>
        <v>Southern California</v>
      </c>
      <c r="B1332" s="221">
        <v>45566</v>
      </c>
      <c r="C1332" s="221" t="str">
        <f>IFERROR(VLOOKUP($B1332,KEY!$AE$19:$AH$60,2,FALSE),"")</f>
        <v>2024-Q4</v>
      </c>
      <c r="D1332" s="222" t="s">
        <v>114</v>
      </c>
      <c r="E1332" s="218">
        <v>5</v>
      </c>
    </row>
    <row r="1333" spans="1:5" x14ac:dyDescent="0.35">
      <c r="A1333" s="3" t="str">
        <f>IF(D1333="","",(VLOOKUP($D1333,KEY!$B$5:$D$74,3,FALSE)))</f>
        <v>Orange County</v>
      </c>
      <c r="B1333" s="221">
        <v>45566</v>
      </c>
      <c r="C1333" s="221" t="str">
        <f>IFERROR(VLOOKUP($B1333,KEY!$AE$19:$AH$60,2,FALSE),"")</f>
        <v>2024-Q4</v>
      </c>
      <c r="D1333" s="222" t="s">
        <v>115</v>
      </c>
      <c r="E1333" s="218">
        <v>5</v>
      </c>
    </row>
    <row r="1334" spans="1:5" x14ac:dyDescent="0.35">
      <c r="A1334" s="3" t="str">
        <f>IF(D1334="","",(VLOOKUP($D1334,KEY!$B$5:$D$74,3,FALSE)))</f>
        <v>Arizona</v>
      </c>
      <c r="B1334" s="221">
        <v>45566</v>
      </c>
      <c r="C1334" s="221" t="str">
        <f>IFERROR(VLOOKUP($B1334,KEY!$AE$19:$AH$60,2,FALSE),"")</f>
        <v>2024-Q4</v>
      </c>
      <c r="D1334" s="222" t="s">
        <v>116</v>
      </c>
      <c r="E1334" s="218">
        <v>9</v>
      </c>
    </row>
    <row r="1335" spans="1:5" x14ac:dyDescent="0.35">
      <c r="A1335" s="3" t="str">
        <f>IF(D1335="","",(VLOOKUP($D1335,KEY!$B$5:$D$74,3,FALSE)))</f>
        <v>Northern California</v>
      </c>
      <c r="B1335" s="221">
        <v>45566</v>
      </c>
      <c r="C1335" s="221" t="str">
        <f>IFERROR(VLOOKUP($B1335,KEY!$AE$19:$AH$60,2,FALSE),"")</f>
        <v>2024-Q4</v>
      </c>
      <c r="D1335" s="222" t="s">
        <v>118</v>
      </c>
      <c r="E1335" s="218">
        <v>13</v>
      </c>
    </row>
    <row r="1336" spans="1:5" x14ac:dyDescent="0.35">
      <c r="A1336" s="3" t="str">
        <f>IF(D1336="","",(VLOOKUP($D1336,KEY!$B$5:$D$74,3,FALSE)))</f>
        <v>Orange County</v>
      </c>
      <c r="B1336" s="221">
        <v>45566</v>
      </c>
      <c r="C1336" s="221" t="str">
        <f>IFERROR(VLOOKUP($B1336,KEY!$AE$19:$AH$60,2,FALSE),"")</f>
        <v>2024-Q4</v>
      </c>
      <c r="D1336" s="222" t="s">
        <v>117</v>
      </c>
      <c r="E1336" s="218">
        <v>6</v>
      </c>
    </row>
    <row r="1337" spans="1:5" x14ac:dyDescent="0.35">
      <c r="A1337" s="3" t="str">
        <f>IF(D1337="","",(VLOOKUP($D1337,KEY!$B$5:$D$74,3,FALSE)))</f>
        <v>Arizona</v>
      </c>
      <c r="B1337" s="221">
        <v>45566</v>
      </c>
      <c r="C1337" s="221" t="str">
        <f>IFERROR(VLOOKUP($B1337,KEY!$AE$19:$AH$60,2,FALSE),"")</f>
        <v>2024-Q4</v>
      </c>
      <c r="D1337" s="222" t="s">
        <v>119</v>
      </c>
      <c r="E1337" s="218">
        <v>3</v>
      </c>
    </row>
    <row r="1338" spans="1:5" x14ac:dyDescent="0.35">
      <c r="A1338" s="3" t="str">
        <f>IF(D1338="","",(VLOOKUP($D1338,KEY!$B$5:$D$74,3,FALSE)))</f>
        <v>Arizona</v>
      </c>
      <c r="B1338" s="221">
        <v>45566</v>
      </c>
      <c r="C1338" s="221" t="str">
        <f>IFERROR(VLOOKUP($B1338,KEY!$AE$19:$AH$60,2,FALSE),"")</f>
        <v>2024-Q4</v>
      </c>
      <c r="D1338" s="222" t="s">
        <v>120</v>
      </c>
      <c r="E1338" s="218">
        <v>24</v>
      </c>
    </row>
    <row r="1339" spans="1:5" x14ac:dyDescent="0.35">
      <c r="A1339" s="3" t="str">
        <f>IF(D1339="","",(VLOOKUP($D1339,KEY!$B$5:$D$74,3,FALSE)))</f>
        <v>Texas</v>
      </c>
      <c r="B1339" s="221">
        <v>45566</v>
      </c>
      <c r="C1339" s="221" t="str">
        <f>IFERROR(VLOOKUP($B1339,KEY!$AE$19:$AH$60,2,FALSE),"")</f>
        <v>2024-Q4</v>
      </c>
      <c r="D1339" s="222" t="s">
        <v>121</v>
      </c>
      <c r="E1339" s="218">
        <v>23</v>
      </c>
    </row>
    <row r="1340" spans="1:5" x14ac:dyDescent="0.35">
      <c r="A1340" s="3" t="str">
        <f>IF(D1340="","",(VLOOKUP($D1340,KEY!$B$5:$D$74,3,FALSE)))</f>
        <v>Southern California</v>
      </c>
      <c r="B1340" s="221">
        <v>45566</v>
      </c>
      <c r="C1340" s="221" t="str">
        <f>IFERROR(VLOOKUP($B1340,KEY!$AE$19:$AH$60,2,FALSE),"")</f>
        <v>2024-Q4</v>
      </c>
      <c r="D1340" s="222" t="s">
        <v>122</v>
      </c>
      <c r="E1340" s="218">
        <v>8</v>
      </c>
    </row>
    <row r="1341" spans="1:5" x14ac:dyDescent="0.35">
      <c r="A1341" s="3" t="str">
        <f>IF(D1341="","",(VLOOKUP($D1341,KEY!$B$5:$D$74,3,FALSE)))</f>
        <v>Orange County</v>
      </c>
      <c r="B1341" s="221">
        <v>45566</v>
      </c>
      <c r="C1341" s="221" t="str">
        <f>IFERROR(VLOOKUP($B1341,KEY!$AE$19:$AH$60,2,FALSE),"")</f>
        <v>2024-Q4</v>
      </c>
      <c r="D1341" s="222" t="s">
        <v>123</v>
      </c>
      <c r="E1341" s="218">
        <v>18</v>
      </c>
    </row>
    <row r="1342" spans="1:5" x14ac:dyDescent="0.35">
      <c r="A1342" s="3" t="str">
        <f>IF(D1342="","",(VLOOKUP($D1342,KEY!$B$5:$D$74,3,FALSE)))</f>
        <v>Southern California</v>
      </c>
      <c r="B1342" s="221">
        <v>45566</v>
      </c>
      <c r="C1342" s="221" t="str">
        <f>IFERROR(VLOOKUP($B1342,KEY!$AE$19:$AH$60,2,FALSE),"")</f>
        <v>2024-Q4</v>
      </c>
      <c r="D1342" s="222" t="s">
        <v>124</v>
      </c>
      <c r="E1342" s="218">
        <v>21</v>
      </c>
    </row>
    <row r="1343" spans="1:5" x14ac:dyDescent="0.35">
      <c r="A1343" s="3" t="str">
        <f>IF(D1343="","",(VLOOKUP($D1343,KEY!$B$5:$D$74,3,FALSE)))</f>
        <v>Northern California</v>
      </c>
      <c r="B1343" s="221">
        <v>45566</v>
      </c>
      <c r="C1343" s="221" t="str">
        <f>IFERROR(VLOOKUP($B1343,KEY!$AE$19:$AH$60,2,FALSE),"")</f>
        <v>2024-Q4</v>
      </c>
      <c r="D1343" s="222" t="s">
        <v>195</v>
      </c>
      <c r="E1343" s="218">
        <v>6</v>
      </c>
    </row>
    <row r="1344" spans="1:5" x14ac:dyDescent="0.35">
      <c r="A1344" s="3" t="str">
        <f>IF(D1344="","",(VLOOKUP($D1344,KEY!$B$5:$D$74,3,FALSE)))</f>
        <v>Northern California</v>
      </c>
      <c r="B1344" s="221">
        <v>45566</v>
      </c>
      <c r="C1344" s="221" t="str">
        <f>IFERROR(VLOOKUP($B1344,KEY!$AE$19:$AH$60,2,FALSE),"")</f>
        <v>2024-Q4</v>
      </c>
      <c r="D1344" s="222" t="s">
        <v>125</v>
      </c>
      <c r="E1344" s="218">
        <v>19</v>
      </c>
    </row>
    <row r="1345" spans="1:5" x14ac:dyDescent="0.35">
      <c r="A1345" s="3" t="str">
        <f>IF(D1345="","",(VLOOKUP($D1345,KEY!$B$5:$D$74,3,FALSE)))</f>
        <v>Orange County</v>
      </c>
      <c r="B1345" s="221">
        <v>45566</v>
      </c>
      <c r="C1345" s="221" t="str">
        <f>IFERROR(VLOOKUP($B1345,KEY!$AE$19:$AH$60,2,FALSE),"")</f>
        <v>2024-Q4</v>
      </c>
      <c r="D1345" s="222" t="s">
        <v>126</v>
      </c>
      <c r="E1345" s="218">
        <v>26</v>
      </c>
    </row>
    <row r="1346" spans="1:5" x14ac:dyDescent="0.35">
      <c r="A1346" s="3" t="str">
        <f>IF(D1346="","",(VLOOKUP($D1346,KEY!$B$5:$D$74,3,FALSE)))</f>
        <v>Orange County</v>
      </c>
      <c r="B1346" s="221">
        <v>45566</v>
      </c>
      <c r="C1346" s="221" t="str">
        <f>IFERROR(VLOOKUP($B1346,KEY!$AE$19:$AH$60,2,FALSE),"")</f>
        <v>2024-Q4</v>
      </c>
      <c r="D1346" s="222" t="s">
        <v>127</v>
      </c>
      <c r="E1346" s="218">
        <v>4</v>
      </c>
    </row>
    <row r="1347" spans="1:5" x14ac:dyDescent="0.35">
      <c r="A1347" s="3" t="str">
        <f>IF(D1347="","",(VLOOKUP($D1347,KEY!$B$5:$D$74,3,FALSE)))</f>
        <v>Texas</v>
      </c>
      <c r="B1347" s="221">
        <v>45566</v>
      </c>
      <c r="C1347" s="221" t="str">
        <f>IFERROR(VLOOKUP($B1347,KEY!$AE$19:$AH$60,2,FALSE),"")</f>
        <v>2024-Q4</v>
      </c>
      <c r="D1347" s="222" t="s">
        <v>198</v>
      </c>
      <c r="E1347" s="218">
        <v>7</v>
      </c>
    </row>
    <row r="1348" spans="1:5" x14ac:dyDescent="0.35">
      <c r="A1348" s="3" t="str">
        <f>IF(D1348="","",(VLOOKUP($D1348,KEY!$B$5:$D$74,3,FALSE)))</f>
        <v>Texas</v>
      </c>
      <c r="B1348" s="221">
        <v>45566</v>
      </c>
      <c r="C1348" s="221" t="str">
        <f>IFERROR(VLOOKUP($B1348,KEY!$AE$19:$AH$60,2,FALSE),"")</f>
        <v>2024-Q4</v>
      </c>
      <c r="D1348" s="222" t="s">
        <v>128</v>
      </c>
      <c r="E1348" s="218">
        <v>13</v>
      </c>
    </row>
    <row r="1349" spans="1:5" x14ac:dyDescent="0.35">
      <c r="A1349" s="3" t="str">
        <f>IF(D1349="","",(VLOOKUP($D1349,KEY!$B$5:$D$74,3,FALSE)))</f>
        <v>Northern California</v>
      </c>
      <c r="B1349" s="221">
        <v>45566</v>
      </c>
      <c r="C1349" s="221" t="str">
        <f>IFERROR(VLOOKUP($B1349,KEY!$AE$19:$AH$60,2,FALSE),"")</f>
        <v>2024-Q4</v>
      </c>
      <c r="D1349" s="222" t="s">
        <v>129</v>
      </c>
      <c r="E1349" s="218">
        <v>16</v>
      </c>
    </row>
    <row r="1350" spans="1:5" x14ac:dyDescent="0.35">
      <c r="A1350" s="3" t="str">
        <f>IF(D1350="","",(VLOOKUP($D1350,KEY!$B$5:$D$74,3,FALSE)))</f>
        <v>Southern California</v>
      </c>
      <c r="B1350" s="221">
        <v>45566</v>
      </c>
      <c r="C1350" s="221" t="str">
        <f>IFERROR(VLOOKUP($B1350,KEY!$AE$19:$AH$60,2,FALSE),"")</f>
        <v>2024-Q4</v>
      </c>
      <c r="D1350" s="222" t="s">
        <v>130</v>
      </c>
      <c r="E1350" s="218">
        <v>9</v>
      </c>
    </row>
    <row r="1351" spans="1:5" x14ac:dyDescent="0.35">
      <c r="A1351" s="3">
        <f>IF(D1351="","",(VLOOKUP($D1351,KEY!$B$5:$D$74,3,FALSE)))</f>
        <v>0</v>
      </c>
      <c r="B1351" s="221">
        <v>45566</v>
      </c>
      <c r="C1351" s="221" t="str">
        <f>IFERROR(VLOOKUP($B1351,KEY!$AE$19:$AH$60,2,FALSE),"")</f>
        <v>2024-Q4</v>
      </c>
      <c r="D1351" s="222" t="s">
        <v>131</v>
      </c>
      <c r="E1351" s="218">
        <v>14</v>
      </c>
    </row>
    <row r="1352" spans="1:5" x14ac:dyDescent="0.35">
      <c r="A1352" s="3" t="e">
        <f>IF(D1352="","",(VLOOKUP($D1352,KEY!$B$5:$D$74,3,FALSE)))</f>
        <v>#N/A</v>
      </c>
      <c r="B1352" s="221">
        <v>45566</v>
      </c>
      <c r="C1352" s="221" t="str">
        <f>IFERROR(VLOOKUP($B1352,KEY!$AE$19:$AH$60,2,FALSE),"")</f>
        <v>2024-Q4</v>
      </c>
      <c r="D1352" s="222" t="s">
        <v>134</v>
      </c>
      <c r="E1352" s="218">
        <v>4</v>
      </c>
    </row>
    <row r="1353" spans="1:5" x14ac:dyDescent="0.35">
      <c r="A1353" s="3" t="str">
        <f>IF(D1353="","",(VLOOKUP($D1353,KEY!$B$5:$D$74,3,FALSE)))</f>
        <v>Southern California</v>
      </c>
      <c r="B1353" s="221">
        <v>45566</v>
      </c>
      <c r="C1353" s="221" t="str">
        <f>IFERROR(VLOOKUP($B1353,KEY!$AE$19:$AH$60,2,FALSE),"")</f>
        <v>2024-Q4</v>
      </c>
      <c r="D1353" s="222" t="s">
        <v>135</v>
      </c>
      <c r="E1353" s="218">
        <v>16</v>
      </c>
    </row>
    <row r="1354" spans="1:5" x14ac:dyDescent="0.35">
      <c r="A1354" s="3" t="str">
        <f>IF(D1354="","",(VLOOKUP($D1354,KEY!$B$5:$D$74,3,FALSE)))</f>
        <v>Arizona</v>
      </c>
      <c r="B1354" s="221">
        <v>45566</v>
      </c>
      <c r="C1354" s="221" t="str">
        <f>IFERROR(VLOOKUP($B1354,KEY!$AE$19:$AH$60,2,FALSE),"")</f>
        <v>2024-Q4</v>
      </c>
      <c r="D1354" s="222" t="s">
        <v>204</v>
      </c>
      <c r="E1354" s="218">
        <v>1</v>
      </c>
    </row>
    <row r="1355" spans="1:5" x14ac:dyDescent="0.35">
      <c r="A1355" s="3" t="str">
        <f>IF(D1355="","",(VLOOKUP($D1355,KEY!$B$5:$D$74,3,FALSE)))</f>
        <v>Arizona</v>
      </c>
      <c r="B1355" s="221">
        <v>45566</v>
      </c>
      <c r="C1355" s="221" t="str">
        <f>IFERROR(VLOOKUP($B1355,KEY!$AE$19:$AH$60,2,FALSE),"")</f>
        <v>2024-Q4</v>
      </c>
      <c r="D1355" s="222" t="s">
        <v>196</v>
      </c>
      <c r="E1355" s="218">
        <v>5</v>
      </c>
    </row>
    <row r="1356" spans="1:5" x14ac:dyDescent="0.35">
      <c r="A1356" s="3" t="str">
        <f>IF(D1356="","",(VLOOKUP($D1356,KEY!$B$5:$D$74,3,FALSE)))</f>
        <v>Arizona</v>
      </c>
      <c r="B1356" s="221">
        <v>45566</v>
      </c>
      <c r="C1356" s="221" t="str">
        <f>IFERROR(VLOOKUP($B1356,KEY!$AE$19:$AH$60,2,FALSE),"")</f>
        <v>2024-Q4</v>
      </c>
      <c r="D1356" s="222" t="s">
        <v>197</v>
      </c>
      <c r="E1356" s="218">
        <v>10</v>
      </c>
    </row>
    <row r="1357" spans="1:5" x14ac:dyDescent="0.35">
      <c r="A1357" s="3" t="str">
        <f>IF(D1357="","",(VLOOKUP($D1357,KEY!$B$5:$D$74,3,FALSE)))</f>
        <v>Texas</v>
      </c>
      <c r="B1357" s="221">
        <v>45566</v>
      </c>
      <c r="C1357" s="221" t="str">
        <f>IFERROR(VLOOKUP($B1357,KEY!$AE$19:$AH$60,2,FALSE),"")</f>
        <v>2024-Q4</v>
      </c>
      <c r="D1357" s="222" t="s">
        <v>136</v>
      </c>
      <c r="E1357" s="218">
        <v>16</v>
      </c>
    </row>
    <row r="1358" spans="1:5" x14ac:dyDescent="0.35">
      <c r="A1358" s="3" t="str">
        <f>IF(D1358="","",(VLOOKUP($D1358,KEY!$B$5:$D$74,3,FALSE)))</f>
        <v>Arizona</v>
      </c>
      <c r="B1358" s="221">
        <v>45566</v>
      </c>
      <c r="C1358" s="221" t="str">
        <f>IFERROR(VLOOKUP($B1358,KEY!$AE$19:$AH$60,2,FALSE),"")</f>
        <v>2024-Q4</v>
      </c>
      <c r="D1358" s="222" t="s">
        <v>137</v>
      </c>
      <c r="E1358" s="218">
        <v>7</v>
      </c>
    </row>
    <row r="1359" spans="1:5" x14ac:dyDescent="0.35">
      <c r="A1359" s="3" t="str">
        <f>IF(D1359="","",(VLOOKUP($D1359,KEY!$B$5:$D$74,3,FALSE)))</f>
        <v>Texas</v>
      </c>
      <c r="B1359" s="221">
        <v>45566</v>
      </c>
      <c r="C1359" s="221" t="str">
        <f>IFERROR(VLOOKUP($B1359,KEY!$AE$19:$AH$60,2,FALSE),"")</f>
        <v>2024-Q4</v>
      </c>
      <c r="D1359" s="222" t="s">
        <v>138</v>
      </c>
      <c r="E1359" s="218">
        <v>9</v>
      </c>
    </row>
    <row r="1360" spans="1:5" x14ac:dyDescent="0.35">
      <c r="A1360" s="3" t="str">
        <f>IF(D1360="","",(VLOOKUP($D1360,KEY!$B$5:$D$74,3,FALSE)))</f>
        <v>Southern California</v>
      </c>
      <c r="B1360" s="221">
        <v>45566</v>
      </c>
      <c r="C1360" s="221" t="str">
        <f>IFERROR(VLOOKUP($B1360,KEY!$AE$19:$AH$60,2,FALSE),"")</f>
        <v>2024-Q4</v>
      </c>
      <c r="D1360" s="222" t="s">
        <v>139</v>
      </c>
      <c r="E1360" s="218">
        <v>14</v>
      </c>
    </row>
    <row r="1361" spans="1:5" x14ac:dyDescent="0.35">
      <c r="A1361" s="3" t="str">
        <f>IF(D1361="","",(VLOOKUP($D1361,KEY!$B$5:$D$74,3,FALSE)))</f>
        <v>Orange County</v>
      </c>
      <c r="B1361" s="221">
        <v>45566</v>
      </c>
      <c r="C1361" s="221" t="str">
        <f>IFERROR(VLOOKUP($B1361,KEY!$AE$19:$AH$60,2,FALSE),"")</f>
        <v>2024-Q4</v>
      </c>
      <c r="D1361" s="222" t="s">
        <v>140</v>
      </c>
      <c r="E1361" s="218">
        <v>3</v>
      </c>
    </row>
    <row r="1362" spans="1:5" x14ac:dyDescent="0.35">
      <c r="A1362" s="3" t="str">
        <f>IF(D1362="","",(VLOOKUP($D1362,KEY!$B$5:$D$74,3,FALSE)))</f>
        <v>Southern California</v>
      </c>
      <c r="B1362" s="221">
        <v>45566</v>
      </c>
      <c r="C1362" s="221" t="str">
        <f>IFERROR(VLOOKUP($B1362,KEY!$AE$19:$AH$60,2,FALSE),"")</f>
        <v>2024-Q4</v>
      </c>
      <c r="D1362" s="222" t="s">
        <v>142</v>
      </c>
      <c r="E1362" s="218">
        <v>6</v>
      </c>
    </row>
    <row r="1363" spans="1:5" x14ac:dyDescent="0.35">
      <c r="A1363" s="3" t="str">
        <f>IF(D1363="","",(VLOOKUP($D1363,KEY!$B$5:$D$74,3,FALSE)))</f>
        <v>Arizona</v>
      </c>
      <c r="B1363" s="221">
        <v>45566</v>
      </c>
      <c r="C1363" s="221" t="str">
        <f>IFERROR(VLOOKUP($B1363,KEY!$AE$19:$AH$60,2,FALSE),"")</f>
        <v>2024-Q4</v>
      </c>
      <c r="D1363" s="222" t="s">
        <v>143</v>
      </c>
      <c r="E1363" s="218">
        <v>7</v>
      </c>
    </row>
    <row r="1364" spans="1:5" x14ac:dyDescent="0.35">
      <c r="A1364" s="3" t="str">
        <f>IF(D1364="","",(VLOOKUP($D1364,KEY!$B$5:$D$74,3,FALSE)))</f>
        <v>Arizona</v>
      </c>
      <c r="B1364" s="221">
        <v>45566</v>
      </c>
      <c r="C1364" s="221" t="str">
        <f>IFERROR(VLOOKUP($B1364,KEY!$AE$19:$AH$60,2,FALSE),"")</f>
        <v>2024-Q4</v>
      </c>
      <c r="D1364" s="222" t="s">
        <v>144</v>
      </c>
      <c r="E1364" s="218">
        <v>18</v>
      </c>
    </row>
    <row r="1365" spans="1:5" x14ac:dyDescent="0.35">
      <c r="A1365" s="3" t="str">
        <f>IF(D1365="","",(VLOOKUP($D1365,KEY!$B$5:$D$74,3,FALSE)))</f>
        <v>Southern California</v>
      </c>
      <c r="B1365" s="221">
        <v>45566</v>
      </c>
      <c r="C1365" s="221" t="str">
        <f>IFERROR(VLOOKUP($B1365,KEY!$AE$19:$AH$60,2,FALSE),"")</f>
        <v>2024-Q4</v>
      </c>
      <c r="D1365" s="222" t="s">
        <v>145</v>
      </c>
      <c r="E1365" s="218">
        <v>14</v>
      </c>
    </row>
    <row r="1366" spans="1:5" x14ac:dyDescent="0.35">
      <c r="A1366" s="3" t="str">
        <f>IF(D1366="","",(VLOOKUP($D1366,KEY!$B$5:$D$74,3,FALSE)))</f>
        <v>Arizona</v>
      </c>
      <c r="B1366" s="221">
        <v>45566</v>
      </c>
      <c r="C1366" s="221" t="str">
        <f>IFERROR(VLOOKUP($B1366,KEY!$AE$19:$AH$60,2,FALSE),"")</f>
        <v>2024-Q4</v>
      </c>
      <c r="D1366" s="222" t="s">
        <v>146</v>
      </c>
      <c r="E1366" s="218">
        <v>4</v>
      </c>
    </row>
    <row r="1367" spans="1:5" x14ac:dyDescent="0.35">
      <c r="A1367" s="3" t="str">
        <f>IF(D1367="","",(VLOOKUP($D1367,KEY!$B$5:$D$74,3,FALSE)))</f>
        <v>Texas</v>
      </c>
      <c r="B1367" s="221">
        <v>45566</v>
      </c>
      <c r="C1367" s="221" t="str">
        <f>IFERROR(VLOOKUP($B1367,KEY!$AE$19:$AH$60,2,FALSE),"")</f>
        <v>2024-Q4</v>
      </c>
      <c r="D1367" s="222" t="s">
        <v>147</v>
      </c>
      <c r="E1367" s="218">
        <v>3</v>
      </c>
    </row>
    <row r="1368" spans="1:5" x14ac:dyDescent="0.35">
      <c r="A1368" s="3" t="str">
        <f>IF(D1368="","",(VLOOKUP($D1368,KEY!$B$5:$D$74,3,FALSE)))</f>
        <v>Northern California</v>
      </c>
      <c r="B1368" s="221">
        <v>45566</v>
      </c>
      <c r="C1368" s="221" t="str">
        <f>IFERROR(VLOOKUP($B1368,KEY!$AE$19:$AH$60,2,FALSE),"")</f>
        <v>2024-Q4</v>
      </c>
      <c r="D1368" s="222" t="s">
        <v>148</v>
      </c>
      <c r="E1368" s="218">
        <v>2</v>
      </c>
    </row>
    <row r="1369" spans="1:5" x14ac:dyDescent="0.35">
      <c r="A1369" s="3" t="str">
        <f>IF(D1369="","",(VLOOKUP($D1369,KEY!$B$5:$D$74,3,FALSE)))</f>
        <v>Orange County</v>
      </c>
      <c r="B1369" s="221">
        <v>45566</v>
      </c>
      <c r="C1369" s="221" t="str">
        <f>IFERROR(VLOOKUP($B1369,KEY!$AE$19:$AH$60,2,FALSE),"")</f>
        <v>2024-Q4</v>
      </c>
      <c r="D1369" s="222" t="s">
        <v>149</v>
      </c>
      <c r="E1369" s="218">
        <v>3</v>
      </c>
    </row>
    <row r="1370" spans="1:5" x14ac:dyDescent="0.35">
      <c r="A1370" s="3" t="str">
        <f>IF(D1370="","",(VLOOKUP($D1370,KEY!$B$5:$D$74,3,FALSE)))</f>
        <v>Southern California</v>
      </c>
      <c r="B1370" s="221">
        <v>45566</v>
      </c>
      <c r="C1370" s="221" t="str">
        <f>IFERROR(VLOOKUP($B1370,KEY!$AE$19:$AH$60,2,FALSE),"")</f>
        <v>2024-Q4</v>
      </c>
      <c r="D1370" s="222" t="s">
        <v>150</v>
      </c>
      <c r="E1370" s="218">
        <v>3</v>
      </c>
    </row>
    <row r="1371" spans="1:5" x14ac:dyDescent="0.35">
      <c r="A1371" s="3" t="str">
        <f>IF(D1371="","",(VLOOKUP($D1371,KEY!$B$5:$D$74,3,FALSE)))</f>
        <v>Arizona</v>
      </c>
      <c r="B1371" s="221">
        <v>45566</v>
      </c>
      <c r="C1371" s="221" t="str">
        <f>IFERROR(VLOOKUP($B1371,KEY!$AE$19:$AH$60,2,FALSE),"")</f>
        <v>2024-Q4</v>
      </c>
      <c r="D1371" s="222" t="s">
        <v>151</v>
      </c>
      <c r="E1371" s="218">
        <v>4</v>
      </c>
    </row>
    <row r="1372" spans="1:5" x14ac:dyDescent="0.35">
      <c r="A1372" s="3" t="str">
        <f>IF(D1372="","",(VLOOKUP($D1372,KEY!$B$5:$D$74,3,FALSE)))</f>
        <v>Northern California</v>
      </c>
      <c r="B1372" s="221">
        <v>45566</v>
      </c>
      <c r="C1372" s="221" t="str">
        <f>IFERROR(VLOOKUP($B1372,KEY!$AE$19:$AH$60,2,FALSE),"")</f>
        <v>2024-Q4</v>
      </c>
      <c r="D1372" s="222" t="s">
        <v>152</v>
      </c>
      <c r="E1372" s="218">
        <v>13</v>
      </c>
    </row>
    <row r="1373" spans="1:5" x14ac:dyDescent="0.35">
      <c r="A1373" s="3" t="str">
        <f>IF(D1373="","",(VLOOKUP($D1373,KEY!$B$5:$D$74,3,FALSE)))</f>
        <v>Arizona</v>
      </c>
      <c r="B1373" s="221">
        <v>45566</v>
      </c>
      <c r="C1373" s="221" t="str">
        <f>IFERROR(VLOOKUP($B1373,KEY!$AE$19:$AH$60,2,FALSE),"")</f>
        <v>2024-Q4</v>
      </c>
      <c r="D1373" s="222" t="s">
        <v>153</v>
      </c>
      <c r="E1373" s="218">
        <v>13</v>
      </c>
    </row>
    <row r="1374" spans="1:5" x14ac:dyDescent="0.35">
      <c r="A1374" s="3" t="str">
        <f>IF(D1374="","",(VLOOKUP($D1374,KEY!$B$5:$D$74,3,FALSE)))</f>
        <v>Northern California</v>
      </c>
      <c r="B1374" s="221">
        <v>45566</v>
      </c>
      <c r="C1374" s="221" t="str">
        <f>IFERROR(VLOOKUP($B1374,KEY!$AE$19:$AH$60,2,FALSE),"")</f>
        <v>2024-Q4</v>
      </c>
      <c r="D1374" s="222" t="s">
        <v>154</v>
      </c>
      <c r="E1374" s="218">
        <v>7</v>
      </c>
    </row>
    <row r="1375" spans="1:5" x14ac:dyDescent="0.35">
      <c r="A1375" s="3" t="str">
        <f>IF(D1375="","",(VLOOKUP($D1375,KEY!$B$5:$D$74,3,FALSE)))</f>
        <v>Texas</v>
      </c>
      <c r="B1375" s="221">
        <v>45566</v>
      </c>
      <c r="C1375" s="221" t="str">
        <f>IFERROR(VLOOKUP($B1375,KEY!$AE$19:$AH$60,2,FALSE),"")</f>
        <v>2024-Q4</v>
      </c>
      <c r="D1375" s="222" t="s">
        <v>155</v>
      </c>
      <c r="E1375" s="218">
        <v>24</v>
      </c>
    </row>
    <row r="1376" spans="1:5" x14ac:dyDescent="0.35">
      <c r="A1376" s="3" t="str">
        <f>IF(D1376="","",(VLOOKUP($D1376,KEY!$B$5:$D$74,3,FALSE)))</f>
        <v>Texas</v>
      </c>
      <c r="B1376" s="221">
        <v>45566</v>
      </c>
      <c r="C1376" s="221" t="str">
        <f>IFERROR(VLOOKUP($B1376,KEY!$AE$19:$AH$60,2,FALSE),"")</f>
        <v>2024-Q4</v>
      </c>
      <c r="D1376" s="222" t="s">
        <v>156</v>
      </c>
      <c r="E1376" s="218">
        <v>17</v>
      </c>
    </row>
    <row r="1377" spans="1:5" x14ac:dyDescent="0.35">
      <c r="A1377" s="3" t="str">
        <f>IF(D1377="","",(VLOOKUP($D1377,KEY!$B$5:$D$74,3,FALSE)))</f>
        <v>Texas</v>
      </c>
      <c r="B1377" s="221">
        <v>45566</v>
      </c>
      <c r="C1377" s="221" t="str">
        <f>IFERROR(VLOOKUP($B1377,KEY!$AE$19:$AH$60,2,FALSE),"")</f>
        <v>2024-Q4</v>
      </c>
      <c r="D1377" s="222" t="s">
        <v>157</v>
      </c>
      <c r="E1377" s="218">
        <v>33</v>
      </c>
    </row>
    <row r="1378" spans="1:5" x14ac:dyDescent="0.35">
      <c r="A1378" s="3" t="str">
        <f>IF(D1378="","",(VLOOKUP($D1378,KEY!$B$5:$D$74,3,FALSE)))</f>
        <v>Arizona</v>
      </c>
      <c r="B1378" s="221">
        <v>45566</v>
      </c>
      <c r="C1378" s="221" t="str">
        <f>IFERROR(VLOOKUP($B1378,KEY!$AE$19:$AH$60,2,FALSE),"")</f>
        <v>2024-Q4</v>
      </c>
      <c r="D1378" s="222" t="s">
        <v>158</v>
      </c>
      <c r="E1378" s="218">
        <v>6</v>
      </c>
    </row>
    <row r="1379" spans="1:5" x14ac:dyDescent="0.35">
      <c r="A1379" s="3" t="str">
        <f>IF(D1379="","",(VLOOKUP($D1379,KEY!$B$5:$D$74,3,FALSE)))</f>
        <v>Orange County</v>
      </c>
      <c r="B1379" s="221">
        <v>45566</v>
      </c>
      <c r="C1379" s="221" t="str">
        <f>IFERROR(VLOOKUP($B1379,KEY!$AE$19:$AH$60,2,FALSE),"")</f>
        <v>2024-Q4</v>
      </c>
      <c r="D1379" s="222" t="s">
        <v>159</v>
      </c>
      <c r="E1379" s="218">
        <v>9</v>
      </c>
    </row>
    <row r="1380" spans="1:5" x14ac:dyDescent="0.35">
      <c r="A1380" s="3" t="str">
        <f>IF(D1380="","",(VLOOKUP($D1380,KEY!$B$5:$D$74,3,FALSE)))</f>
        <v>Arizona</v>
      </c>
      <c r="B1380" s="221">
        <v>45566</v>
      </c>
      <c r="C1380" s="221" t="str">
        <f>IFERROR(VLOOKUP($B1380,KEY!$AE$19:$AH$60,2,FALSE),"")</f>
        <v>2024-Q4</v>
      </c>
      <c r="D1380" s="222" t="s">
        <v>160</v>
      </c>
      <c r="E1380" s="218">
        <v>24</v>
      </c>
    </row>
    <row r="1381" spans="1:5" x14ac:dyDescent="0.35">
      <c r="A1381" s="3" t="str">
        <f>IF(D1381="","",(VLOOKUP($D1381,KEY!$B$5:$D$74,3,FALSE)))</f>
        <v>Northern California</v>
      </c>
      <c r="B1381" s="221">
        <v>45566</v>
      </c>
      <c r="C1381" s="221" t="str">
        <f>IFERROR(VLOOKUP($B1381,KEY!$AE$19:$AH$60,2,FALSE),"")</f>
        <v>2024-Q4</v>
      </c>
      <c r="D1381" s="222" t="s">
        <v>161</v>
      </c>
      <c r="E1381" s="218">
        <v>21</v>
      </c>
    </row>
    <row r="1382" spans="1:5" x14ac:dyDescent="0.35">
      <c r="A1382" s="3" t="e">
        <f>IF(D1382="","",(VLOOKUP($D1382,KEY!$B$5:$D$74,3,FALSE)))</f>
        <v>#N/A</v>
      </c>
      <c r="B1382" s="221">
        <v>45566</v>
      </c>
      <c r="C1382" s="221" t="str">
        <f>IFERROR(VLOOKUP($B1382,KEY!$AE$19:$AH$60,2,FALSE),"")</f>
        <v>2024-Q4</v>
      </c>
      <c r="D1382" s="222" t="s">
        <v>162</v>
      </c>
      <c r="E1382" s="218">
        <v>30</v>
      </c>
    </row>
    <row r="1383" spans="1:5" x14ac:dyDescent="0.35">
      <c r="A1383" s="3" t="str">
        <f>IF(D1383="","",(VLOOKUP($D1383,KEY!$B$5:$D$74,3,FALSE)))</f>
        <v>Arizona</v>
      </c>
      <c r="B1383" s="221">
        <v>45566</v>
      </c>
      <c r="C1383" s="221" t="str">
        <f>IFERROR(VLOOKUP($B1383,KEY!$AE$19:$AH$60,2,FALSE),"")</f>
        <v>2024-Q4</v>
      </c>
      <c r="D1383" s="222" t="s">
        <v>163</v>
      </c>
      <c r="E1383" s="218">
        <v>18</v>
      </c>
    </row>
    <row r="1384" spans="1:5" x14ac:dyDescent="0.35">
      <c r="A1384" s="3" t="str">
        <f>IF(D1384="","",(VLOOKUP($D1384,KEY!$B$5:$D$74,3,FALSE)))</f>
        <v>Arizona</v>
      </c>
      <c r="B1384" s="221">
        <v>45566</v>
      </c>
      <c r="C1384" s="221" t="str">
        <f>IFERROR(VLOOKUP($B1384,KEY!$AE$19:$AH$60,2,FALSE),"")</f>
        <v>2024-Q4</v>
      </c>
      <c r="D1384" s="222" t="s">
        <v>164</v>
      </c>
      <c r="E1384" s="218">
        <v>6</v>
      </c>
    </row>
    <row r="1385" spans="1:5" x14ac:dyDescent="0.35">
      <c r="A1385" s="3" t="str">
        <f>IF(D1385="","",(VLOOKUP($D1385,KEY!$B$5:$D$74,3,FALSE)))</f>
        <v>Orange County</v>
      </c>
      <c r="B1385" s="221">
        <v>45566</v>
      </c>
      <c r="C1385" s="221" t="str">
        <f>IFERROR(VLOOKUP($B1385,KEY!$AE$19:$AH$60,2,FALSE),"")</f>
        <v>2024-Q4</v>
      </c>
      <c r="D1385" s="222" t="s">
        <v>165</v>
      </c>
      <c r="E1385" s="218">
        <v>8</v>
      </c>
    </row>
    <row r="1386" spans="1:5" x14ac:dyDescent="0.35">
      <c r="A1386" s="3" t="str">
        <f>IF(D1386="","",(VLOOKUP($D1386,KEY!$B$5:$D$74,3,FALSE)))</f>
        <v>Michigan &amp; Minnesota</v>
      </c>
      <c r="B1386" s="221">
        <v>45566</v>
      </c>
      <c r="C1386" s="221" t="str">
        <f>IFERROR(VLOOKUP($B1386,KEY!$AE$19:$AH$60,2,FALSE),"")</f>
        <v>2024-Q4</v>
      </c>
      <c r="D1386" s="222" t="s">
        <v>206</v>
      </c>
      <c r="E1386" s="218">
        <v>15</v>
      </c>
    </row>
    <row r="1387" spans="1:5" x14ac:dyDescent="0.35">
      <c r="A1387" s="3" t="str">
        <f>IF(D1387="","",(VLOOKUP($D1387,KEY!$B$5:$D$74,3,FALSE)))</f>
        <v>Michigan &amp; Minnesota</v>
      </c>
      <c r="B1387" s="221">
        <v>45566</v>
      </c>
      <c r="C1387" s="221" t="str">
        <f>IFERROR(VLOOKUP($B1387,KEY!$AE$19:$AH$60,2,FALSE),"")</f>
        <v>2024-Q4</v>
      </c>
      <c r="D1387" s="222" t="s">
        <v>207</v>
      </c>
      <c r="E1387" s="218">
        <v>5</v>
      </c>
    </row>
    <row r="1388" spans="1:5" x14ac:dyDescent="0.35">
      <c r="A1388" s="3" t="str">
        <f>IF(D1388="","",(VLOOKUP($D1388,KEY!$B$5:$D$74,3,FALSE)))</f>
        <v>Wisconsin</v>
      </c>
      <c r="B1388" s="221">
        <v>45566</v>
      </c>
      <c r="C1388" s="221" t="str">
        <f>IFERROR(VLOOKUP($B1388,KEY!$AE$19:$AH$60,2,FALSE),"")</f>
        <v>2024-Q4</v>
      </c>
      <c r="D1388" s="222" t="s">
        <v>201</v>
      </c>
      <c r="E1388" s="218">
        <v>13</v>
      </c>
    </row>
    <row r="1389" spans="1:5" x14ac:dyDescent="0.35">
      <c r="A1389" s="3" t="str">
        <f>IF(D1389="","",(VLOOKUP($D1389,KEY!$B$5:$D$74,3,FALSE)))</f>
        <v>Arizona</v>
      </c>
      <c r="B1389" s="221">
        <f>DATE(YEAR(B1388+31),MONTH(B1388+31),1)</f>
        <v>45597</v>
      </c>
      <c r="C1389" s="221" t="str">
        <f>IFERROR(VLOOKUP($B1389,KEY!$AE$19:$AH$60,2,FALSE),"")</f>
        <v>2024-Q4</v>
      </c>
      <c r="D1389" s="222" t="s">
        <v>111</v>
      </c>
      <c r="E1389" s="218">
        <v>7</v>
      </c>
    </row>
    <row r="1390" spans="1:5" x14ac:dyDescent="0.35">
      <c r="A1390" s="3" t="str">
        <f>IF(D1390="","",(VLOOKUP($D1390,KEY!$B$5:$D$74,3,FALSE)))</f>
        <v>Southern California</v>
      </c>
      <c r="B1390" s="221">
        <f t="shared" ref="B1390:B1453" si="0">B1389</f>
        <v>45597</v>
      </c>
      <c r="C1390" s="221" t="str">
        <f>IFERROR(VLOOKUP($B1390,KEY!$AE$19:$AH$60,2,FALSE),"")</f>
        <v>2024-Q4</v>
      </c>
      <c r="D1390" s="222" t="s">
        <v>112</v>
      </c>
      <c r="E1390" s="218">
        <v>4</v>
      </c>
    </row>
    <row r="1391" spans="1:5" x14ac:dyDescent="0.35">
      <c r="A1391" s="3" t="str">
        <f>IF(D1391="","",(VLOOKUP($D1391,KEY!$B$5:$D$74,3,FALSE)))</f>
        <v>Arizona</v>
      </c>
      <c r="B1391" s="221">
        <f t="shared" si="0"/>
        <v>45597</v>
      </c>
      <c r="C1391" s="221" t="str">
        <f>IFERROR(VLOOKUP($B1391,KEY!$AE$19:$AH$60,2,FALSE),"")</f>
        <v>2024-Q4</v>
      </c>
      <c r="D1391" s="222" t="s">
        <v>113</v>
      </c>
      <c r="E1391" s="218">
        <v>7</v>
      </c>
    </row>
    <row r="1392" spans="1:5" x14ac:dyDescent="0.35">
      <c r="A1392" s="3" t="str">
        <f>IF(D1392="","",(VLOOKUP($D1392,KEY!$B$5:$D$74,3,FALSE)))</f>
        <v>Southern California</v>
      </c>
      <c r="B1392" s="221">
        <f t="shared" si="0"/>
        <v>45597</v>
      </c>
      <c r="C1392" s="221" t="str">
        <f>IFERROR(VLOOKUP($B1392,KEY!$AE$19:$AH$60,2,FALSE),"")</f>
        <v>2024-Q4</v>
      </c>
      <c r="D1392" s="222" t="s">
        <v>114</v>
      </c>
      <c r="E1392" s="218">
        <v>5</v>
      </c>
    </row>
    <row r="1393" spans="1:5" x14ac:dyDescent="0.35">
      <c r="A1393" s="3" t="str">
        <f>IF(D1393="","",(VLOOKUP($D1393,KEY!$B$5:$D$74,3,FALSE)))</f>
        <v>Orange County</v>
      </c>
      <c r="B1393" s="221">
        <f t="shared" si="0"/>
        <v>45597</v>
      </c>
      <c r="C1393" s="221" t="str">
        <f>IFERROR(VLOOKUP($B1393,KEY!$AE$19:$AH$60,2,FALSE),"")</f>
        <v>2024-Q4</v>
      </c>
      <c r="D1393" s="222" t="s">
        <v>115</v>
      </c>
      <c r="E1393" s="218">
        <v>5</v>
      </c>
    </row>
    <row r="1394" spans="1:5" x14ac:dyDescent="0.35">
      <c r="A1394" s="3" t="str">
        <f>IF(D1394="","",(VLOOKUP($D1394,KEY!$B$5:$D$74,3,FALSE)))</f>
        <v>Arizona</v>
      </c>
      <c r="B1394" s="221">
        <f t="shared" si="0"/>
        <v>45597</v>
      </c>
      <c r="C1394" s="221" t="str">
        <f>IFERROR(VLOOKUP($B1394,KEY!$AE$19:$AH$60,2,FALSE),"")</f>
        <v>2024-Q4</v>
      </c>
      <c r="D1394" s="222" t="s">
        <v>116</v>
      </c>
      <c r="E1394" s="218">
        <v>10</v>
      </c>
    </row>
    <row r="1395" spans="1:5" x14ac:dyDescent="0.35">
      <c r="A1395" s="3" t="str">
        <f>IF(D1395="","",(VLOOKUP($D1395,KEY!$B$5:$D$74,3,FALSE)))</f>
        <v>Northern California</v>
      </c>
      <c r="B1395" s="221">
        <f t="shared" si="0"/>
        <v>45597</v>
      </c>
      <c r="C1395" s="221" t="str">
        <f>IFERROR(VLOOKUP($B1395,KEY!$AE$19:$AH$60,2,FALSE),"")</f>
        <v>2024-Q4</v>
      </c>
      <c r="D1395" s="222" t="s">
        <v>118</v>
      </c>
      <c r="E1395" s="218">
        <v>12</v>
      </c>
    </row>
    <row r="1396" spans="1:5" x14ac:dyDescent="0.35">
      <c r="A1396" s="3" t="str">
        <f>IF(D1396="","",(VLOOKUP($D1396,KEY!$B$5:$D$74,3,FALSE)))</f>
        <v>Orange County</v>
      </c>
      <c r="B1396" s="221">
        <f t="shared" si="0"/>
        <v>45597</v>
      </c>
      <c r="C1396" s="221" t="str">
        <f>IFERROR(VLOOKUP($B1396,KEY!$AE$19:$AH$60,2,FALSE),"")</f>
        <v>2024-Q4</v>
      </c>
      <c r="D1396" s="222" t="s">
        <v>117</v>
      </c>
      <c r="E1396" s="218">
        <v>6</v>
      </c>
    </row>
    <row r="1397" spans="1:5" x14ac:dyDescent="0.35">
      <c r="A1397" s="3" t="str">
        <f>IF(D1397="","",(VLOOKUP($D1397,KEY!$B$5:$D$74,3,FALSE)))</f>
        <v>Arizona</v>
      </c>
      <c r="B1397" s="221">
        <f t="shared" si="0"/>
        <v>45597</v>
      </c>
      <c r="C1397" s="221" t="str">
        <f>IFERROR(VLOOKUP($B1397,KEY!$AE$19:$AH$60,2,FALSE),"")</f>
        <v>2024-Q4</v>
      </c>
      <c r="D1397" s="222" t="s">
        <v>119</v>
      </c>
      <c r="E1397" s="218">
        <v>4</v>
      </c>
    </row>
    <row r="1398" spans="1:5" x14ac:dyDescent="0.35">
      <c r="A1398" s="3" t="str">
        <f>IF(D1398="","",(VLOOKUP($D1398,KEY!$B$5:$D$74,3,FALSE)))</f>
        <v>Michigan &amp; Minnesota</v>
      </c>
      <c r="B1398" s="221">
        <f t="shared" si="0"/>
        <v>45597</v>
      </c>
      <c r="C1398" s="221" t="str">
        <f>IFERROR(VLOOKUP($B1398,KEY!$AE$19:$AH$60,2,FALSE),"")</f>
        <v>2024-Q4</v>
      </c>
      <c r="D1398" s="222" t="s">
        <v>199</v>
      </c>
      <c r="E1398" s="218"/>
    </row>
    <row r="1399" spans="1:5" x14ac:dyDescent="0.35">
      <c r="A1399" s="3" t="str">
        <f>IF(D1399="","",(VLOOKUP($D1399,KEY!$B$5:$D$74,3,FALSE)))</f>
        <v>Arizona</v>
      </c>
      <c r="B1399" s="221">
        <f t="shared" si="0"/>
        <v>45597</v>
      </c>
      <c r="C1399" s="221" t="str">
        <f>IFERROR(VLOOKUP($B1399,KEY!$AE$19:$AH$60,2,FALSE),"")</f>
        <v>2024-Q4</v>
      </c>
      <c r="D1399" s="222" t="s">
        <v>120</v>
      </c>
      <c r="E1399" s="218">
        <v>24</v>
      </c>
    </row>
    <row r="1400" spans="1:5" x14ac:dyDescent="0.35">
      <c r="A1400" s="3" t="str">
        <f>IF(D1400="","",(VLOOKUP($D1400,KEY!$B$5:$D$74,3,FALSE)))</f>
        <v>Texas</v>
      </c>
      <c r="B1400" s="221">
        <f t="shared" si="0"/>
        <v>45597</v>
      </c>
      <c r="C1400" s="221" t="str">
        <f>IFERROR(VLOOKUP($B1400,KEY!$AE$19:$AH$60,2,FALSE),"")</f>
        <v>2024-Q4</v>
      </c>
      <c r="D1400" s="222" t="s">
        <v>121</v>
      </c>
      <c r="E1400" s="218">
        <v>24</v>
      </c>
    </row>
    <row r="1401" spans="1:5" x14ac:dyDescent="0.35">
      <c r="A1401" s="3" t="str">
        <f>IF(D1401="","",(VLOOKUP($D1401,KEY!$B$5:$D$74,3,FALSE)))</f>
        <v>Michigan &amp; Minnesota</v>
      </c>
      <c r="B1401" s="221">
        <f t="shared" si="0"/>
        <v>45597</v>
      </c>
      <c r="C1401" s="221" t="str">
        <f>IFERROR(VLOOKUP($B1401,KEY!$AE$19:$AH$60,2,FALSE),"")</f>
        <v>2024-Q4</v>
      </c>
      <c r="D1401" s="222" t="s">
        <v>200</v>
      </c>
      <c r="E1401" s="218">
        <v>13</v>
      </c>
    </row>
    <row r="1402" spans="1:5" x14ac:dyDescent="0.35">
      <c r="A1402" s="3" t="str">
        <f>IF(D1402="","",(VLOOKUP($D1402,KEY!$B$5:$D$74,3,FALSE)))</f>
        <v>Southern California</v>
      </c>
      <c r="B1402" s="221">
        <f t="shared" si="0"/>
        <v>45597</v>
      </c>
      <c r="C1402" s="221" t="str">
        <f>IFERROR(VLOOKUP($B1402,KEY!$AE$19:$AH$60,2,FALSE),"")</f>
        <v>2024-Q4</v>
      </c>
      <c r="D1402" s="222" t="s">
        <v>122</v>
      </c>
      <c r="E1402" s="218">
        <v>8</v>
      </c>
    </row>
    <row r="1403" spans="1:5" x14ac:dyDescent="0.35">
      <c r="A1403" s="3" t="str">
        <f>IF(D1403="","",(VLOOKUP($D1403,KEY!$B$5:$D$74,3,FALSE)))</f>
        <v>Orange County</v>
      </c>
      <c r="B1403" s="221">
        <f t="shared" si="0"/>
        <v>45597</v>
      </c>
      <c r="C1403" s="221" t="str">
        <f>IFERROR(VLOOKUP($B1403,KEY!$AE$19:$AH$60,2,FALSE),"")</f>
        <v>2024-Q4</v>
      </c>
      <c r="D1403" s="222" t="s">
        <v>123</v>
      </c>
      <c r="E1403" s="218">
        <v>18</v>
      </c>
    </row>
    <row r="1404" spans="1:5" x14ac:dyDescent="0.35">
      <c r="A1404" s="3" t="str">
        <f>IF(D1404="","",(VLOOKUP($D1404,KEY!$B$5:$D$74,3,FALSE)))</f>
        <v>Southern California</v>
      </c>
      <c r="B1404" s="221">
        <f t="shared" si="0"/>
        <v>45597</v>
      </c>
      <c r="C1404" s="221" t="str">
        <f>IFERROR(VLOOKUP($B1404,KEY!$AE$19:$AH$60,2,FALSE),"")</f>
        <v>2024-Q4</v>
      </c>
      <c r="D1404" s="222" t="s">
        <v>124</v>
      </c>
      <c r="E1404" s="218">
        <v>21</v>
      </c>
    </row>
    <row r="1405" spans="1:5" x14ac:dyDescent="0.35">
      <c r="A1405" s="3" t="str">
        <f>IF(D1405="","",(VLOOKUP($D1405,KEY!$B$5:$D$74,3,FALSE)))</f>
        <v>Northern California</v>
      </c>
      <c r="B1405" s="221">
        <f t="shared" si="0"/>
        <v>45597</v>
      </c>
      <c r="C1405" s="221" t="str">
        <f>IFERROR(VLOOKUP($B1405,KEY!$AE$19:$AH$60,2,FALSE),"")</f>
        <v>2024-Q4</v>
      </c>
      <c r="D1405" s="222" t="s">
        <v>195</v>
      </c>
      <c r="E1405" s="218">
        <v>6</v>
      </c>
    </row>
    <row r="1406" spans="1:5" x14ac:dyDescent="0.35">
      <c r="A1406" s="3" t="str">
        <f>IF(D1406="","",(VLOOKUP($D1406,KEY!$B$5:$D$74,3,FALSE)))</f>
        <v>Northern California</v>
      </c>
      <c r="B1406" s="221">
        <f t="shared" si="0"/>
        <v>45597</v>
      </c>
      <c r="C1406" s="221" t="str">
        <f>IFERROR(VLOOKUP($B1406,KEY!$AE$19:$AH$60,2,FALSE),"")</f>
        <v>2024-Q4</v>
      </c>
      <c r="D1406" s="222" t="s">
        <v>125</v>
      </c>
      <c r="E1406" s="218">
        <v>19</v>
      </c>
    </row>
    <row r="1407" spans="1:5" x14ac:dyDescent="0.35">
      <c r="A1407" s="3" t="str">
        <f>IF(D1407="","",(VLOOKUP($D1407,KEY!$B$5:$D$74,3,FALSE)))</f>
        <v>Orange County</v>
      </c>
      <c r="B1407" s="221">
        <f t="shared" si="0"/>
        <v>45597</v>
      </c>
      <c r="C1407" s="221" t="str">
        <f>IFERROR(VLOOKUP($B1407,KEY!$AE$19:$AH$60,2,FALSE),"")</f>
        <v>2024-Q4</v>
      </c>
      <c r="D1407" s="222" t="s">
        <v>126</v>
      </c>
      <c r="E1407" s="218">
        <v>26</v>
      </c>
    </row>
    <row r="1408" spans="1:5" x14ac:dyDescent="0.35">
      <c r="A1408" s="3" t="str">
        <f>IF(D1408="","",(VLOOKUP($D1408,KEY!$B$5:$D$74,3,FALSE)))</f>
        <v>Orange County</v>
      </c>
      <c r="B1408" s="221">
        <f t="shared" si="0"/>
        <v>45597</v>
      </c>
      <c r="C1408" s="221" t="str">
        <f>IFERROR(VLOOKUP($B1408,KEY!$AE$19:$AH$60,2,FALSE),"")</f>
        <v>2024-Q4</v>
      </c>
      <c r="D1408" s="222" t="s">
        <v>127</v>
      </c>
      <c r="E1408" s="218">
        <v>4</v>
      </c>
    </row>
    <row r="1409" spans="1:5" x14ac:dyDescent="0.35">
      <c r="A1409" s="3" t="str">
        <f>IF(D1409="","",(VLOOKUP($D1409,KEY!$B$5:$D$74,3,FALSE)))</f>
        <v>Wisconsin</v>
      </c>
      <c r="B1409" s="221">
        <f t="shared" si="0"/>
        <v>45597</v>
      </c>
      <c r="C1409" s="221" t="str">
        <f>IFERROR(VLOOKUP($B1409,KEY!$AE$19:$AH$60,2,FALSE),"")</f>
        <v>2024-Q4</v>
      </c>
      <c r="D1409" s="222" t="s">
        <v>201</v>
      </c>
      <c r="E1409" s="218">
        <v>13</v>
      </c>
    </row>
    <row r="1410" spans="1:5" x14ac:dyDescent="0.35">
      <c r="A1410" s="3" t="e">
        <f>IF(D1410="","",(VLOOKUP($D1410,KEY!$B$5:$D$74,3,FALSE)))</f>
        <v>#N/A</v>
      </c>
      <c r="B1410" s="221">
        <f t="shared" si="0"/>
        <v>45597</v>
      </c>
      <c r="C1410" s="221" t="str">
        <f>IFERROR(VLOOKUP($B1410,KEY!$AE$19:$AH$60,2,FALSE),"")</f>
        <v>2024-Q4</v>
      </c>
      <c r="D1410" s="222" t="s">
        <v>202</v>
      </c>
      <c r="E1410" s="218">
        <v>3</v>
      </c>
    </row>
    <row r="1411" spans="1:5" x14ac:dyDescent="0.35">
      <c r="A1411" s="3" t="str">
        <f>IF(D1411="","",(VLOOKUP($D1411,KEY!$B$5:$D$74,3,FALSE)))</f>
        <v>Texas</v>
      </c>
      <c r="B1411" s="221">
        <f t="shared" si="0"/>
        <v>45597</v>
      </c>
      <c r="C1411" s="221" t="str">
        <f>IFERROR(VLOOKUP($B1411,KEY!$AE$19:$AH$60,2,FALSE),"")</f>
        <v>2024-Q4</v>
      </c>
      <c r="D1411" s="222" t="s">
        <v>198</v>
      </c>
      <c r="E1411" s="218">
        <v>7</v>
      </c>
    </row>
    <row r="1412" spans="1:5" x14ac:dyDescent="0.35">
      <c r="A1412" s="3" t="str">
        <f>IF(D1412="","",(VLOOKUP($D1412,KEY!$B$5:$D$74,3,FALSE)))</f>
        <v>Texas</v>
      </c>
      <c r="B1412" s="221">
        <f t="shared" si="0"/>
        <v>45597</v>
      </c>
      <c r="C1412" s="221" t="str">
        <f>IFERROR(VLOOKUP($B1412,KEY!$AE$19:$AH$60,2,FALSE),"")</f>
        <v>2024-Q4</v>
      </c>
      <c r="D1412" s="222" t="s">
        <v>128</v>
      </c>
      <c r="E1412" s="218">
        <v>13</v>
      </c>
    </row>
    <row r="1413" spans="1:5" x14ac:dyDescent="0.35">
      <c r="A1413" s="3" t="str">
        <f>IF(D1413="","",(VLOOKUP($D1413,KEY!$B$5:$D$74,3,FALSE)))</f>
        <v>Northern California</v>
      </c>
      <c r="B1413" s="221">
        <f t="shared" si="0"/>
        <v>45597</v>
      </c>
      <c r="C1413" s="221" t="str">
        <f>IFERROR(VLOOKUP($B1413,KEY!$AE$19:$AH$60,2,FALSE),"")</f>
        <v>2024-Q4</v>
      </c>
      <c r="D1413" s="222" t="s">
        <v>129</v>
      </c>
      <c r="E1413" s="218">
        <v>16</v>
      </c>
    </row>
    <row r="1414" spans="1:5" x14ac:dyDescent="0.35">
      <c r="A1414" s="3" t="str">
        <f>IF(D1414="","",(VLOOKUP($D1414,KEY!$B$5:$D$74,3,FALSE)))</f>
        <v>Southern California</v>
      </c>
      <c r="B1414" s="221">
        <f t="shared" si="0"/>
        <v>45597</v>
      </c>
      <c r="C1414" s="221" t="str">
        <f>IFERROR(VLOOKUP($B1414,KEY!$AE$19:$AH$60,2,FALSE),"")</f>
        <v>2024-Q4</v>
      </c>
      <c r="D1414" s="222" t="s">
        <v>130</v>
      </c>
      <c r="E1414" s="218">
        <v>9</v>
      </c>
    </row>
    <row r="1415" spans="1:5" x14ac:dyDescent="0.35">
      <c r="A1415" s="3" t="e">
        <f>IF(D1415="","",(VLOOKUP($D1415,KEY!$B$5:$D$74,3,FALSE)))</f>
        <v>#N/A</v>
      </c>
      <c r="B1415" s="221">
        <f t="shared" si="0"/>
        <v>45597</v>
      </c>
      <c r="C1415" s="221" t="str">
        <f>IFERROR(VLOOKUP($B1415,KEY!$AE$19:$AH$60,2,FALSE),"")</f>
        <v>2024-Q4</v>
      </c>
      <c r="D1415" s="222" t="s">
        <v>203</v>
      </c>
      <c r="E1415" s="218">
        <v>9</v>
      </c>
    </row>
    <row r="1416" spans="1:5" x14ac:dyDescent="0.35">
      <c r="A1416" s="3">
        <f>IF(D1416="","",(VLOOKUP($D1416,KEY!$B$5:$D$74,3,FALSE)))</f>
        <v>0</v>
      </c>
      <c r="B1416" s="221">
        <f t="shared" si="0"/>
        <v>45597</v>
      </c>
      <c r="C1416" s="221" t="str">
        <f>IFERROR(VLOOKUP($B1416,KEY!$AE$19:$AH$60,2,FALSE),"")</f>
        <v>2024-Q4</v>
      </c>
      <c r="D1416" s="222" t="s">
        <v>131</v>
      </c>
      <c r="E1416" s="218">
        <v>13</v>
      </c>
    </row>
    <row r="1417" spans="1:5" x14ac:dyDescent="0.35">
      <c r="A1417" s="3" t="e">
        <f>IF(D1417="","",(VLOOKUP($D1417,KEY!$B$5:$D$74,3,FALSE)))</f>
        <v>#N/A</v>
      </c>
      <c r="B1417" s="221">
        <f t="shared" si="0"/>
        <v>45597</v>
      </c>
      <c r="C1417" s="221" t="str">
        <f>IFERROR(VLOOKUP($B1417,KEY!$AE$19:$AH$60,2,FALSE),"")</f>
        <v>2024-Q4</v>
      </c>
      <c r="D1417" s="222" t="s">
        <v>134</v>
      </c>
      <c r="E1417" s="218">
        <v>4</v>
      </c>
    </row>
    <row r="1418" spans="1:5" x14ac:dyDescent="0.35">
      <c r="A1418" s="3" t="str">
        <f>IF(D1418="","",(VLOOKUP($D1418,KEY!$B$5:$D$74,3,FALSE)))</f>
        <v>Southern California</v>
      </c>
      <c r="B1418" s="221">
        <f t="shared" si="0"/>
        <v>45597</v>
      </c>
      <c r="C1418" s="221" t="str">
        <f>IFERROR(VLOOKUP($B1418,KEY!$AE$19:$AH$60,2,FALSE),"")</f>
        <v>2024-Q4</v>
      </c>
      <c r="D1418" s="222" t="s">
        <v>135</v>
      </c>
      <c r="E1418" s="218">
        <v>15</v>
      </c>
    </row>
    <row r="1419" spans="1:5" x14ac:dyDescent="0.35">
      <c r="A1419" s="3" t="str">
        <f>IF(D1419="","",(VLOOKUP($D1419,KEY!$B$5:$D$74,3,FALSE)))</f>
        <v>Arizona</v>
      </c>
      <c r="B1419" s="221">
        <f t="shared" si="0"/>
        <v>45597</v>
      </c>
      <c r="C1419" s="221" t="str">
        <f>IFERROR(VLOOKUP($B1419,KEY!$AE$19:$AH$60,2,FALSE),"")</f>
        <v>2024-Q4</v>
      </c>
      <c r="D1419" s="222" t="s">
        <v>204</v>
      </c>
      <c r="E1419" s="218">
        <v>1</v>
      </c>
    </row>
    <row r="1420" spans="1:5" x14ac:dyDescent="0.35">
      <c r="A1420" s="3" t="str">
        <f>IF(D1420="","",(VLOOKUP($D1420,KEY!$B$5:$D$74,3,FALSE)))</f>
        <v>Arizona</v>
      </c>
      <c r="B1420" s="221">
        <f t="shared" si="0"/>
        <v>45597</v>
      </c>
      <c r="C1420" s="221" t="str">
        <f>IFERROR(VLOOKUP($B1420,KEY!$AE$19:$AH$60,2,FALSE),"")</f>
        <v>2024-Q4</v>
      </c>
      <c r="D1420" s="222" t="s">
        <v>196</v>
      </c>
      <c r="E1420" s="218">
        <v>5</v>
      </c>
    </row>
    <row r="1421" spans="1:5" x14ac:dyDescent="0.35">
      <c r="A1421" s="3" t="str">
        <f>IF(D1421="","",(VLOOKUP($D1421,KEY!$B$5:$D$74,3,FALSE)))</f>
        <v>Arizona</v>
      </c>
      <c r="B1421" s="221">
        <f t="shared" si="0"/>
        <v>45597</v>
      </c>
      <c r="C1421" s="221" t="str">
        <f>IFERROR(VLOOKUP($B1421,KEY!$AE$19:$AH$60,2,FALSE),"")</f>
        <v>2024-Q4</v>
      </c>
      <c r="D1421" s="222" t="s">
        <v>197</v>
      </c>
      <c r="E1421" s="218">
        <v>8</v>
      </c>
    </row>
    <row r="1422" spans="1:5" x14ac:dyDescent="0.35">
      <c r="A1422" s="3" t="str">
        <f>IF(D1422="","",(VLOOKUP($D1422,KEY!$B$5:$D$74,3,FALSE)))</f>
        <v>Texas</v>
      </c>
      <c r="B1422" s="221">
        <f t="shared" si="0"/>
        <v>45597</v>
      </c>
      <c r="C1422" s="221" t="str">
        <f>IFERROR(VLOOKUP($B1422,KEY!$AE$19:$AH$60,2,FALSE),"")</f>
        <v>2024-Q4</v>
      </c>
      <c r="D1422" s="222" t="s">
        <v>136</v>
      </c>
      <c r="E1422" s="218">
        <v>16</v>
      </c>
    </row>
    <row r="1423" spans="1:5" x14ac:dyDescent="0.35">
      <c r="A1423" s="3" t="str">
        <f>IF(D1423="","",(VLOOKUP($D1423,KEY!$B$5:$D$74,3,FALSE)))</f>
        <v>Arizona</v>
      </c>
      <c r="B1423" s="221">
        <f t="shared" si="0"/>
        <v>45597</v>
      </c>
      <c r="C1423" s="221" t="str">
        <f>IFERROR(VLOOKUP($B1423,KEY!$AE$19:$AH$60,2,FALSE),"")</f>
        <v>2024-Q4</v>
      </c>
      <c r="D1423" s="222" t="s">
        <v>137</v>
      </c>
      <c r="E1423" s="218">
        <v>7</v>
      </c>
    </row>
    <row r="1424" spans="1:5" x14ac:dyDescent="0.35">
      <c r="A1424" s="3" t="str">
        <f>IF(D1424="","",(VLOOKUP($D1424,KEY!$B$5:$D$74,3,FALSE)))</f>
        <v>Texas</v>
      </c>
      <c r="B1424" s="221">
        <f t="shared" si="0"/>
        <v>45597</v>
      </c>
      <c r="C1424" s="221" t="str">
        <f>IFERROR(VLOOKUP($B1424,KEY!$AE$19:$AH$60,2,FALSE),"")</f>
        <v>2024-Q4</v>
      </c>
      <c r="D1424" s="222" t="s">
        <v>138</v>
      </c>
      <c r="E1424" s="218">
        <v>9</v>
      </c>
    </row>
    <row r="1425" spans="1:5" x14ac:dyDescent="0.35">
      <c r="A1425" s="3" t="e">
        <f>IF(D1425="","",(VLOOKUP($D1425,KEY!$B$5:$D$74,3,FALSE)))</f>
        <v>#N/A</v>
      </c>
      <c r="B1425" s="221">
        <f t="shared" si="0"/>
        <v>45597</v>
      </c>
      <c r="C1425" s="221" t="str">
        <f>IFERROR(VLOOKUP($B1425,KEY!$AE$19:$AH$60,2,FALSE),"")</f>
        <v>2024-Q4</v>
      </c>
      <c r="D1425" s="222" t="s">
        <v>205</v>
      </c>
      <c r="E1425" s="218">
        <v>7</v>
      </c>
    </row>
    <row r="1426" spans="1:5" x14ac:dyDescent="0.35">
      <c r="A1426" s="3" t="str">
        <f>IF(D1426="","",(VLOOKUP($D1426,KEY!$B$5:$D$74,3,FALSE)))</f>
        <v>Southern California</v>
      </c>
      <c r="B1426" s="221">
        <f t="shared" si="0"/>
        <v>45597</v>
      </c>
      <c r="C1426" s="221" t="str">
        <f>IFERROR(VLOOKUP($B1426,KEY!$AE$19:$AH$60,2,FALSE),"")</f>
        <v>2024-Q4</v>
      </c>
      <c r="D1426" s="222" t="s">
        <v>139</v>
      </c>
      <c r="E1426" s="218">
        <v>15</v>
      </c>
    </row>
    <row r="1427" spans="1:5" x14ac:dyDescent="0.35">
      <c r="A1427" s="3" t="str">
        <f>IF(D1427="","",(VLOOKUP($D1427,KEY!$B$5:$D$74,3,FALSE)))</f>
        <v>Orange County</v>
      </c>
      <c r="B1427" s="221">
        <f t="shared" si="0"/>
        <v>45597</v>
      </c>
      <c r="C1427" s="221" t="str">
        <f>IFERROR(VLOOKUP($B1427,KEY!$AE$19:$AH$60,2,FALSE),"")</f>
        <v>2024-Q4</v>
      </c>
      <c r="D1427" s="222" t="s">
        <v>140</v>
      </c>
      <c r="E1427" s="218">
        <v>4</v>
      </c>
    </row>
    <row r="1428" spans="1:5" x14ac:dyDescent="0.35">
      <c r="A1428" s="3" t="str">
        <f>IF(D1428="","",(VLOOKUP($D1428,KEY!$B$5:$D$74,3,FALSE)))</f>
        <v>Southern California</v>
      </c>
      <c r="B1428" s="221">
        <f t="shared" si="0"/>
        <v>45597</v>
      </c>
      <c r="C1428" s="221" t="str">
        <f>IFERROR(VLOOKUP($B1428,KEY!$AE$19:$AH$60,2,FALSE),"")</f>
        <v>2024-Q4</v>
      </c>
      <c r="D1428" s="222" t="s">
        <v>142</v>
      </c>
      <c r="E1428" s="218">
        <v>6</v>
      </c>
    </row>
    <row r="1429" spans="1:5" x14ac:dyDescent="0.35">
      <c r="A1429" s="3" t="str">
        <f>IF(D1429="","",(VLOOKUP($D1429,KEY!$B$5:$D$74,3,FALSE)))</f>
        <v>Arizona</v>
      </c>
      <c r="B1429" s="221">
        <f t="shared" si="0"/>
        <v>45597</v>
      </c>
      <c r="C1429" s="221" t="str">
        <f>IFERROR(VLOOKUP($B1429,KEY!$AE$19:$AH$60,2,FALSE),"")</f>
        <v>2024-Q4</v>
      </c>
      <c r="D1429" s="222" t="s">
        <v>143</v>
      </c>
      <c r="E1429" s="218">
        <v>8</v>
      </c>
    </row>
    <row r="1430" spans="1:5" x14ac:dyDescent="0.35">
      <c r="A1430" s="3" t="str">
        <f>IF(D1430="","",(VLOOKUP($D1430,KEY!$B$5:$D$74,3,FALSE)))</f>
        <v>Arizona</v>
      </c>
      <c r="B1430" s="221">
        <f t="shared" si="0"/>
        <v>45597</v>
      </c>
      <c r="C1430" s="221" t="str">
        <f>IFERROR(VLOOKUP($B1430,KEY!$AE$19:$AH$60,2,FALSE),"")</f>
        <v>2024-Q4</v>
      </c>
      <c r="D1430" s="222" t="s">
        <v>144</v>
      </c>
      <c r="E1430" s="218">
        <v>21</v>
      </c>
    </row>
    <row r="1431" spans="1:5" x14ac:dyDescent="0.35">
      <c r="A1431" s="3" t="str">
        <f>IF(D1431="","",(VLOOKUP($D1431,KEY!$B$5:$D$74,3,FALSE)))</f>
        <v>Southern California</v>
      </c>
      <c r="B1431" s="221">
        <f t="shared" si="0"/>
        <v>45597</v>
      </c>
      <c r="C1431" s="221" t="str">
        <f>IFERROR(VLOOKUP($B1431,KEY!$AE$19:$AH$60,2,FALSE),"")</f>
        <v>2024-Q4</v>
      </c>
      <c r="D1431" s="222" t="s">
        <v>145</v>
      </c>
      <c r="E1431" s="218">
        <v>14</v>
      </c>
    </row>
    <row r="1432" spans="1:5" x14ac:dyDescent="0.35">
      <c r="A1432" s="3" t="str">
        <f>IF(D1432="","",(VLOOKUP($D1432,KEY!$B$5:$D$74,3,FALSE)))</f>
        <v>Arizona</v>
      </c>
      <c r="B1432" s="221">
        <f t="shared" si="0"/>
        <v>45597</v>
      </c>
      <c r="C1432" s="221" t="str">
        <f>IFERROR(VLOOKUP($B1432,KEY!$AE$19:$AH$60,2,FALSE),"")</f>
        <v>2024-Q4</v>
      </c>
      <c r="D1432" s="222" t="s">
        <v>146</v>
      </c>
      <c r="E1432" s="218">
        <v>4</v>
      </c>
    </row>
    <row r="1433" spans="1:5" x14ac:dyDescent="0.35">
      <c r="A1433" s="3" t="str">
        <f>IF(D1433="","",(VLOOKUP($D1433,KEY!$B$5:$D$74,3,FALSE)))</f>
        <v>Texas</v>
      </c>
      <c r="B1433" s="221">
        <f t="shared" si="0"/>
        <v>45597</v>
      </c>
      <c r="C1433" s="221" t="str">
        <f>IFERROR(VLOOKUP($B1433,KEY!$AE$19:$AH$60,2,FALSE),"")</f>
        <v>2024-Q4</v>
      </c>
      <c r="D1433" s="222" t="s">
        <v>147</v>
      </c>
      <c r="E1433" s="218">
        <v>3</v>
      </c>
    </row>
    <row r="1434" spans="1:5" x14ac:dyDescent="0.35">
      <c r="A1434" s="3" t="str">
        <f>IF(D1434="","",(VLOOKUP($D1434,KEY!$B$5:$D$74,3,FALSE)))</f>
        <v>Northern California</v>
      </c>
      <c r="B1434" s="221">
        <f t="shared" si="0"/>
        <v>45597</v>
      </c>
      <c r="C1434" s="221" t="str">
        <f>IFERROR(VLOOKUP($B1434,KEY!$AE$19:$AH$60,2,FALSE),"")</f>
        <v>2024-Q4</v>
      </c>
      <c r="D1434" s="222" t="s">
        <v>148</v>
      </c>
      <c r="E1434" s="218">
        <v>3</v>
      </c>
    </row>
    <row r="1435" spans="1:5" x14ac:dyDescent="0.35">
      <c r="A1435" s="3" t="str">
        <f>IF(D1435="","",(VLOOKUP($D1435,KEY!$B$5:$D$74,3,FALSE)))</f>
        <v>Orange County</v>
      </c>
      <c r="B1435" s="221">
        <f t="shared" si="0"/>
        <v>45597</v>
      </c>
      <c r="C1435" s="221" t="str">
        <f>IFERROR(VLOOKUP($B1435,KEY!$AE$19:$AH$60,2,FALSE),"")</f>
        <v>2024-Q4</v>
      </c>
      <c r="D1435" s="222" t="s">
        <v>149</v>
      </c>
      <c r="E1435" s="218">
        <v>3</v>
      </c>
    </row>
    <row r="1436" spans="1:5" x14ac:dyDescent="0.35">
      <c r="A1436" s="3" t="str">
        <f>IF(D1436="","",(VLOOKUP($D1436,KEY!$B$5:$D$74,3,FALSE)))</f>
        <v>Southern California</v>
      </c>
      <c r="B1436" s="221">
        <f t="shared" si="0"/>
        <v>45597</v>
      </c>
      <c r="C1436" s="221" t="str">
        <f>IFERROR(VLOOKUP($B1436,KEY!$AE$19:$AH$60,2,FALSE),"")</f>
        <v>2024-Q4</v>
      </c>
      <c r="D1436" s="222" t="s">
        <v>150</v>
      </c>
      <c r="E1436" s="218">
        <v>3</v>
      </c>
    </row>
    <row r="1437" spans="1:5" x14ac:dyDescent="0.35">
      <c r="A1437" s="3" t="str">
        <f>IF(D1437="","",(VLOOKUP($D1437,KEY!$B$5:$D$74,3,FALSE)))</f>
        <v>Arizona</v>
      </c>
      <c r="B1437" s="221">
        <f t="shared" si="0"/>
        <v>45597</v>
      </c>
      <c r="C1437" s="221" t="str">
        <f>IFERROR(VLOOKUP($B1437,KEY!$AE$19:$AH$60,2,FALSE),"")</f>
        <v>2024-Q4</v>
      </c>
      <c r="D1437" s="222" t="s">
        <v>151</v>
      </c>
      <c r="E1437" s="218">
        <v>4</v>
      </c>
    </row>
    <row r="1438" spans="1:5" x14ac:dyDescent="0.35">
      <c r="A1438" s="3" t="str">
        <f>IF(D1438="","",(VLOOKUP($D1438,KEY!$B$5:$D$74,3,FALSE)))</f>
        <v>Michigan &amp; Minnesota</v>
      </c>
      <c r="B1438" s="221">
        <f t="shared" si="0"/>
        <v>45597</v>
      </c>
      <c r="C1438" s="221" t="str">
        <f>IFERROR(VLOOKUP($B1438,KEY!$AE$19:$AH$60,2,FALSE),"")</f>
        <v>2024-Q4</v>
      </c>
      <c r="D1438" s="222" t="s">
        <v>206</v>
      </c>
      <c r="E1438" s="218">
        <v>15</v>
      </c>
    </row>
    <row r="1439" spans="1:5" x14ac:dyDescent="0.35">
      <c r="A1439" s="3" t="str">
        <f>IF(D1439="","",(VLOOKUP($D1439,KEY!$B$5:$D$74,3,FALSE)))</f>
        <v>Michigan &amp; Minnesota</v>
      </c>
      <c r="B1439" s="221">
        <f t="shared" si="0"/>
        <v>45597</v>
      </c>
      <c r="C1439" s="221" t="str">
        <f>IFERROR(VLOOKUP($B1439,KEY!$AE$19:$AH$60,2,FALSE),"")</f>
        <v>2024-Q4</v>
      </c>
      <c r="D1439" s="222" t="s">
        <v>207</v>
      </c>
      <c r="E1439" s="218">
        <v>5</v>
      </c>
    </row>
    <row r="1440" spans="1:5" x14ac:dyDescent="0.35">
      <c r="A1440" s="3" t="str">
        <f>IF(D1440="","",(VLOOKUP($D1440,KEY!$B$5:$D$74,3,FALSE)))</f>
        <v>Indiana</v>
      </c>
      <c r="B1440" s="221">
        <f t="shared" si="0"/>
        <v>45597</v>
      </c>
      <c r="C1440" s="221" t="str">
        <f>IFERROR(VLOOKUP($B1440,KEY!$AE$19:$AH$60,2,FALSE),"")</f>
        <v>2024-Q4</v>
      </c>
      <c r="D1440" s="222" t="s">
        <v>208</v>
      </c>
      <c r="E1440" s="218">
        <v>9</v>
      </c>
    </row>
    <row r="1441" spans="1:5" x14ac:dyDescent="0.35">
      <c r="A1441" s="3" t="str">
        <f>IF(D1441="","",(VLOOKUP($D1441,KEY!$B$5:$D$74,3,FALSE)))</f>
        <v>Indiana</v>
      </c>
      <c r="B1441" s="221">
        <f t="shared" si="0"/>
        <v>45597</v>
      </c>
      <c r="C1441" s="221" t="str">
        <f>IFERROR(VLOOKUP($B1441,KEY!$AE$19:$AH$60,2,FALSE),"")</f>
        <v>2024-Q4</v>
      </c>
      <c r="D1441" s="222" t="s">
        <v>209</v>
      </c>
      <c r="E1441" s="218">
        <v>25</v>
      </c>
    </row>
    <row r="1442" spans="1:5" x14ac:dyDescent="0.35">
      <c r="A1442" s="3" t="str">
        <f>IF(D1442="","",(VLOOKUP($D1442,KEY!$B$5:$D$74,3,FALSE)))</f>
        <v>Northern California</v>
      </c>
      <c r="B1442" s="221">
        <f t="shared" si="0"/>
        <v>45597</v>
      </c>
      <c r="C1442" s="221" t="str">
        <f>IFERROR(VLOOKUP($B1442,KEY!$AE$19:$AH$60,2,FALSE),"")</f>
        <v>2024-Q4</v>
      </c>
      <c r="D1442" s="222" t="s">
        <v>152</v>
      </c>
      <c r="E1442" s="218">
        <v>13</v>
      </c>
    </row>
    <row r="1443" spans="1:5" x14ac:dyDescent="0.35">
      <c r="A1443" s="3" t="str">
        <f>IF(D1443="","",(VLOOKUP($D1443,KEY!$B$5:$D$74,3,FALSE)))</f>
        <v>Arizona</v>
      </c>
      <c r="B1443" s="221">
        <f t="shared" si="0"/>
        <v>45597</v>
      </c>
      <c r="C1443" s="221" t="str">
        <f>IFERROR(VLOOKUP($B1443,KEY!$AE$19:$AH$60,2,FALSE),"")</f>
        <v>2024-Q4</v>
      </c>
      <c r="D1443" s="222" t="s">
        <v>153</v>
      </c>
      <c r="E1443" s="218">
        <v>13</v>
      </c>
    </row>
    <row r="1444" spans="1:5" x14ac:dyDescent="0.35">
      <c r="A1444" s="3" t="str">
        <f>IF(D1444="","",(VLOOKUP($D1444,KEY!$B$5:$D$74,3,FALSE)))</f>
        <v>Northern California</v>
      </c>
      <c r="B1444" s="221">
        <f t="shared" si="0"/>
        <v>45597</v>
      </c>
      <c r="C1444" s="221" t="str">
        <f>IFERROR(VLOOKUP($B1444,KEY!$AE$19:$AH$60,2,FALSE),"")</f>
        <v>2024-Q4</v>
      </c>
      <c r="D1444" s="222" t="s">
        <v>154</v>
      </c>
      <c r="E1444" s="218">
        <v>8</v>
      </c>
    </row>
    <row r="1445" spans="1:5" x14ac:dyDescent="0.35">
      <c r="A1445" s="3" t="str">
        <f>IF(D1445="","",(VLOOKUP($D1445,KEY!$B$5:$D$74,3,FALSE)))</f>
        <v>Texas</v>
      </c>
      <c r="B1445" s="221">
        <f t="shared" si="0"/>
        <v>45597</v>
      </c>
      <c r="C1445" s="221" t="str">
        <f>IFERROR(VLOOKUP($B1445,KEY!$AE$19:$AH$60,2,FALSE),"")</f>
        <v>2024-Q4</v>
      </c>
      <c r="D1445" s="222" t="s">
        <v>155</v>
      </c>
      <c r="E1445" s="218">
        <v>23</v>
      </c>
    </row>
    <row r="1446" spans="1:5" x14ac:dyDescent="0.35">
      <c r="A1446" s="3" t="str">
        <f>IF(D1446="","",(VLOOKUP($D1446,KEY!$B$5:$D$74,3,FALSE)))</f>
        <v>Texas</v>
      </c>
      <c r="B1446" s="221">
        <f t="shared" si="0"/>
        <v>45597</v>
      </c>
      <c r="C1446" s="221" t="str">
        <f>IFERROR(VLOOKUP($B1446,KEY!$AE$19:$AH$60,2,FALSE),"")</f>
        <v>2024-Q4</v>
      </c>
      <c r="D1446" s="222" t="s">
        <v>156</v>
      </c>
      <c r="E1446" s="218">
        <v>16</v>
      </c>
    </row>
    <row r="1447" spans="1:5" x14ac:dyDescent="0.35">
      <c r="A1447" s="3" t="str">
        <f>IF(D1447="","",(VLOOKUP($D1447,KEY!$B$5:$D$74,3,FALSE)))</f>
        <v>Texas</v>
      </c>
      <c r="B1447" s="221">
        <f t="shared" si="0"/>
        <v>45597</v>
      </c>
      <c r="C1447" s="221" t="str">
        <f>IFERROR(VLOOKUP($B1447,KEY!$AE$19:$AH$60,2,FALSE),"")</f>
        <v>2024-Q4</v>
      </c>
      <c r="D1447" s="222" t="s">
        <v>157</v>
      </c>
      <c r="E1447" s="218">
        <v>35</v>
      </c>
    </row>
    <row r="1448" spans="1:5" x14ac:dyDescent="0.35">
      <c r="A1448" s="3" t="str">
        <f>IF(D1448="","",(VLOOKUP($D1448,KEY!$B$5:$D$74,3,FALSE)))</f>
        <v>Arizona</v>
      </c>
      <c r="B1448" s="221">
        <f t="shared" si="0"/>
        <v>45597</v>
      </c>
      <c r="C1448" s="221" t="str">
        <f>IFERROR(VLOOKUP($B1448,KEY!$AE$19:$AH$60,2,FALSE),"")</f>
        <v>2024-Q4</v>
      </c>
      <c r="D1448" s="222" t="s">
        <v>158</v>
      </c>
      <c r="E1448" s="218">
        <v>6</v>
      </c>
    </row>
    <row r="1449" spans="1:5" x14ac:dyDescent="0.35">
      <c r="A1449" s="3" t="str">
        <f>IF(D1449="","",(VLOOKUP($D1449,KEY!$B$5:$D$74,3,FALSE)))</f>
        <v>Orange County</v>
      </c>
      <c r="B1449" s="221">
        <f t="shared" si="0"/>
        <v>45597</v>
      </c>
      <c r="C1449" s="221" t="str">
        <f>IFERROR(VLOOKUP($B1449,KEY!$AE$19:$AH$60,2,FALSE),"")</f>
        <v>2024-Q4</v>
      </c>
      <c r="D1449" s="222" t="s">
        <v>159</v>
      </c>
      <c r="E1449" s="218">
        <v>11</v>
      </c>
    </row>
    <row r="1450" spans="1:5" x14ac:dyDescent="0.35">
      <c r="A1450" s="3" t="str">
        <f>IF(D1450="","",(VLOOKUP($D1450,KEY!$B$5:$D$74,3,FALSE)))</f>
        <v>Arizona</v>
      </c>
      <c r="B1450" s="221">
        <f t="shared" si="0"/>
        <v>45597</v>
      </c>
      <c r="C1450" s="221" t="str">
        <f>IFERROR(VLOOKUP($B1450,KEY!$AE$19:$AH$60,2,FALSE),"")</f>
        <v>2024-Q4</v>
      </c>
      <c r="D1450" s="222" t="s">
        <v>160</v>
      </c>
      <c r="E1450" s="218">
        <v>24</v>
      </c>
    </row>
    <row r="1451" spans="1:5" x14ac:dyDescent="0.35">
      <c r="A1451" s="3" t="str">
        <f>IF(D1451="","",(VLOOKUP($D1451,KEY!$B$5:$D$74,3,FALSE)))</f>
        <v>Northern California</v>
      </c>
      <c r="B1451" s="221">
        <f t="shared" si="0"/>
        <v>45597</v>
      </c>
      <c r="C1451" s="221" t="str">
        <f>IFERROR(VLOOKUP($B1451,KEY!$AE$19:$AH$60,2,FALSE),"")</f>
        <v>2024-Q4</v>
      </c>
      <c r="D1451" s="222" t="s">
        <v>161</v>
      </c>
      <c r="E1451" s="218">
        <v>20</v>
      </c>
    </row>
    <row r="1452" spans="1:5" x14ac:dyDescent="0.35">
      <c r="A1452" s="3" t="e">
        <f>IF(D1452="","",(VLOOKUP($D1452,KEY!$B$5:$D$74,3,FALSE)))</f>
        <v>#N/A</v>
      </c>
      <c r="B1452" s="221">
        <f t="shared" si="0"/>
        <v>45597</v>
      </c>
      <c r="C1452" s="221" t="str">
        <f>IFERROR(VLOOKUP($B1452,KEY!$AE$19:$AH$60,2,FALSE),"")</f>
        <v>2024-Q4</v>
      </c>
      <c r="D1452" s="222" t="s">
        <v>162</v>
      </c>
      <c r="E1452" s="218">
        <v>30</v>
      </c>
    </row>
    <row r="1453" spans="1:5" x14ac:dyDescent="0.35">
      <c r="A1453" s="3" t="str">
        <f>IF(D1453="","",(VLOOKUP($D1453,KEY!$B$5:$D$74,3,FALSE)))</f>
        <v>Arizona</v>
      </c>
      <c r="B1453" s="221">
        <f t="shared" si="0"/>
        <v>45597</v>
      </c>
      <c r="C1453" s="221" t="str">
        <f>IFERROR(VLOOKUP($B1453,KEY!$AE$19:$AH$60,2,FALSE),"")</f>
        <v>2024-Q4</v>
      </c>
      <c r="D1453" s="222" t="s">
        <v>163</v>
      </c>
      <c r="E1453" s="218">
        <v>17</v>
      </c>
    </row>
    <row r="1454" spans="1:5" x14ac:dyDescent="0.35">
      <c r="A1454" s="3" t="str">
        <f>IF(D1454="","",(VLOOKUP($D1454,KEY!$B$5:$D$74,3,FALSE)))</f>
        <v>Arizona</v>
      </c>
      <c r="B1454" s="221">
        <f t="shared" ref="B1454:B1458" si="1">B1453</f>
        <v>45597</v>
      </c>
      <c r="C1454" s="221" t="str">
        <f>IFERROR(VLOOKUP($B1454,KEY!$AE$19:$AH$60,2,FALSE),"")</f>
        <v>2024-Q4</v>
      </c>
      <c r="D1454" s="222" t="s">
        <v>164</v>
      </c>
      <c r="E1454" s="218">
        <v>6</v>
      </c>
    </row>
    <row r="1455" spans="1:5" x14ac:dyDescent="0.35">
      <c r="A1455" s="3" t="str">
        <f>IF(D1455="","",(VLOOKUP($D1455,KEY!$B$5:$D$74,3,FALSE)))</f>
        <v>Orange County</v>
      </c>
      <c r="B1455" s="221">
        <f t="shared" si="1"/>
        <v>45597</v>
      </c>
      <c r="C1455" s="221" t="str">
        <f>IFERROR(VLOOKUP($B1455,KEY!$AE$19:$AH$60,2,FALSE),"")</f>
        <v>2024-Q4</v>
      </c>
      <c r="D1455" s="222" t="s">
        <v>165</v>
      </c>
      <c r="E1455" s="218">
        <v>8</v>
      </c>
    </row>
    <row r="1456" spans="1:5" x14ac:dyDescent="0.35">
      <c r="A1456" s="3" t="str">
        <f>IF(D1456="","",(VLOOKUP($D1456,KEY!$B$5:$D$74,3,FALSE)))</f>
        <v/>
      </c>
      <c r="B1456" s="221">
        <f t="shared" si="1"/>
        <v>45597</v>
      </c>
      <c r="C1456" s="221" t="str">
        <f>IFERROR(VLOOKUP($B1456,KEY!$AE$19:$AH$60,2,FALSE),"")</f>
        <v>2024-Q4</v>
      </c>
      <c r="D1456" s="222"/>
      <c r="E1456" s="218"/>
    </row>
    <row r="1457" spans="1:5" x14ac:dyDescent="0.35">
      <c r="A1457" s="3" t="str">
        <f>IF(D1457="","",(VLOOKUP($D1457,KEY!$B$5:$D$74,3,FALSE)))</f>
        <v/>
      </c>
      <c r="B1457" s="221">
        <f t="shared" si="1"/>
        <v>45597</v>
      </c>
      <c r="C1457" s="221" t="str">
        <f>IFERROR(VLOOKUP($B1457,KEY!$AE$19:$AH$60,2,FALSE),"")</f>
        <v>2024-Q4</v>
      </c>
      <c r="D1457" s="222"/>
      <c r="E1457" s="218"/>
    </row>
    <row r="1458" spans="1:5" x14ac:dyDescent="0.35">
      <c r="A1458" s="3" t="str">
        <f>IF(D1458="","",(VLOOKUP($D1458,KEY!$B$5:$D$74,3,FALSE)))</f>
        <v/>
      </c>
      <c r="B1458" s="221">
        <f t="shared" si="1"/>
        <v>45597</v>
      </c>
      <c r="C1458" s="221" t="str">
        <f>IFERROR(VLOOKUP($B1458,KEY!$AE$19:$AH$60,2,FALSE),"")</f>
        <v>2024-Q4</v>
      </c>
      <c r="D1458" s="222"/>
      <c r="E1458" s="218"/>
    </row>
    <row r="1459" spans="1:5" x14ac:dyDescent="0.35">
      <c r="A1459" s="3" t="str">
        <f>IF(D1459="","",(VLOOKUP($D1459,KEY!$B$5:$D$74,3,FALSE)))</f>
        <v>Arizona</v>
      </c>
      <c r="B1459" s="221">
        <f>DATE(YEAR(B1458+31),MONTH(B1458+31),1)</f>
        <v>45627</v>
      </c>
      <c r="C1459" s="221" t="str">
        <f>IFERROR(VLOOKUP($B1459,KEY!$AE$19:$AH$60,2,FALSE),"")</f>
        <v>2024-Q4</v>
      </c>
      <c r="D1459" s="222" t="s">
        <v>111</v>
      </c>
      <c r="E1459" s="218">
        <v>8</v>
      </c>
    </row>
    <row r="1460" spans="1:5" x14ac:dyDescent="0.35">
      <c r="A1460" s="3" t="str">
        <f>IF(D1460="","",(VLOOKUP($D1460,KEY!$B$5:$D$74,3,FALSE)))</f>
        <v>Southern California</v>
      </c>
      <c r="B1460" s="221">
        <f t="shared" ref="B1460:B1523" si="2">B1459</f>
        <v>45627</v>
      </c>
      <c r="C1460" s="221" t="str">
        <f>IFERROR(VLOOKUP($B1460,KEY!$AE$19:$AH$60,2,FALSE),"")</f>
        <v>2024-Q4</v>
      </c>
      <c r="D1460" s="222" t="s">
        <v>112</v>
      </c>
      <c r="E1460" s="218">
        <v>4</v>
      </c>
    </row>
    <row r="1461" spans="1:5" x14ac:dyDescent="0.35">
      <c r="A1461" s="3" t="str">
        <f>IF(D1461="","",(VLOOKUP($D1461,KEY!$B$5:$D$74,3,FALSE)))</f>
        <v>Arizona</v>
      </c>
      <c r="B1461" s="221">
        <f t="shared" si="2"/>
        <v>45627</v>
      </c>
      <c r="C1461" s="221" t="str">
        <f>IFERROR(VLOOKUP($B1461,KEY!$AE$19:$AH$60,2,FALSE),"")</f>
        <v>2024-Q4</v>
      </c>
      <c r="D1461" s="222" t="s">
        <v>113</v>
      </c>
      <c r="E1461" s="218">
        <v>7</v>
      </c>
    </row>
    <row r="1462" spans="1:5" x14ac:dyDescent="0.35">
      <c r="A1462" s="3" t="str">
        <f>IF(D1462="","",(VLOOKUP($D1462,KEY!$B$5:$D$74,3,FALSE)))</f>
        <v>Southern California</v>
      </c>
      <c r="B1462" s="221">
        <f t="shared" si="2"/>
        <v>45627</v>
      </c>
      <c r="C1462" s="221" t="str">
        <f>IFERROR(VLOOKUP($B1462,KEY!$AE$19:$AH$60,2,FALSE),"")</f>
        <v>2024-Q4</v>
      </c>
      <c r="D1462" s="222" t="s">
        <v>114</v>
      </c>
      <c r="E1462" s="218">
        <v>5</v>
      </c>
    </row>
    <row r="1463" spans="1:5" x14ac:dyDescent="0.35">
      <c r="A1463" s="3" t="str">
        <f>IF(D1463="","",(VLOOKUP($D1463,KEY!$B$5:$D$74,3,FALSE)))</f>
        <v>Orange County</v>
      </c>
      <c r="B1463" s="221">
        <f t="shared" si="2"/>
        <v>45627</v>
      </c>
      <c r="C1463" s="221" t="str">
        <f>IFERROR(VLOOKUP($B1463,KEY!$AE$19:$AH$60,2,FALSE),"")</f>
        <v>2024-Q4</v>
      </c>
      <c r="D1463" s="222" t="s">
        <v>115</v>
      </c>
      <c r="E1463" s="218">
        <v>5</v>
      </c>
    </row>
    <row r="1464" spans="1:5" x14ac:dyDescent="0.35">
      <c r="A1464" s="3" t="str">
        <f>IF(D1464="","",(VLOOKUP($D1464,KEY!$B$5:$D$74,3,FALSE)))</f>
        <v>Arizona</v>
      </c>
      <c r="B1464" s="221">
        <f t="shared" si="2"/>
        <v>45627</v>
      </c>
      <c r="C1464" s="221" t="str">
        <f>IFERROR(VLOOKUP($B1464,KEY!$AE$19:$AH$60,2,FALSE),"")</f>
        <v>2024-Q4</v>
      </c>
      <c r="D1464" s="222" t="s">
        <v>116</v>
      </c>
      <c r="E1464" s="218">
        <v>9</v>
      </c>
    </row>
    <row r="1465" spans="1:5" x14ac:dyDescent="0.35">
      <c r="A1465" s="3" t="str">
        <f>IF(D1465="","",(VLOOKUP($D1465,KEY!$B$5:$D$74,3,FALSE)))</f>
        <v>Northern California</v>
      </c>
      <c r="B1465" s="221">
        <f t="shared" si="2"/>
        <v>45627</v>
      </c>
      <c r="C1465" s="221" t="str">
        <f>IFERROR(VLOOKUP($B1465,KEY!$AE$19:$AH$60,2,FALSE),"")</f>
        <v>2024-Q4</v>
      </c>
      <c r="D1465" s="222" t="s">
        <v>118</v>
      </c>
      <c r="E1465" s="218">
        <v>11</v>
      </c>
    </row>
    <row r="1466" spans="1:5" x14ac:dyDescent="0.35">
      <c r="A1466" s="3" t="str">
        <f>IF(D1466="","",(VLOOKUP($D1466,KEY!$B$5:$D$74,3,FALSE)))</f>
        <v>Orange County</v>
      </c>
      <c r="B1466" s="221">
        <f t="shared" si="2"/>
        <v>45627</v>
      </c>
      <c r="C1466" s="221" t="str">
        <f>IFERROR(VLOOKUP($B1466,KEY!$AE$19:$AH$60,2,FALSE),"")</f>
        <v>2024-Q4</v>
      </c>
      <c r="D1466" s="222" t="s">
        <v>117</v>
      </c>
      <c r="E1466" s="218">
        <v>6</v>
      </c>
    </row>
    <row r="1467" spans="1:5" x14ac:dyDescent="0.35">
      <c r="A1467" s="3" t="str">
        <f>IF(D1467="","",(VLOOKUP($D1467,KEY!$B$5:$D$74,3,FALSE)))</f>
        <v>Arizona</v>
      </c>
      <c r="B1467" s="221">
        <f t="shared" si="2"/>
        <v>45627</v>
      </c>
      <c r="C1467" s="221" t="str">
        <f>IFERROR(VLOOKUP($B1467,KEY!$AE$19:$AH$60,2,FALSE),"")</f>
        <v>2024-Q4</v>
      </c>
      <c r="D1467" s="222" t="s">
        <v>119</v>
      </c>
      <c r="E1467" s="218">
        <v>4</v>
      </c>
    </row>
    <row r="1468" spans="1:5" x14ac:dyDescent="0.35">
      <c r="A1468" s="3" t="str">
        <f>IF(D1468="","",(VLOOKUP($D1468,KEY!$B$5:$D$74,3,FALSE)))</f>
        <v>Michigan &amp; Minnesota</v>
      </c>
      <c r="B1468" s="221">
        <f t="shared" si="2"/>
        <v>45627</v>
      </c>
      <c r="C1468" s="221" t="str">
        <f>IFERROR(VLOOKUP($B1468,KEY!$AE$19:$AH$60,2,FALSE),"")</f>
        <v>2024-Q4</v>
      </c>
      <c r="D1468" s="222" t="s">
        <v>199</v>
      </c>
      <c r="E1468" s="218"/>
    </row>
    <row r="1469" spans="1:5" x14ac:dyDescent="0.35">
      <c r="A1469" s="3" t="str">
        <f>IF(D1469="","",(VLOOKUP($D1469,KEY!$B$5:$D$74,3,FALSE)))</f>
        <v>Arizona</v>
      </c>
      <c r="B1469" s="221">
        <f t="shared" si="2"/>
        <v>45627</v>
      </c>
      <c r="C1469" s="221" t="str">
        <f>IFERROR(VLOOKUP($B1469,KEY!$AE$19:$AH$60,2,FALSE),"")</f>
        <v>2024-Q4</v>
      </c>
      <c r="D1469" s="222" t="s">
        <v>120</v>
      </c>
      <c r="E1469" s="218">
        <v>26</v>
      </c>
    </row>
    <row r="1470" spans="1:5" x14ac:dyDescent="0.35">
      <c r="A1470" s="3" t="str">
        <f>IF(D1470="","",(VLOOKUP($D1470,KEY!$B$5:$D$74,3,FALSE)))</f>
        <v>Texas</v>
      </c>
      <c r="B1470" s="221">
        <f t="shared" si="2"/>
        <v>45627</v>
      </c>
      <c r="C1470" s="221" t="str">
        <f>IFERROR(VLOOKUP($B1470,KEY!$AE$19:$AH$60,2,FALSE),"")</f>
        <v>2024-Q4</v>
      </c>
      <c r="D1470" s="222" t="s">
        <v>121</v>
      </c>
      <c r="E1470" s="218">
        <v>24</v>
      </c>
    </row>
    <row r="1471" spans="1:5" x14ac:dyDescent="0.35">
      <c r="A1471" s="3" t="str">
        <f>IF(D1471="","",(VLOOKUP($D1471,KEY!$B$5:$D$74,3,FALSE)))</f>
        <v>Michigan &amp; Minnesota</v>
      </c>
      <c r="B1471" s="221">
        <f t="shared" si="2"/>
        <v>45627</v>
      </c>
      <c r="C1471" s="221" t="str">
        <f>IFERROR(VLOOKUP($B1471,KEY!$AE$19:$AH$60,2,FALSE),"")</f>
        <v>2024-Q4</v>
      </c>
      <c r="D1471" s="222" t="s">
        <v>200</v>
      </c>
      <c r="E1471" s="218">
        <v>14</v>
      </c>
    </row>
    <row r="1472" spans="1:5" x14ac:dyDescent="0.35">
      <c r="A1472" s="3" t="str">
        <f>IF(D1472="","",(VLOOKUP($D1472,KEY!$B$5:$D$74,3,FALSE)))</f>
        <v>Southern California</v>
      </c>
      <c r="B1472" s="221">
        <f t="shared" si="2"/>
        <v>45627</v>
      </c>
      <c r="C1472" s="221" t="str">
        <f>IFERROR(VLOOKUP($B1472,KEY!$AE$19:$AH$60,2,FALSE),"")</f>
        <v>2024-Q4</v>
      </c>
      <c r="D1472" s="222" t="s">
        <v>122</v>
      </c>
      <c r="E1472" s="218">
        <v>8</v>
      </c>
    </row>
    <row r="1473" spans="1:5" x14ac:dyDescent="0.35">
      <c r="A1473" s="3" t="str">
        <f>IF(D1473="","",(VLOOKUP($D1473,KEY!$B$5:$D$74,3,FALSE)))</f>
        <v>Orange County</v>
      </c>
      <c r="B1473" s="221">
        <f t="shared" si="2"/>
        <v>45627</v>
      </c>
      <c r="C1473" s="221" t="str">
        <f>IFERROR(VLOOKUP($B1473,KEY!$AE$19:$AH$60,2,FALSE),"")</f>
        <v>2024-Q4</v>
      </c>
      <c r="D1473" s="222" t="s">
        <v>123</v>
      </c>
      <c r="E1473" s="218">
        <v>18</v>
      </c>
    </row>
    <row r="1474" spans="1:5" x14ac:dyDescent="0.35">
      <c r="A1474" s="3" t="str">
        <f>IF(D1474="","",(VLOOKUP($D1474,KEY!$B$5:$D$74,3,FALSE)))</f>
        <v>Southern California</v>
      </c>
      <c r="B1474" s="221">
        <f t="shared" si="2"/>
        <v>45627</v>
      </c>
      <c r="C1474" s="221" t="str">
        <f>IFERROR(VLOOKUP($B1474,KEY!$AE$19:$AH$60,2,FALSE),"")</f>
        <v>2024-Q4</v>
      </c>
      <c r="D1474" s="222" t="s">
        <v>124</v>
      </c>
      <c r="E1474" s="218">
        <v>21</v>
      </c>
    </row>
    <row r="1475" spans="1:5" x14ac:dyDescent="0.35">
      <c r="A1475" s="3" t="str">
        <f>IF(D1475="","",(VLOOKUP($D1475,KEY!$B$5:$D$74,3,FALSE)))</f>
        <v>Northern California</v>
      </c>
      <c r="B1475" s="221">
        <f t="shared" si="2"/>
        <v>45627</v>
      </c>
      <c r="C1475" s="221" t="str">
        <f>IFERROR(VLOOKUP($B1475,KEY!$AE$19:$AH$60,2,FALSE),"")</f>
        <v>2024-Q4</v>
      </c>
      <c r="D1475" s="222" t="s">
        <v>195</v>
      </c>
      <c r="E1475" s="218">
        <v>6</v>
      </c>
    </row>
    <row r="1476" spans="1:5" x14ac:dyDescent="0.35">
      <c r="A1476" s="3" t="str">
        <f>IF(D1476="","",(VLOOKUP($D1476,KEY!$B$5:$D$74,3,FALSE)))</f>
        <v>Northern California</v>
      </c>
      <c r="B1476" s="221">
        <f t="shared" si="2"/>
        <v>45627</v>
      </c>
      <c r="C1476" s="221" t="str">
        <f>IFERROR(VLOOKUP($B1476,KEY!$AE$19:$AH$60,2,FALSE),"")</f>
        <v>2024-Q4</v>
      </c>
      <c r="D1476" s="222" t="s">
        <v>125</v>
      </c>
      <c r="E1476" s="218">
        <v>16</v>
      </c>
    </row>
    <row r="1477" spans="1:5" x14ac:dyDescent="0.35">
      <c r="A1477" s="3" t="str">
        <f>IF(D1477="","",(VLOOKUP($D1477,KEY!$B$5:$D$74,3,FALSE)))</f>
        <v>Orange County</v>
      </c>
      <c r="B1477" s="221">
        <f t="shared" si="2"/>
        <v>45627</v>
      </c>
      <c r="C1477" s="221" t="str">
        <f>IFERROR(VLOOKUP($B1477,KEY!$AE$19:$AH$60,2,FALSE),"")</f>
        <v>2024-Q4</v>
      </c>
      <c r="D1477" s="222" t="s">
        <v>126</v>
      </c>
      <c r="E1477" s="218">
        <v>28</v>
      </c>
    </row>
    <row r="1478" spans="1:5" x14ac:dyDescent="0.35">
      <c r="A1478" s="3" t="str">
        <f>IF(D1478="","",(VLOOKUP($D1478,KEY!$B$5:$D$74,3,FALSE)))</f>
        <v>Orange County</v>
      </c>
      <c r="B1478" s="221">
        <f t="shared" si="2"/>
        <v>45627</v>
      </c>
      <c r="C1478" s="221" t="str">
        <f>IFERROR(VLOOKUP($B1478,KEY!$AE$19:$AH$60,2,FALSE),"")</f>
        <v>2024-Q4</v>
      </c>
      <c r="D1478" s="222" t="s">
        <v>127</v>
      </c>
      <c r="E1478" s="218">
        <v>4</v>
      </c>
    </row>
    <row r="1479" spans="1:5" x14ac:dyDescent="0.35">
      <c r="A1479" s="3" t="str">
        <f>IF(D1479="","",(VLOOKUP($D1479,KEY!$B$5:$D$74,3,FALSE)))</f>
        <v>Wisconsin</v>
      </c>
      <c r="B1479" s="221">
        <f t="shared" si="2"/>
        <v>45627</v>
      </c>
      <c r="C1479" s="221" t="str">
        <f>IFERROR(VLOOKUP($B1479,KEY!$AE$19:$AH$60,2,FALSE),"")</f>
        <v>2024-Q4</v>
      </c>
      <c r="D1479" s="222" t="s">
        <v>201</v>
      </c>
      <c r="E1479" s="218">
        <v>13</v>
      </c>
    </row>
    <row r="1480" spans="1:5" x14ac:dyDescent="0.35">
      <c r="A1480" s="3" t="e">
        <f>IF(D1480="","",(VLOOKUP($D1480,KEY!$B$5:$D$74,3,FALSE)))</f>
        <v>#N/A</v>
      </c>
      <c r="B1480" s="221">
        <f t="shared" si="2"/>
        <v>45627</v>
      </c>
      <c r="C1480" s="221" t="str">
        <f>IFERROR(VLOOKUP($B1480,KEY!$AE$19:$AH$60,2,FALSE),"")</f>
        <v>2024-Q4</v>
      </c>
      <c r="D1480" s="222" t="s">
        <v>202</v>
      </c>
      <c r="E1480" s="218">
        <v>3</v>
      </c>
    </row>
    <row r="1481" spans="1:5" x14ac:dyDescent="0.35">
      <c r="A1481" s="3" t="str">
        <f>IF(D1481="","",(VLOOKUP($D1481,KEY!$B$5:$D$74,3,FALSE)))</f>
        <v>Texas</v>
      </c>
      <c r="B1481" s="221">
        <f t="shared" si="2"/>
        <v>45627</v>
      </c>
      <c r="C1481" s="221" t="str">
        <f>IFERROR(VLOOKUP($B1481,KEY!$AE$19:$AH$60,2,FALSE),"")</f>
        <v>2024-Q4</v>
      </c>
      <c r="D1481" s="222" t="s">
        <v>198</v>
      </c>
      <c r="E1481" s="218">
        <v>7</v>
      </c>
    </row>
    <row r="1482" spans="1:5" x14ac:dyDescent="0.35">
      <c r="A1482" s="3" t="str">
        <f>IF(D1482="","",(VLOOKUP($D1482,KEY!$B$5:$D$74,3,FALSE)))</f>
        <v>Texas</v>
      </c>
      <c r="B1482" s="221">
        <f t="shared" si="2"/>
        <v>45627</v>
      </c>
      <c r="C1482" s="221" t="str">
        <f>IFERROR(VLOOKUP($B1482,KEY!$AE$19:$AH$60,2,FALSE),"")</f>
        <v>2024-Q4</v>
      </c>
      <c r="D1482" s="222" t="s">
        <v>128</v>
      </c>
      <c r="E1482" s="218">
        <v>13</v>
      </c>
    </row>
    <row r="1483" spans="1:5" x14ac:dyDescent="0.35">
      <c r="A1483" s="3" t="str">
        <f>IF(D1483="","",(VLOOKUP($D1483,KEY!$B$5:$D$74,3,FALSE)))</f>
        <v>Northern California</v>
      </c>
      <c r="B1483" s="221">
        <f t="shared" si="2"/>
        <v>45627</v>
      </c>
      <c r="C1483" s="221" t="str">
        <f>IFERROR(VLOOKUP($B1483,KEY!$AE$19:$AH$60,2,FALSE),"")</f>
        <v>2024-Q4</v>
      </c>
      <c r="D1483" s="222" t="s">
        <v>129</v>
      </c>
      <c r="E1483" s="218">
        <v>16</v>
      </c>
    </row>
    <row r="1484" spans="1:5" x14ac:dyDescent="0.35">
      <c r="A1484" s="3" t="str">
        <f>IF(D1484="","",(VLOOKUP($D1484,KEY!$B$5:$D$74,3,FALSE)))</f>
        <v>Southern California</v>
      </c>
      <c r="B1484" s="221">
        <f t="shared" si="2"/>
        <v>45627</v>
      </c>
      <c r="C1484" s="221" t="str">
        <f>IFERROR(VLOOKUP($B1484,KEY!$AE$19:$AH$60,2,FALSE),"")</f>
        <v>2024-Q4</v>
      </c>
      <c r="D1484" s="222" t="s">
        <v>130</v>
      </c>
      <c r="E1484" s="218">
        <v>9</v>
      </c>
    </row>
    <row r="1485" spans="1:5" x14ac:dyDescent="0.35">
      <c r="A1485" s="3" t="e">
        <f>IF(D1485="","",(VLOOKUP($D1485,KEY!$B$5:$D$74,3,FALSE)))</f>
        <v>#N/A</v>
      </c>
      <c r="B1485" s="221">
        <f t="shared" si="2"/>
        <v>45627</v>
      </c>
      <c r="C1485" s="221" t="str">
        <f>IFERROR(VLOOKUP($B1485,KEY!$AE$19:$AH$60,2,FALSE),"")</f>
        <v>2024-Q4</v>
      </c>
      <c r="D1485" s="222" t="s">
        <v>203</v>
      </c>
      <c r="E1485" s="218">
        <v>8</v>
      </c>
    </row>
    <row r="1486" spans="1:5" x14ac:dyDescent="0.35">
      <c r="A1486" s="3">
        <f>IF(D1486="","",(VLOOKUP($D1486,KEY!$B$5:$D$74,3,FALSE)))</f>
        <v>0</v>
      </c>
      <c r="B1486" s="221">
        <f t="shared" si="2"/>
        <v>45627</v>
      </c>
      <c r="C1486" s="221" t="str">
        <f>IFERROR(VLOOKUP($B1486,KEY!$AE$19:$AH$60,2,FALSE),"")</f>
        <v>2024-Q4</v>
      </c>
      <c r="D1486" s="222" t="s">
        <v>131</v>
      </c>
      <c r="E1486" s="218">
        <v>12</v>
      </c>
    </row>
    <row r="1487" spans="1:5" x14ac:dyDescent="0.35">
      <c r="A1487" s="3" t="e">
        <f>IF(D1487="","",(VLOOKUP($D1487,KEY!$B$5:$D$74,3,FALSE)))</f>
        <v>#N/A</v>
      </c>
      <c r="B1487" s="221">
        <f t="shared" si="2"/>
        <v>45627</v>
      </c>
      <c r="C1487" s="221" t="str">
        <f>IFERROR(VLOOKUP($B1487,KEY!$AE$19:$AH$60,2,FALSE),"")</f>
        <v>2024-Q4</v>
      </c>
      <c r="D1487" s="222" t="s">
        <v>134</v>
      </c>
      <c r="E1487" s="218">
        <v>4</v>
      </c>
    </row>
    <row r="1488" spans="1:5" x14ac:dyDescent="0.35">
      <c r="A1488" s="3" t="str">
        <f>IF(D1488="","",(VLOOKUP($D1488,KEY!$B$5:$D$74,3,FALSE)))</f>
        <v>Southern California</v>
      </c>
      <c r="B1488" s="221">
        <f t="shared" si="2"/>
        <v>45627</v>
      </c>
      <c r="C1488" s="221" t="str">
        <f>IFERROR(VLOOKUP($B1488,KEY!$AE$19:$AH$60,2,FALSE),"")</f>
        <v>2024-Q4</v>
      </c>
      <c r="D1488" s="222" t="s">
        <v>135</v>
      </c>
      <c r="E1488" s="218">
        <v>14</v>
      </c>
    </row>
    <row r="1489" spans="1:5" x14ac:dyDescent="0.35">
      <c r="A1489" s="3" t="str">
        <f>IF(D1489="","",(VLOOKUP($D1489,KEY!$B$5:$D$74,3,FALSE)))</f>
        <v>Arizona</v>
      </c>
      <c r="B1489" s="221">
        <f t="shared" si="2"/>
        <v>45627</v>
      </c>
      <c r="C1489" s="221" t="str">
        <f>IFERROR(VLOOKUP($B1489,KEY!$AE$19:$AH$60,2,FALSE),"")</f>
        <v>2024-Q4</v>
      </c>
      <c r="D1489" s="222" t="s">
        <v>204</v>
      </c>
      <c r="E1489" s="218">
        <v>1</v>
      </c>
    </row>
    <row r="1490" spans="1:5" x14ac:dyDescent="0.35">
      <c r="A1490" s="3" t="str">
        <f>IF(D1490="","",(VLOOKUP($D1490,KEY!$B$5:$D$74,3,FALSE)))</f>
        <v>Arizona</v>
      </c>
      <c r="B1490" s="221">
        <f t="shared" si="2"/>
        <v>45627</v>
      </c>
      <c r="C1490" s="221" t="str">
        <f>IFERROR(VLOOKUP($B1490,KEY!$AE$19:$AH$60,2,FALSE),"")</f>
        <v>2024-Q4</v>
      </c>
      <c r="D1490" s="222" t="s">
        <v>196</v>
      </c>
      <c r="E1490" s="218">
        <v>5</v>
      </c>
    </row>
    <row r="1491" spans="1:5" x14ac:dyDescent="0.35">
      <c r="A1491" s="3" t="str">
        <f>IF(D1491="","",(VLOOKUP($D1491,KEY!$B$5:$D$74,3,FALSE)))</f>
        <v>Arizona</v>
      </c>
      <c r="B1491" s="221">
        <f t="shared" si="2"/>
        <v>45627</v>
      </c>
      <c r="C1491" s="221" t="str">
        <f>IFERROR(VLOOKUP($B1491,KEY!$AE$19:$AH$60,2,FALSE),"")</f>
        <v>2024-Q4</v>
      </c>
      <c r="D1491" s="222" t="s">
        <v>197</v>
      </c>
      <c r="E1491" s="218">
        <v>8</v>
      </c>
    </row>
    <row r="1492" spans="1:5" x14ac:dyDescent="0.35">
      <c r="A1492" s="3" t="str">
        <f>IF(D1492="","",(VLOOKUP($D1492,KEY!$B$5:$D$74,3,FALSE)))</f>
        <v>Texas</v>
      </c>
      <c r="B1492" s="221">
        <f t="shared" si="2"/>
        <v>45627</v>
      </c>
      <c r="C1492" s="221" t="str">
        <f>IFERROR(VLOOKUP($B1492,KEY!$AE$19:$AH$60,2,FALSE),"")</f>
        <v>2024-Q4</v>
      </c>
      <c r="D1492" s="222" t="s">
        <v>136</v>
      </c>
      <c r="E1492" s="218">
        <v>16</v>
      </c>
    </row>
    <row r="1493" spans="1:5" x14ac:dyDescent="0.35">
      <c r="A1493" s="3" t="str">
        <f>IF(D1493="","",(VLOOKUP($D1493,KEY!$B$5:$D$74,3,FALSE)))</f>
        <v>Arizona</v>
      </c>
      <c r="B1493" s="221">
        <f t="shared" si="2"/>
        <v>45627</v>
      </c>
      <c r="C1493" s="221" t="str">
        <f>IFERROR(VLOOKUP($B1493,KEY!$AE$19:$AH$60,2,FALSE),"")</f>
        <v>2024-Q4</v>
      </c>
      <c r="D1493" s="222" t="s">
        <v>137</v>
      </c>
      <c r="E1493" s="218">
        <v>7</v>
      </c>
    </row>
    <row r="1494" spans="1:5" x14ac:dyDescent="0.35">
      <c r="A1494" s="3" t="str">
        <f>IF(D1494="","",(VLOOKUP($D1494,KEY!$B$5:$D$74,3,FALSE)))</f>
        <v>Texas</v>
      </c>
      <c r="B1494" s="221">
        <f t="shared" si="2"/>
        <v>45627</v>
      </c>
      <c r="C1494" s="221" t="str">
        <f>IFERROR(VLOOKUP($B1494,KEY!$AE$19:$AH$60,2,FALSE),"")</f>
        <v>2024-Q4</v>
      </c>
      <c r="D1494" s="222" t="s">
        <v>138</v>
      </c>
      <c r="E1494" s="218">
        <v>9</v>
      </c>
    </row>
    <row r="1495" spans="1:5" x14ac:dyDescent="0.35">
      <c r="A1495" s="3" t="e">
        <f>IF(D1495="","",(VLOOKUP($D1495,KEY!$B$5:$D$74,3,FALSE)))</f>
        <v>#N/A</v>
      </c>
      <c r="B1495" s="221">
        <f t="shared" si="2"/>
        <v>45627</v>
      </c>
      <c r="C1495" s="221" t="str">
        <f>IFERROR(VLOOKUP($B1495,KEY!$AE$19:$AH$60,2,FALSE),"")</f>
        <v>2024-Q4</v>
      </c>
      <c r="D1495" s="222" t="s">
        <v>205</v>
      </c>
      <c r="E1495" s="218"/>
    </row>
    <row r="1496" spans="1:5" x14ac:dyDescent="0.35">
      <c r="A1496" s="3" t="str">
        <f>IF(D1496="","",(VLOOKUP($D1496,KEY!$B$5:$D$74,3,FALSE)))</f>
        <v>Southern California</v>
      </c>
      <c r="B1496" s="221">
        <f t="shared" si="2"/>
        <v>45627</v>
      </c>
      <c r="C1496" s="221" t="str">
        <f>IFERROR(VLOOKUP($B1496,KEY!$AE$19:$AH$60,2,FALSE),"")</f>
        <v>2024-Q4</v>
      </c>
      <c r="D1496" s="222" t="s">
        <v>139</v>
      </c>
      <c r="E1496" s="218">
        <v>15</v>
      </c>
    </row>
    <row r="1497" spans="1:5" x14ac:dyDescent="0.35">
      <c r="A1497" s="3" t="str">
        <f>IF(D1497="","",(VLOOKUP($D1497,KEY!$B$5:$D$74,3,FALSE)))</f>
        <v>Orange County</v>
      </c>
      <c r="B1497" s="221">
        <f t="shared" si="2"/>
        <v>45627</v>
      </c>
      <c r="C1497" s="221" t="str">
        <f>IFERROR(VLOOKUP($B1497,KEY!$AE$19:$AH$60,2,FALSE),"")</f>
        <v>2024-Q4</v>
      </c>
      <c r="D1497" s="222" t="s">
        <v>140</v>
      </c>
      <c r="E1497" s="218">
        <v>4</v>
      </c>
    </row>
    <row r="1498" spans="1:5" x14ac:dyDescent="0.35">
      <c r="A1498" s="3" t="str">
        <f>IF(D1498="","",(VLOOKUP($D1498,KEY!$B$5:$D$74,3,FALSE)))</f>
        <v>Southern California</v>
      </c>
      <c r="B1498" s="221">
        <f t="shared" si="2"/>
        <v>45627</v>
      </c>
      <c r="C1498" s="221" t="str">
        <f>IFERROR(VLOOKUP($B1498,KEY!$AE$19:$AH$60,2,FALSE),"")</f>
        <v>2024-Q4</v>
      </c>
      <c r="D1498" s="222" t="s">
        <v>142</v>
      </c>
      <c r="E1498" s="218">
        <v>6</v>
      </c>
    </row>
    <row r="1499" spans="1:5" x14ac:dyDescent="0.35">
      <c r="A1499" s="3" t="str">
        <f>IF(D1499="","",(VLOOKUP($D1499,KEY!$B$5:$D$74,3,FALSE)))</f>
        <v>Arizona</v>
      </c>
      <c r="B1499" s="221">
        <f t="shared" si="2"/>
        <v>45627</v>
      </c>
      <c r="C1499" s="221" t="str">
        <f>IFERROR(VLOOKUP($B1499,KEY!$AE$19:$AH$60,2,FALSE),"")</f>
        <v>2024-Q4</v>
      </c>
      <c r="D1499" s="222" t="s">
        <v>143</v>
      </c>
      <c r="E1499" s="218">
        <v>8</v>
      </c>
    </row>
    <row r="1500" spans="1:5" x14ac:dyDescent="0.35">
      <c r="A1500" s="3" t="str">
        <f>IF(D1500="","",(VLOOKUP($D1500,KEY!$B$5:$D$74,3,FALSE)))</f>
        <v>Arizona</v>
      </c>
      <c r="B1500" s="221">
        <f t="shared" si="2"/>
        <v>45627</v>
      </c>
      <c r="C1500" s="221" t="str">
        <f>IFERROR(VLOOKUP($B1500,KEY!$AE$19:$AH$60,2,FALSE),"")</f>
        <v>2024-Q4</v>
      </c>
      <c r="D1500" s="222" t="s">
        <v>144</v>
      </c>
      <c r="E1500" s="218">
        <v>22</v>
      </c>
    </row>
    <row r="1501" spans="1:5" x14ac:dyDescent="0.35">
      <c r="A1501" s="3" t="str">
        <f>IF(D1501="","",(VLOOKUP($D1501,KEY!$B$5:$D$74,3,FALSE)))</f>
        <v>Southern California</v>
      </c>
      <c r="B1501" s="221">
        <f t="shared" si="2"/>
        <v>45627</v>
      </c>
      <c r="C1501" s="221" t="str">
        <f>IFERROR(VLOOKUP($B1501,KEY!$AE$19:$AH$60,2,FALSE),"")</f>
        <v>2024-Q4</v>
      </c>
      <c r="D1501" s="222" t="s">
        <v>145</v>
      </c>
      <c r="E1501" s="218">
        <v>14</v>
      </c>
    </row>
    <row r="1502" spans="1:5" x14ac:dyDescent="0.35">
      <c r="A1502" s="3" t="str">
        <f>IF(D1502="","",(VLOOKUP($D1502,KEY!$B$5:$D$74,3,FALSE)))</f>
        <v>Arizona</v>
      </c>
      <c r="B1502" s="221">
        <f t="shared" si="2"/>
        <v>45627</v>
      </c>
      <c r="C1502" s="221" t="str">
        <f>IFERROR(VLOOKUP($B1502,KEY!$AE$19:$AH$60,2,FALSE),"")</f>
        <v>2024-Q4</v>
      </c>
      <c r="D1502" s="222" t="s">
        <v>146</v>
      </c>
      <c r="E1502" s="218">
        <v>4</v>
      </c>
    </row>
    <row r="1503" spans="1:5" x14ac:dyDescent="0.35">
      <c r="A1503" s="3" t="str">
        <f>IF(D1503="","",(VLOOKUP($D1503,KEY!$B$5:$D$74,3,FALSE)))</f>
        <v>Texas</v>
      </c>
      <c r="B1503" s="221">
        <f t="shared" si="2"/>
        <v>45627</v>
      </c>
      <c r="C1503" s="221" t="str">
        <f>IFERROR(VLOOKUP($B1503,KEY!$AE$19:$AH$60,2,FALSE),"")</f>
        <v>2024-Q4</v>
      </c>
      <c r="D1503" s="222" t="s">
        <v>147</v>
      </c>
      <c r="E1503" s="218">
        <v>3</v>
      </c>
    </row>
    <row r="1504" spans="1:5" x14ac:dyDescent="0.35">
      <c r="A1504" s="3" t="str">
        <f>IF(D1504="","",(VLOOKUP($D1504,KEY!$B$5:$D$74,3,FALSE)))</f>
        <v>Northern California</v>
      </c>
      <c r="B1504" s="221">
        <f t="shared" si="2"/>
        <v>45627</v>
      </c>
      <c r="C1504" s="221" t="str">
        <f>IFERROR(VLOOKUP($B1504,KEY!$AE$19:$AH$60,2,FALSE),"")</f>
        <v>2024-Q4</v>
      </c>
      <c r="D1504" s="222" t="s">
        <v>148</v>
      </c>
      <c r="E1504" s="218">
        <v>4</v>
      </c>
    </row>
    <row r="1505" spans="1:5" x14ac:dyDescent="0.35">
      <c r="A1505" s="3" t="str">
        <f>IF(D1505="","",(VLOOKUP($D1505,KEY!$B$5:$D$74,3,FALSE)))</f>
        <v>Orange County</v>
      </c>
      <c r="B1505" s="221">
        <f t="shared" si="2"/>
        <v>45627</v>
      </c>
      <c r="C1505" s="221" t="str">
        <f>IFERROR(VLOOKUP($B1505,KEY!$AE$19:$AH$60,2,FALSE),"")</f>
        <v>2024-Q4</v>
      </c>
      <c r="D1505" s="222" t="s">
        <v>149</v>
      </c>
      <c r="E1505" s="218">
        <v>3</v>
      </c>
    </row>
    <row r="1506" spans="1:5" x14ac:dyDescent="0.35">
      <c r="A1506" s="3" t="str">
        <f>IF(D1506="","",(VLOOKUP($D1506,KEY!$B$5:$D$74,3,FALSE)))</f>
        <v>Southern California</v>
      </c>
      <c r="B1506" s="221">
        <f t="shared" si="2"/>
        <v>45627</v>
      </c>
      <c r="C1506" s="221" t="str">
        <f>IFERROR(VLOOKUP($B1506,KEY!$AE$19:$AH$60,2,FALSE),"")</f>
        <v>2024-Q4</v>
      </c>
      <c r="D1506" s="222" t="s">
        <v>150</v>
      </c>
      <c r="E1506" s="218">
        <v>3</v>
      </c>
    </row>
    <row r="1507" spans="1:5" x14ac:dyDescent="0.35">
      <c r="A1507" s="3" t="str">
        <f>IF(D1507="","",(VLOOKUP($D1507,KEY!$B$5:$D$74,3,FALSE)))</f>
        <v>Arizona</v>
      </c>
      <c r="B1507" s="221">
        <f t="shared" si="2"/>
        <v>45627</v>
      </c>
      <c r="C1507" s="221" t="str">
        <f>IFERROR(VLOOKUP($B1507,KEY!$AE$19:$AH$60,2,FALSE),"")</f>
        <v>2024-Q4</v>
      </c>
      <c r="D1507" s="222" t="s">
        <v>151</v>
      </c>
      <c r="E1507" s="218">
        <v>4</v>
      </c>
    </row>
    <row r="1508" spans="1:5" x14ac:dyDescent="0.35">
      <c r="A1508" s="3" t="str">
        <f>IF(D1508="","",(VLOOKUP($D1508,KEY!$B$5:$D$74,3,FALSE)))</f>
        <v>Michigan &amp; Minnesota</v>
      </c>
      <c r="B1508" s="221">
        <f t="shared" si="2"/>
        <v>45627</v>
      </c>
      <c r="C1508" s="221" t="str">
        <f>IFERROR(VLOOKUP($B1508,KEY!$AE$19:$AH$60,2,FALSE),"")</f>
        <v>2024-Q4</v>
      </c>
      <c r="D1508" s="222" t="s">
        <v>206</v>
      </c>
      <c r="E1508" s="218">
        <v>17</v>
      </c>
    </row>
    <row r="1509" spans="1:5" x14ac:dyDescent="0.35">
      <c r="A1509" s="3" t="str">
        <f>IF(D1509="","",(VLOOKUP($D1509,KEY!$B$5:$D$74,3,FALSE)))</f>
        <v>Michigan &amp; Minnesota</v>
      </c>
      <c r="B1509" s="221">
        <f t="shared" si="2"/>
        <v>45627</v>
      </c>
      <c r="C1509" s="221" t="str">
        <f>IFERROR(VLOOKUP($B1509,KEY!$AE$19:$AH$60,2,FALSE),"")</f>
        <v>2024-Q4</v>
      </c>
      <c r="D1509" s="222" t="s">
        <v>207</v>
      </c>
      <c r="E1509" s="218">
        <v>5</v>
      </c>
    </row>
    <row r="1510" spans="1:5" x14ac:dyDescent="0.35">
      <c r="A1510" s="3" t="str">
        <f>IF(D1510="","",(VLOOKUP($D1510,KEY!$B$5:$D$74,3,FALSE)))</f>
        <v>Indiana</v>
      </c>
      <c r="B1510" s="221">
        <f t="shared" si="2"/>
        <v>45627</v>
      </c>
      <c r="C1510" s="221" t="str">
        <f>IFERROR(VLOOKUP($B1510,KEY!$AE$19:$AH$60,2,FALSE),"")</f>
        <v>2024-Q4</v>
      </c>
      <c r="D1510" s="222" t="s">
        <v>208</v>
      </c>
      <c r="E1510" s="218">
        <v>10</v>
      </c>
    </row>
    <row r="1511" spans="1:5" x14ac:dyDescent="0.35">
      <c r="A1511" s="3" t="str">
        <f>IF(D1511="","",(VLOOKUP($D1511,KEY!$B$5:$D$74,3,FALSE)))</f>
        <v>Indiana</v>
      </c>
      <c r="B1511" s="221">
        <f t="shared" si="2"/>
        <v>45627</v>
      </c>
      <c r="C1511" s="221" t="str">
        <f>IFERROR(VLOOKUP($B1511,KEY!$AE$19:$AH$60,2,FALSE),"")</f>
        <v>2024-Q4</v>
      </c>
      <c r="D1511" s="222" t="s">
        <v>209</v>
      </c>
      <c r="E1511" s="218">
        <v>24</v>
      </c>
    </row>
    <row r="1512" spans="1:5" x14ac:dyDescent="0.35">
      <c r="A1512" s="3" t="str">
        <f>IF(D1512="","",(VLOOKUP($D1512,KEY!$B$5:$D$74,3,FALSE)))</f>
        <v>Northern California</v>
      </c>
      <c r="B1512" s="221">
        <f t="shared" si="2"/>
        <v>45627</v>
      </c>
      <c r="C1512" s="221" t="str">
        <f>IFERROR(VLOOKUP($B1512,KEY!$AE$19:$AH$60,2,FALSE),"")</f>
        <v>2024-Q4</v>
      </c>
      <c r="D1512" s="222" t="s">
        <v>152</v>
      </c>
      <c r="E1512" s="218">
        <v>13</v>
      </c>
    </row>
    <row r="1513" spans="1:5" x14ac:dyDescent="0.35">
      <c r="A1513" s="3" t="str">
        <f>IF(D1513="","",(VLOOKUP($D1513,KEY!$B$5:$D$74,3,FALSE)))</f>
        <v>Arizona</v>
      </c>
      <c r="B1513" s="221">
        <f t="shared" si="2"/>
        <v>45627</v>
      </c>
      <c r="C1513" s="221" t="str">
        <f>IFERROR(VLOOKUP($B1513,KEY!$AE$19:$AH$60,2,FALSE),"")</f>
        <v>2024-Q4</v>
      </c>
      <c r="D1513" s="222" t="s">
        <v>153</v>
      </c>
      <c r="E1513" s="218">
        <v>13</v>
      </c>
    </row>
    <row r="1514" spans="1:5" x14ac:dyDescent="0.35">
      <c r="A1514" s="3" t="str">
        <f>IF(D1514="","",(VLOOKUP($D1514,KEY!$B$5:$D$74,3,FALSE)))</f>
        <v>Northern California</v>
      </c>
      <c r="B1514" s="221">
        <f t="shared" si="2"/>
        <v>45627</v>
      </c>
      <c r="C1514" s="221" t="str">
        <f>IFERROR(VLOOKUP($B1514,KEY!$AE$19:$AH$60,2,FALSE),"")</f>
        <v>2024-Q4</v>
      </c>
      <c r="D1514" s="222" t="s">
        <v>154</v>
      </c>
      <c r="E1514" s="218">
        <v>8</v>
      </c>
    </row>
    <row r="1515" spans="1:5" x14ac:dyDescent="0.35">
      <c r="A1515" s="3" t="str">
        <f>IF(D1515="","",(VLOOKUP($D1515,KEY!$B$5:$D$74,3,FALSE)))</f>
        <v>Texas</v>
      </c>
      <c r="B1515" s="221">
        <f t="shared" si="2"/>
        <v>45627</v>
      </c>
      <c r="C1515" s="221" t="str">
        <f>IFERROR(VLOOKUP($B1515,KEY!$AE$19:$AH$60,2,FALSE),"")</f>
        <v>2024-Q4</v>
      </c>
      <c r="D1515" s="222" t="s">
        <v>155</v>
      </c>
      <c r="E1515" s="218">
        <v>23</v>
      </c>
    </row>
    <row r="1516" spans="1:5" x14ac:dyDescent="0.35">
      <c r="A1516" s="3" t="str">
        <f>IF(D1516="","",(VLOOKUP($D1516,KEY!$B$5:$D$74,3,FALSE)))</f>
        <v>Texas</v>
      </c>
      <c r="B1516" s="221">
        <f t="shared" si="2"/>
        <v>45627</v>
      </c>
      <c r="C1516" s="221" t="str">
        <f>IFERROR(VLOOKUP($B1516,KEY!$AE$19:$AH$60,2,FALSE),"")</f>
        <v>2024-Q4</v>
      </c>
      <c r="D1516" s="222" t="s">
        <v>156</v>
      </c>
      <c r="E1516" s="218">
        <v>16</v>
      </c>
    </row>
    <row r="1517" spans="1:5" x14ac:dyDescent="0.35">
      <c r="A1517" s="3" t="str">
        <f>IF(D1517="","",(VLOOKUP($D1517,KEY!$B$5:$D$74,3,FALSE)))</f>
        <v>Texas</v>
      </c>
      <c r="B1517" s="221">
        <f t="shared" si="2"/>
        <v>45627</v>
      </c>
      <c r="C1517" s="221" t="str">
        <f>IFERROR(VLOOKUP($B1517,KEY!$AE$19:$AH$60,2,FALSE),"")</f>
        <v>2024-Q4</v>
      </c>
      <c r="D1517" s="222" t="s">
        <v>157</v>
      </c>
      <c r="E1517" s="218">
        <v>38</v>
      </c>
    </row>
    <row r="1518" spans="1:5" x14ac:dyDescent="0.35">
      <c r="A1518" s="3" t="str">
        <f>IF(D1518="","",(VLOOKUP($D1518,KEY!$B$5:$D$74,3,FALSE)))</f>
        <v>Arizona</v>
      </c>
      <c r="B1518" s="221">
        <f t="shared" si="2"/>
        <v>45627</v>
      </c>
      <c r="C1518" s="221" t="str">
        <f>IFERROR(VLOOKUP($B1518,KEY!$AE$19:$AH$60,2,FALSE),"")</f>
        <v>2024-Q4</v>
      </c>
      <c r="D1518" s="222" t="s">
        <v>158</v>
      </c>
      <c r="E1518" s="218">
        <v>6</v>
      </c>
    </row>
    <row r="1519" spans="1:5" x14ac:dyDescent="0.35">
      <c r="A1519" s="3" t="str">
        <f>IF(D1519="","",(VLOOKUP($D1519,KEY!$B$5:$D$74,3,FALSE)))</f>
        <v>Orange County</v>
      </c>
      <c r="B1519" s="221">
        <f t="shared" si="2"/>
        <v>45627</v>
      </c>
      <c r="C1519" s="221" t="str">
        <f>IFERROR(VLOOKUP($B1519,KEY!$AE$19:$AH$60,2,FALSE),"")</f>
        <v>2024-Q4</v>
      </c>
      <c r="D1519" s="222" t="s">
        <v>159</v>
      </c>
      <c r="E1519" s="218">
        <v>10</v>
      </c>
    </row>
    <row r="1520" spans="1:5" x14ac:dyDescent="0.35">
      <c r="A1520" s="3" t="str">
        <f>IF(D1520="","",(VLOOKUP($D1520,KEY!$B$5:$D$74,3,FALSE)))</f>
        <v>Arizona</v>
      </c>
      <c r="B1520" s="221">
        <f t="shared" si="2"/>
        <v>45627</v>
      </c>
      <c r="C1520" s="221" t="str">
        <f>IFERROR(VLOOKUP($B1520,KEY!$AE$19:$AH$60,2,FALSE),"")</f>
        <v>2024-Q4</v>
      </c>
      <c r="D1520" s="222" t="s">
        <v>160</v>
      </c>
      <c r="E1520" s="218">
        <v>24</v>
      </c>
    </row>
    <row r="1521" spans="1:5" x14ac:dyDescent="0.35">
      <c r="A1521" s="3" t="str">
        <f>IF(D1521="","",(VLOOKUP($D1521,KEY!$B$5:$D$74,3,FALSE)))</f>
        <v>Northern California</v>
      </c>
      <c r="B1521" s="221">
        <f t="shared" si="2"/>
        <v>45627</v>
      </c>
      <c r="C1521" s="221" t="str">
        <f>IFERROR(VLOOKUP($B1521,KEY!$AE$19:$AH$60,2,FALSE),"")</f>
        <v>2024-Q4</v>
      </c>
      <c r="D1521" s="222" t="s">
        <v>161</v>
      </c>
      <c r="E1521" s="218">
        <v>20</v>
      </c>
    </row>
    <row r="1522" spans="1:5" x14ac:dyDescent="0.35">
      <c r="A1522" s="3" t="e">
        <f>IF(D1522="","",(VLOOKUP($D1522,KEY!$B$5:$D$74,3,FALSE)))</f>
        <v>#N/A</v>
      </c>
      <c r="B1522" s="221">
        <f t="shared" si="2"/>
        <v>45627</v>
      </c>
      <c r="C1522" s="221" t="str">
        <f>IFERROR(VLOOKUP($B1522,KEY!$AE$19:$AH$60,2,FALSE),"")</f>
        <v>2024-Q4</v>
      </c>
      <c r="D1522" s="222" t="s">
        <v>162</v>
      </c>
      <c r="E1522" s="218">
        <v>30</v>
      </c>
    </row>
    <row r="1523" spans="1:5" x14ac:dyDescent="0.35">
      <c r="A1523" s="3" t="str">
        <f>IF(D1523="","",(VLOOKUP($D1523,KEY!$B$5:$D$74,3,FALSE)))</f>
        <v>Arizona</v>
      </c>
      <c r="B1523" s="221">
        <f t="shared" si="2"/>
        <v>45627</v>
      </c>
      <c r="C1523" s="221" t="str">
        <f>IFERROR(VLOOKUP($B1523,KEY!$AE$19:$AH$60,2,FALSE),"")</f>
        <v>2024-Q4</v>
      </c>
      <c r="D1523" s="222" t="s">
        <v>163</v>
      </c>
      <c r="E1523" s="218">
        <v>17</v>
      </c>
    </row>
    <row r="1524" spans="1:5" x14ac:dyDescent="0.35">
      <c r="A1524" s="3" t="str">
        <f>IF(D1524="","",(VLOOKUP($D1524,KEY!$B$5:$D$74,3,FALSE)))</f>
        <v>Arizona</v>
      </c>
      <c r="B1524" s="221">
        <f t="shared" ref="B1524:B1528" si="3">B1523</f>
        <v>45627</v>
      </c>
      <c r="C1524" s="221" t="str">
        <f>IFERROR(VLOOKUP($B1524,KEY!$AE$19:$AH$60,2,FALSE),"")</f>
        <v>2024-Q4</v>
      </c>
      <c r="D1524" s="222" t="s">
        <v>164</v>
      </c>
      <c r="E1524" s="218">
        <v>6</v>
      </c>
    </row>
    <row r="1525" spans="1:5" x14ac:dyDescent="0.35">
      <c r="A1525" s="3" t="str">
        <f>IF(D1525="","",(VLOOKUP($D1525,KEY!$B$5:$D$74,3,FALSE)))</f>
        <v>Orange County</v>
      </c>
      <c r="B1525" s="221">
        <f t="shared" si="3"/>
        <v>45627</v>
      </c>
      <c r="C1525" s="221" t="str">
        <f>IFERROR(VLOOKUP($B1525,KEY!$AE$19:$AH$60,2,FALSE),"")</f>
        <v>2024-Q4</v>
      </c>
      <c r="D1525" s="222" t="s">
        <v>165</v>
      </c>
      <c r="E1525" s="218">
        <v>8</v>
      </c>
    </row>
    <row r="1526" spans="1:5" x14ac:dyDescent="0.35">
      <c r="A1526" s="3" t="str">
        <f>IF(D1526="","",(VLOOKUP($D1526,KEY!$B$5:$D$74,3,FALSE)))</f>
        <v/>
      </c>
      <c r="B1526" s="221">
        <f t="shared" si="3"/>
        <v>45627</v>
      </c>
      <c r="C1526" s="221" t="str">
        <f>IFERROR(VLOOKUP($B1526,KEY!$AE$19:$AH$60,2,FALSE),"")</f>
        <v>2024-Q4</v>
      </c>
      <c r="D1526" s="222"/>
      <c r="E1526" s="218"/>
    </row>
    <row r="1527" spans="1:5" x14ac:dyDescent="0.35">
      <c r="A1527" s="3" t="str">
        <f>IF(D1527="","",(VLOOKUP($D1527,KEY!$B$5:$D$74,3,FALSE)))</f>
        <v/>
      </c>
      <c r="B1527" s="221">
        <f t="shared" si="3"/>
        <v>45627</v>
      </c>
      <c r="C1527" s="221" t="str">
        <f>IFERROR(VLOOKUP($B1527,KEY!$AE$19:$AH$60,2,FALSE),"")</f>
        <v>2024-Q4</v>
      </c>
      <c r="D1527" s="222"/>
      <c r="E1527" s="218"/>
    </row>
    <row r="1528" spans="1:5" x14ac:dyDescent="0.35">
      <c r="A1528" s="3" t="str">
        <f>IF(D1528="","",(VLOOKUP($D1528,KEY!$B$5:$D$74,3,FALSE)))</f>
        <v/>
      </c>
      <c r="B1528" s="221">
        <f t="shared" si="3"/>
        <v>45627</v>
      </c>
      <c r="C1528" s="221" t="str">
        <f>IFERROR(VLOOKUP($B1528,KEY!$AE$19:$AH$60,2,FALSE),"")</f>
        <v>2024-Q4</v>
      </c>
      <c r="D1528" s="222"/>
      <c r="E1528" s="218"/>
    </row>
    <row r="1529" spans="1:5" x14ac:dyDescent="0.35">
      <c r="A1529" s="3" t="str">
        <f>IF(D1529="","",(VLOOKUP($D1529,KEY!$B$5:$D$74,3,FALSE)))</f>
        <v>Arizona</v>
      </c>
      <c r="B1529" s="434">
        <f>DATE(YEAR(B1528+31),MONTH(B1528+31),1)</f>
        <v>45658</v>
      </c>
      <c r="C1529" s="434" t="str">
        <f>IFERROR(VLOOKUP($B1529,KEY!$AE$19:$AH$60,2,FALSE),"")</f>
        <v>2025-Q1</v>
      </c>
      <c r="D1529" s="435" t="s">
        <v>111</v>
      </c>
      <c r="E1529" s="436">
        <v>8</v>
      </c>
    </row>
    <row r="1530" spans="1:5" x14ac:dyDescent="0.35">
      <c r="A1530" s="3" t="str">
        <f>IF(D1530="","",(VLOOKUP($D1530,KEY!$B$5:$D$74,3,FALSE)))</f>
        <v>Southern California</v>
      </c>
      <c r="B1530" s="221">
        <f t="shared" ref="B1530:B1593" si="4">B1529</f>
        <v>45658</v>
      </c>
      <c r="C1530" s="221" t="str">
        <f>IFERROR(VLOOKUP($B1530,KEY!$AE$19:$AH$60,2,FALSE),"")</f>
        <v>2025-Q1</v>
      </c>
      <c r="D1530" s="222" t="s">
        <v>112</v>
      </c>
      <c r="E1530" s="218">
        <v>4</v>
      </c>
    </row>
    <row r="1531" spans="1:5" x14ac:dyDescent="0.35">
      <c r="A1531" s="3" t="str">
        <f>IF(D1531="","",(VLOOKUP($D1531,KEY!$B$5:$D$74,3,FALSE)))</f>
        <v>Arizona</v>
      </c>
      <c r="B1531" s="221">
        <f t="shared" si="4"/>
        <v>45658</v>
      </c>
      <c r="C1531" s="221" t="str">
        <f>IFERROR(VLOOKUP($B1531,KEY!$AE$19:$AH$60,2,FALSE),"")</f>
        <v>2025-Q1</v>
      </c>
      <c r="D1531" s="222" t="s">
        <v>113</v>
      </c>
      <c r="E1531" s="218">
        <v>6</v>
      </c>
    </row>
    <row r="1532" spans="1:5" x14ac:dyDescent="0.35">
      <c r="A1532" s="3" t="str">
        <f>IF(D1532="","",(VLOOKUP($D1532,KEY!$B$5:$D$74,3,FALSE)))</f>
        <v>Southern California</v>
      </c>
      <c r="B1532" s="221">
        <f t="shared" si="4"/>
        <v>45658</v>
      </c>
      <c r="C1532" s="221" t="str">
        <f>IFERROR(VLOOKUP($B1532,KEY!$AE$19:$AH$60,2,FALSE),"")</f>
        <v>2025-Q1</v>
      </c>
      <c r="D1532" s="222" t="s">
        <v>114</v>
      </c>
      <c r="E1532" s="218">
        <v>5</v>
      </c>
    </row>
    <row r="1533" spans="1:5" x14ac:dyDescent="0.35">
      <c r="A1533" s="3" t="str">
        <f>IF(D1533="","",(VLOOKUP($D1533,KEY!$B$5:$D$74,3,FALSE)))</f>
        <v>Orange County</v>
      </c>
      <c r="B1533" s="221">
        <f t="shared" si="4"/>
        <v>45658</v>
      </c>
      <c r="C1533" s="221" t="str">
        <f>IFERROR(VLOOKUP($B1533,KEY!$AE$19:$AH$60,2,FALSE),"")</f>
        <v>2025-Q1</v>
      </c>
      <c r="D1533" s="222" t="s">
        <v>115</v>
      </c>
      <c r="E1533" s="218">
        <v>5</v>
      </c>
    </row>
    <row r="1534" spans="1:5" x14ac:dyDescent="0.35">
      <c r="A1534" s="3" t="str">
        <f>IF(D1534="","",(VLOOKUP($D1534,KEY!$B$5:$D$74,3,FALSE)))</f>
        <v>Arizona</v>
      </c>
      <c r="B1534" s="221">
        <f t="shared" si="4"/>
        <v>45658</v>
      </c>
      <c r="C1534" s="221" t="str">
        <f>IFERROR(VLOOKUP($B1534,KEY!$AE$19:$AH$60,2,FALSE),"")</f>
        <v>2025-Q1</v>
      </c>
      <c r="D1534" s="222" t="s">
        <v>116</v>
      </c>
      <c r="E1534" s="218">
        <v>9</v>
      </c>
    </row>
    <row r="1535" spans="1:5" x14ac:dyDescent="0.35">
      <c r="A1535" s="3" t="str">
        <f>IF(D1535="","",(VLOOKUP($D1535,KEY!$B$5:$D$74,3,FALSE)))</f>
        <v>Northern California</v>
      </c>
      <c r="B1535" s="221">
        <f t="shared" si="4"/>
        <v>45658</v>
      </c>
      <c r="C1535" s="221" t="str">
        <f>IFERROR(VLOOKUP($B1535,KEY!$AE$19:$AH$60,2,FALSE),"")</f>
        <v>2025-Q1</v>
      </c>
      <c r="D1535" s="222" t="s">
        <v>118</v>
      </c>
      <c r="E1535" s="218">
        <v>10</v>
      </c>
    </row>
    <row r="1536" spans="1:5" x14ac:dyDescent="0.35">
      <c r="A1536" s="3" t="str">
        <f>IF(D1536="","",(VLOOKUP($D1536,KEY!$B$5:$D$74,3,FALSE)))</f>
        <v>Orange County</v>
      </c>
      <c r="B1536" s="221">
        <f t="shared" si="4"/>
        <v>45658</v>
      </c>
      <c r="C1536" s="221" t="str">
        <f>IFERROR(VLOOKUP($B1536,KEY!$AE$19:$AH$60,2,FALSE),"")</f>
        <v>2025-Q1</v>
      </c>
      <c r="D1536" s="222" t="s">
        <v>117</v>
      </c>
      <c r="E1536" s="218">
        <v>8</v>
      </c>
    </row>
    <row r="1537" spans="1:5" x14ac:dyDescent="0.35">
      <c r="A1537" s="3" t="str">
        <f>IF(D1537="","",(VLOOKUP($D1537,KEY!$B$5:$D$74,3,FALSE)))</f>
        <v>Arizona</v>
      </c>
      <c r="B1537" s="221">
        <f t="shared" si="4"/>
        <v>45658</v>
      </c>
      <c r="C1537" s="221" t="str">
        <f>IFERROR(VLOOKUP($B1537,KEY!$AE$19:$AH$60,2,FALSE),"")</f>
        <v>2025-Q1</v>
      </c>
      <c r="D1537" s="222" t="s">
        <v>119</v>
      </c>
      <c r="E1537" s="218">
        <v>4</v>
      </c>
    </row>
    <row r="1538" spans="1:5" x14ac:dyDescent="0.35">
      <c r="A1538" s="3" t="str">
        <f>IF(D1538="","",(VLOOKUP($D1538,KEY!$B$5:$D$74,3,FALSE)))</f>
        <v/>
      </c>
      <c r="B1538" s="221">
        <f t="shared" si="4"/>
        <v>45658</v>
      </c>
      <c r="C1538" s="221" t="str">
        <f>IFERROR(VLOOKUP($B1538,KEY!$AE$19:$AH$60,2,FALSE),"")</f>
        <v>2025-Q1</v>
      </c>
      <c r="D1538" s="222"/>
      <c r="E1538" s="218"/>
    </row>
    <row r="1539" spans="1:5" x14ac:dyDescent="0.35">
      <c r="A1539" s="3" t="str">
        <f>IF(D1539="","",(VLOOKUP($D1539,KEY!$B$5:$D$74,3,FALSE)))</f>
        <v>Arizona</v>
      </c>
      <c r="B1539" s="221">
        <f t="shared" si="4"/>
        <v>45658</v>
      </c>
      <c r="C1539" s="221" t="str">
        <f>IFERROR(VLOOKUP($B1539,KEY!$AE$19:$AH$60,2,FALSE),"")</f>
        <v>2025-Q1</v>
      </c>
      <c r="D1539" s="222" t="s">
        <v>120</v>
      </c>
      <c r="E1539" s="218">
        <v>27</v>
      </c>
    </row>
    <row r="1540" spans="1:5" x14ac:dyDescent="0.35">
      <c r="A1540" s="3" t="str">
        <f>IF(D1540="","",(VLOOKUP($D1540,KEY!$B$5:$D$74,3,FALSE)))</f>
        <v>Texas</v>
      </c>
      <c r="B1540" s="221">
        <f t="shared" si="4"/>
        <v>45658</v>
      </c>
      <c r="C1540" s="221" t="str">
        <f>IFERROR(VLOOKUP($B1540,KEY!$AE$19:$AH$60,2,FALSE),"")</f>
        <v>2025-Q1</v>
      </c>
      <c r="D1540" s="222" t="s">
        <v>121</v>
      </c>
      <c r="E1540" s="218">
        <v>24</v>
      </c>
    </row>
    <row r="1541" spans="1:5" x14ac:dyDescent="0.35">
      <c r="A1541" s="3" t="str">
        <f>IF(D1541="","",(VLOOKUP($D1541,KEY!$B$5:$D$74,3,FALSE)))</f>
        <v>Michigan &amp; Minnesota</v>
      </c>
      <c r="B1541" s="221">
        <f t="shared" si="4"/>
        <v>45658</v>
      </c>
      <c r="C1541" s="221" t="str">
        <f>IFERROR(VLOOKUP($B1541,KEY!$AE$19:$AH$60,2,FALSE),"")</f>
        <v>2025-Q1</v>
      </c>
      <c r="D1541" s="222" t="s">
        <v>200</v>
      </c>
      <c r="E1541" s="218">
        <v>14</v>
      </c>
    </row>
    <row r="1542" spans="1:5" x14ac:dyDescent="0.35">
      <c r="A1542" s="3" t="str">
        <f>IF(D1542="","",(VLOOKUP($D1542,KEY!$B$5:$D$74,3,FALSE)))</f>
        <v>Southern California</v>
      </c>
      <c r="B1542" s="221">
        <f t="shared" si="4"/>
        <v>45658</v>
      </c>
      <c r="C1542" s="221" t="str">
        <f>IFERROR(VLOOKUP($B1542,KEY!$AE$19:$AH$60,2,FALSE),"")</f>
        <v>2025-Q1</v>
      </c>
      <c r="D1542" s="222" t="s">
        <v>122</v>
      </c>
      <c r="E1542" s="218">
        <v>8</v>
      </c>
    </row>
    <row r="1543" spans="1:5" x14ac:dyDescent="0.35">
      <c r="A1543" s="3" t="str">
        <f>IF(D1543="","",(VLOOKUP($D1543,KEY!$B$5:$D$74,3,FALSE)))</f>
        <v>Orange County</v>
      </c>
      <c r="B1543" s="221">
        <f t="shared" si="4"/>
        <v>45658</v>
      </c>
      <c r="C1543" s="221" t="str">
        <f>IFERROR(VLOOKUP($B1543,KEY!$AE$19:$AH$60,2,FALSE),"")</f>
        <v>2025-Q1</v>
      </c>
      <c r="D1543" s="222" t="s">
        <v>123</v>
      </c>
      <c r="E1543" s="218">
        <v>17</v>
      </c>
    </row>
    <row r="1544" spans="1:5" x14ac:dyDescent="0.35">
      <c r="A1544" s="3" t="str">
        <f>IF(D1544="","",(VLOOKUP($D1544,KEY!$B$5:$D$74,3,FALSE)))</f>
        <v>Southern California</v>
      </c>
      <c r="B1544" s="221">
        <f t="shared" si="4"/>
        <v>45658</v>
      </c>
      <c r="C1544" s="221" t="str">
        <f>IFERROR(VLOOKUP($B1544,KEY!$AE$19:$AH$60,2,FALSE),"")</f>
        <v>2025-Q1</v>
      </c>
      <c r="D1544" s="222" t="s">
        <v>124</v>
      </c>
      <c r="E1544" s="218">
        <v>21</v>
      </c>
    </row>
    <row r="1545" spans="1:5" x14ac:dyDescent="0.35">
      <c r="A1545" s="3" t="str">
        <f>IF(D1545="","",(VLOOKUP($D1545,KEY!$B$5:$D$74,3,FALSE)))</f>
        <v>Northern California</v>
      </c>
      <c r="B1545" s="221">
        <f t="shared" si="4"/>
        <v>45658</v>
      </c>
      <c r="C1545" s="221" t="str">
        <f>IFERROR(VLOOKUP($B1545,KEY!$AE$19:$AH$60,2,FALSE),"")</f>
        <v>2025-Q1</v>
      </c>
      <c r="D1545" s="222" t="s">
        <v>195</v>
      </c>
      <c r="E1545" s="218">
        <v>6</v>
      </c>
    </row>
    <row r="1546" spans="1:5" x14ac:dyDescent="0.35">
      <c r="A1546" s="3" t="str">
        <f>IF(D1546="","",(VLOOKUP($D1546,KEY!$B$5:$D$74,3,FALSE)))</f>
        <v>Northern California</v>
      </c>
      <c r="B1546" s="221">
        <f t="shared" si="4"/>
        <v>45658</v>
      </c>
      <c r="C1546" s="221" t="str">
        <f>IFERROR(VLOOKUP($B1546,KEY!$AE$19:$AH$60,2,FALSE),"")</f>
        <v>2025-Q1</v>
      </c>
      <c r="D1546" s="222" t="s">
        <v>125</v>
      </c>
      <c r="E1546" s="218">
        <v>16</v>
      </c>
    </row>
    <row r="1547" spans="1:5" x14ac:dyDescent="0.35">
      <c r="A1547" s="3" t="str">
        <f>IF(D1547="","",(VLOOKUP($D1547,KEY!$B$5:$D$74,3,FALSE)))</f>
        <v>Orange County</v>
      </c>
      <c r="B1547" s="221">
        <f t="shared" si="4"/>
        <v>45658</v>
      </c>
      <c r="C1547" s="221" t="str">
        <f>IFERROR(VLOOKUP($B1547,KEY!$AE$19:$AH$60,2,FALSE),"")</f>
        <v>2025-Q1</v>
      </c>
      <c r="D1547" s="222" t="s">
        <v>126</v>
      </c>
      <c r="E1547" s="218">
        <v>31</v>
      </c>
    </row>
    <row r="1548" spans="1:5" x14ac:dyDescent="0.35">
      <c r="A1548" s="3" t="str">
        <f>IF(D1548="","",(VLOOKUP($D1548,KEY!$B$5:$D$74,3,FALSE)))</f>
        <v>Orange County</v>
      </c>
      <c r="B1548" s="221">
        <f t="shared" si="4"/>
        <v>45658</v>
      </c>
      <c r="C1548" s="221" t="str">
        <f>IFERROR(VLOOKUP($B1548,KEY!$AE$19:$AH$60,2,FALSE),"")</f>
        <v>2025-Q1</v>
      </c>
      <c r="D1548" s="222" t="s">
        <v>127</v>
      </c>
      <c r="E1548" s="218">
        <v>4</v>
      </c>
    </row>
    <row r="1549" spans="1:5" x14ac:dyDescent="0.35">
      <c r="A1549" s="3" t="str">
        <f>IF(D1549="","",(VLOOKUP($D1549,KEY!$B$5:$D$74,3,FALSE)))</f>
        <v>Wisconsin</v>
      </c>
      <c r="B1549" s="221">
        <f t="shared" si="4"/>
        <v>45658</v>
      </c>
      <c r="C1549" s="221" t="str">
        <f>IFERROR(VLOOKUP($B1549,KEY!$AE$19:$AH$60,2,FALSE),"")</f>
        <v>2025-Q1</v>
      </c>
      <c r="D1549" s="222" t="s">
        <v>201</v>
      </c>
      <c r="E1549" s="218">
        <v>13</v>
      </c>
    </row>
    <row r="1550" spans="1:5" x14ac:dyDescent="0.35">
      <c r="A1550" s="3" t="e">
        <f>IF(D1550="","",(VLOOKUP($D1550,KEY!$B$5:$D$74,3,FALSE)))</f>
        <v>#N/A</v>
      </c>
      <c r="B1550" s="221">
        <f t="shared" si="4"/>
        <v>45658</v>
      </c>
      <c r="C1550" s="221" t="str">
        <f>IFERROR(VLOOKUP($B1550,KEY!$AE$19:$AH$60,2,FALSE),"")</f>
        <v>2025-Q1</v>
      </c>
      <c r="D1550" s="222" t="s">
        <v>202</v>
      </c>
      <c r="E1550" s="218">
        <v>3</v>
      </c>
    </row>
    <row r="1551" spans="1:5" x14ac:dyDescent="0.35">
      <c r="A1551" s="3" t="str">
        <f>IF(D1551="","",(VLOOKUP($D1551,KEY!$B$5:$D$74,3,FALSE)))</f>
        <v>Texas</v>
      </c>
      <c r="B1551" s="221">
        <f t="shared" si="4"/>
        <v>45658</v>
      </c>
      <c r="C1551" s="221" t="str">
        <f>IFERROR(VLOOKUP($B1551,KEY!$AE$19:$AH$60,2,FALSE),"")</f>
        <v>2025-Q1</v>
      </c>
      <c r="D1551" s="222" t="s">
        <v>198</v>
      </c>
      <c r="E1551" s="218">
        <v>8</v>
      </c>
    </row>
    <row r="1552" spans="1:5" x14ac:dyDescent="0.35">
      <c r="A1552" s="3" t="str">
        <f>IF(D1552="","",(VLOOKUP($D1552,KEY!$B$5:$D$74,3,FALSE)))</f>
        <v>Texas</v>
      </c>
      <c r="B1552" s="221">
        <f t="shared" si="4"/>
        <v>45658</v>
      </c>
      <c r="C1552" s="221" t="str">
        <f>IFERROR(VLOOKUP($B1552,KEY!$AE$19:$AH$60,2,FALSE),"")</f>
        <v>2025-Q1</v>
      </c>
      <c r="D1552" s="222" t="s">
        <v>128</v>
      </c>
      <c r="E1552" s="218">
        <v>14</v>
      </c>
    </row>
    <row r="1553" spans="1:5" x14ac:dyDescent="0.35">
      <c r="A1553" s="3" t="str">
        <f>IF(D1553="","",(VLOOKUP($D1553,KEY!$B$5:$D$74,3,FALSE)))</f>
        <v>Northern California</v>
      </c>
      <c r="B1553" s="221">
        <f t="shared" si="4"/>
        <v>45658</v>
      </c>
      <c r="C1553" s="221" t="str">
        <f>IFERROR(VLOOKUP($B1553,KEY!$AE$19:$AH$60,2,FALSE),"")</f>
        <v>2025-Q1</v>
      </c>
      <c r="D1553" s="222" t="s">
        <v>129</v>
      </c>
      <c r="E1553" s="218">
        <v>16</v>
      </c>
    </row>
    <row r="1554" spans="1:5" x14ac:dyDescent="0.35">
      <c r="A1554" s="3" t="str">
        <f>IF(D1554="","",(VLOOKUP($D1554,KEY!$B$5:$D$74,3,FALSE)))</f>
        <v>Southern California</v>
      </c>
      <c r="B1554" s="221">
        <f t="shared" si="4"/>
        <v>45658</v>
      </c>
      <c r="C1554" s="221" t="str">
        <f>IFERROR(VLOOKUP($B1554,KEY!$AE$19:$AH$60,2,FALSE),"")</f>
        <v>2025-Q1</v>
      </c>
      <c r="D1554" s="222" t="s">
        <v>130</v>
      </c>
      <c r="E1554" s="218">
        <v>9</v>
      </c>
    </row>
    <row r="1555" spans="1:5" x14ac:dyDescent="0.35">
      <c r="A1555" s="3" t="e">
        <f>IF(D1555="","",(VLOOKUP($D1555,KEY!$B$5:$D$74,3,FALSE)))</f>
        <v>#N/A</v>
      </c>
      <c r="B1555" s="221">
        <f t="shared" si="4"/>
        <v>45658</v>
      </c>
      <c r="C1555" s="221" t="str">
        <f>IFERROR(VLOOKUP($B1555,KEY!$AE$19:$AH$60,2,FALSE),"")</f>
        <v>2025-Q1</v>
      </c>
      <c r="D1555" s="222" t="s">
        <v>203</v>
      </c>
      <c r="E1555" s="218">
        <v>8</v>
      </c>
    </row>
    <row r="1556" spans="1:5" x14ac:dyDescent="0.35">
      <c r="A1556" s="3">
        <f>IF(D1556="","",(VLOOKUP($D1556,KEY!$B$5:$D$74,3,FALSE)))</f>
        <v>0</v>
      </c>
      <c r="B1556" s="221">
        <f t="shared" si="4"/>
        <v>45658</v>
      </c>
      <c r="C1556" s="221" t="str">
        <f>IFERROR(VLOOKUP($B1556,KEY!$AE$19:$AH$60,2,FALSE),"")</f>
        <v>2025-Q1</v>
      </c>
      <c r="D1556" s="222" t="s">
        <v>131</v>
      </c>
      <c r="E1556" s="218">
        <v>12</v>
      </c>
    </row>
    <row r="1557" spans="1:5" x14ac:dyDescent="0.35">
      <c r="A1557" s="3" t="e">
        <f>IF(D1557="","",(VLOOKUP($D1557,KEY!$B$5:$D$74,3,FALSE)))</f>
        <v>#N/A</v>
      </c>
      <c r="B1557" s="221">
        <f t="shared" si="4"/>
        <v>45658</v>
      </c>
      <c r="C1557" s="221" t="str">
        <f>IFERROR(VLOOKUP($B1557,KEY!$AE$19:$AH$60,2,FALSE),"")</f>
        <v>2025-Q1</v>
      </c>
      <c r="D1557" s="222" t="s">
        <v>134</v>
      </c>
      <c r="E1557" s="218">
        <v>4</v>
      </c>
    </row>
    <row r="1558" spans="1:5" x14ac:dyDescent="0.35">
      <c r="A1558" s="3" t="str">
        <f>IF(D1558="","",(VLOOKUP($D1558,KEY!$B$5:$D$74,3,FALSE)))</f>
        <v>Southern California</v>
      </c>
      <c r="B1558" s="221">
        <f t="shared" si="4"/>
        <v>45658</v>
      </c>
      <c r="C1558" s="221" t="str">
        <f>IFERROR(VLOOKUP($B1558,KEY!$AE$19:$AH$60,2,FALSE),"")</f>
        <v>2025-Q1</v>
      </c>
      <c r="D1558" s="222" t="s">
        <v>135</v>
      </c>
      <c r="E1558" s="218">
        <v>11</v>
      </c>
    </row>
    <row r="1559" spans="1:5" x14ac:dyDescent="0.35">
      <c r="A1559" s="3" t="str">
        <f>IF(D1559="","",(VLOOKUP($D1559,KEY!$B$5:$D$74,3,FALSE)))</f>
        <v>Arizona</v>
      </c>
      <c r="B1559" s="221">
        <f t="shared" si="4"/>
        <v>45658</v>
      </c>
      <c r="C1559" s="221" t="str">
        <f>IFERROR(VLOOKUP($B1559,KEY!$AE$19:$AH$60,2,FALSE),"")</f>
        <v>2025-Q1</v>
      </c>
      <c r="D1559" s="222" t="s">
        <v>204</v>
      </c>
      <c r="E1559" s="218">
        <v>1</v>
      </c>
    </row>
    <row r="1560" spans="1:5" x14ac:dyDescent="0.35">
      <c r="A1560" s="3" t="str">
        <f>IF(D1560="","",(VLOOKUP($D1560,KEY!$B$5:$D$74,3,FALSE)))</f>
        <v>Arizona</v>
      </c>
      <c r="B1560" s="221">
        <f t="shared" si="4"/>
        <v>45658</v>
      </c>
      <c r="C1560" s="221" t="str">
        <f>IFERROR(VLOOKUP($B1560,KEY!$AE$19:$AH$60,2,FALSE),"")</f>
        <v>2025-Q1</v>
      </c>
      <c r="D1560" s="222" t="s">
        <v>196</v>
      </c>
      <c r="E1560" s="218">
        <v>5</v>
      </c>
    </row>
    <row r="1561" spans="1:5" x14ac:dyDescent="0.35">
      <c r="A1561" s="3" t="str">
        <f>IF(D1561="","",(VLOOKUP($D1561,KEY!$B$5:$D$74,3,FALSE)))</f>
        <v>Arizona</v>
      </c>
      <c r="B1561" s="221">
        <f t="shared" si="4"/>
        <v>45658</v>
      </c>
      <c r="C1561" s="221" t="str">
        <f>IFERROR(VLOOKUP($B1561,KEY!$AE$19:$AH$60,2,FALSE),"")</f>
        <v>2025-Q1</v>
      </c>
      <c r="D1561" s="222" t="s">
        <v>197</v>
      </c>
      <c r="E1561" s="218">
        <v>8</v>
      </c>
    </row>
    <row r="1562" spans="1:5" x14ac:dyDescent="0.35">
      <c r="A1562" s="3" t="str">
        <f>IF(D1562="","",(VLOOKUP($D1562,KEY!$B$5:$D$74,3,FALSE)))</f>
        <v>Texas</v>
      </c>
      <c r="B1562" s="221">
        <f t="shared" si="4"/>
        <v>45658</v>
      </c>
      <c r="C1562" s="221" t="str">
        <f>IFERROR(VLOOKUP($B1562,KEY!$AE$19:$AH$60,2,FALSE),"")</f>
        <v>2025-Q1</v>
      </c>
      <c r="D1562" s="222" t="s">
        <v>136</v>
      </c>
      <c r="E1562" s="218">
        <v>16</v>
      </c>
    </row>
    <row r="1563" spans="1:5" x14ac:dyDescent="0.35">
      <c r="A1563" s="3" t="str">
        <f>IF(D1563="","",(VLOOKUP($D1563,KEY!$B$5:$D$74,3,FALSE)))</f>
        <v>Arizona</v>
      </c>
      <c r="B1563" s="221">
        <f t="shared" si="4"/>
        <v>45658</v>
      </c>
      <c r="C1563" s="221" t="str">
        <f>IFERROR(VLOOKUP($B1563,KEY!$AE$19:$AH$60,2,FALSE),"")</f>
        <v>2025-Q1</v>
      </c>
      <c r="D1563" s="222" t="s">
        <v>137</v>
      </c>
      <c r="E1563" s="218">
        <v>9</v>
      </c>
    </row>
    <row r="1564" spans="1:5" x14ac:dyDescent="0.35">
      <c r="A1564" s="3" t="str">
        <f>IF(D1564="","",(VLOOKUP($D1564,KEY!$B$5:$D$74,3,FALSE)))</f>
        <v>Texas</v>
      </c>
      <c r="B1564" s="221">
        <f t="shared" si="4"/>
        <v>45658</v>
      </c>
      <c r="C1564" s="221" t="str">
        <f>IFERROR(VLOOKUP($B1564,KEY!$AE$19:$AH$60,2,FALSE),"")</f>
        <v>2025-Q1</v>
      </c>
      <c r="D1564" s="222" t="s">
        <v>138</v>
      </c>
      <c r="E1564" s="218">
        <v>10</v>
      </c>
    </row>
    <row r="1565" spans="1:5" x14ac:dyDescent="0.35">
      <c r="A1565" s="3" t="str">
        <f>IF(D1565="","",(VLOOKUP($D1565,KEY!$B$5:$D$74,3,FALSE)))</f>
        <v>Southern California</v>
      </c>
      <c r="B1565" s="221">
        <f t="shared" si="4"/>
        <v>45658</v>
      </c>
      <c r="C1565" s="221" t="str">
        <f>IFERROR(VLOOKUP($B1565,KEY!$AE$19:$AH$60,2,FALSE),"")</f>
        <v>2025-Q1</v>
      </c>
      <c r="D1565" s="222" t="s">
        <v>139</v>
      </c>
      <c r="E1565" s="218">
        <v>15</v>
      </c>
    </row>
    <row r="1566" spans="1:5" x14ac:dyDescent="0.35">
      <c r="A1566" s="3" t="str">
        <f>IF(D1566="","",(VLOOKUP($D1566,KEY!$B$5:$D$74,3,FALSE)))</f>
        <v>Orange County</v>
      </c>
      <c r="B1566" s="221">
        <f t="shared" si="4"/>
        <v>45658</v>
      </c>
      <c r="C1566" s="221" t="str">
        <f>IFERROR(VLOOKUP($B1566,KEY!$AE$19:$AH$60,2,FALSE),"")</f>
        <v>2025-Q1</v>
      </c>
      <c r="D1566" s="222" t="s">
        <v>140</v>
      </c>
      <c r="E1566" s="218">
        <v>4</v>
      </c>
    </row>
    <row r="1567" spans="1:5" x14ac:dyDescent="0.35">
      <c r="A1567" s="3" t="str">
        <f>IF(D1567="","",(VLOOKUP($D1567,KEY!$B$5:$D$74,3,FALSE)))</f>
        <v>Southern California</v>
      </c>
      <c r="B1567" s="221">
        <f t="shared" si="4"/>
        <v>45658</v>
      </c>
      <c r="C1567" s="221" t="str">
        <f>IFERROR(VLOOKUP($B1567,KEY!$AE$19:$AH$60,2,FALSE),"")</f>
        <v>2025-Q1</v>
      </c>
      <c r="D1567" s="222" t="s">
        <v>142</v>
      </c>
      <c r="E1567" s="218">
        <v>6</v>
      </c>
    </row>
    <row r="1568" spans="1:5" x14ac:dyDescent="0.35">
      <c r="A1568" s="3" t="str">
        <f>IF(D1568="","",(VLOOKUP($D1568,KEY!$B$5:$D$74,3,FALSE)))</f>
        <v>Arizona</v>
      </c>
      <c r="B1568" s="221">
        <f t="shared" si="4"/>
        <v>45658</v>
      </c>
      <c r="C1568" s="221" t="str">
        <f>IFERROR(VLOOKUP($B1568,KEY!$AE$19:$AH$60,2,FALSE),"")</f>
        <v>2025-Q1</v>
      </c>
      <c r="D1568" s="222" t="s">
        <v>143</v>
      </c>
      <c r="E1568" s="218">
        <v>8</v>
      </c>
    </row>
    <row r="1569" spans="1:5" x14ac:dyDescent="0.35">
      <c r="A1569" s="3" t="str">
        <f>IF(D1569="","",(VLOOKUP($D1569,KEY!$B$5:$D$74,3,FALSE)))</f>
        <v>Arizona</v>
      </c>
      <c r="B1569" s="221">
        <f t="shared" si="4"/>
        <v>45658</v>
      </c>
      <c r="C1569" s="221" t="str">
        <f>IFERROR(VLOOKUP($B1569,KEY!$AE$19:$AH$60,2,FALSE),"")</f>
        <v>2025-Q1</v>
      </c>
      <c r="D1569" s="222" t="s">
        <v>144</v>
      </c>
      <c r="E1569" s="218">
        <v>21</v>
      </c>
    </row>
    <row r="1570" spans="1:5" x14ac:dyDescent="0.35">
      <c r="A1570" s="3" t="str">
        <f>IF(D1570="","",(VLOOKUP($D1570,KEY!$B$5:$D$74,3,FALSE)))</f>
        <v>Southern California</v>
      </c>
      <c r="B1570" s="221">
        <f t="shared" si="4"/>
        <v>45658</v>
      </c>
      <c r="C1570" s="221" t="str">
        <f>IFERROR(VLOOKUP($B1570,KEY!$AE$19:$AH$60,2,FALSE),"")</f>
        <v>2025-Q1</v>
      </c>
      <c r="D1570" s="222" t="s">
        <v>145</v>
      </c>
      <c r="E1570" s="218">
        <v>16</v>
      </c>
    </row>
    <row r="1571" spans="1:5" x14ac:dyDescent="0.35">
      <c r="A1571" s="3" t="str">
        <f>IF(D1571="","",(VLOOKUP($D1571,KEY!$B$5:$D$74,3,FALSE)))</f>
        <v>Arizona</v>
      </c>
      <c r="B1571" s="221">
        <f t="shared" si="4"/>
        <v>45658</v>
      </c>
      <c r="C1571" s="221" t="str">
        <f>IFERROR(VLOOKUP($B1571,KEY!$AE$19:$AH$60,2,FALSE),"")</f>
        <v>2025-Q1</v>
      </c>
      <c r="D1571" s="222" t="s">
        <v>146</v>
      </c>
      <c r="E1571" s="218">
        <v>3</v>
      </c>
    </row>
    <row r="1572" spans="1:5" x14ac:dyDescent="0.35">
      <c r="A1572" s="3" t="str">
        <f>IF(D1572="","",(VLOOKUP($D1572,KEY!$B$5:$D$74,3,FALSE)))</f>
        <v>Texas</v>
      </c>
      <c r="B1572" s="221">
        <f t="shared" si="4"/>
        <v>45658</v>
      </c>
      <c r="C1572" s="221" t="str">
        <f>IFERROR(VLOOKUP($B1572,KEY!$AE$19:$AH$60,2,FALSE),"")</f>
        <v>2025-Q1</v>
      </c>
      <c r="D1572" s="222" t="s">
        <v>147</v>
      </c>
      <c r="E1572" s="218">
        <v>4</v>
      </c>
    </row>
    <row r="1573" spans="1:5" x14ac:dyDescent="0.35">
      <c r="A1573" s="3" t="str">
        <f>IF(D1573="","",(VLOOKUP($D1573,KEY!$B$5:$D$74,3,FALSE)))</f>
        <v>Northern California</v>
      </c>
      <c r="B1573" s="221">
        <f t="shared" si="4"/>
        <v>45658</v>
      </c>
      <c r="C1573" s="221" t="str">
        <f>IFERROR(VLOOKUP($B1573,KEY!$AE$19:$AH$60,2,FALSE),"")</f>
        <v>2025-Q1</v>
      </c>
      <c r="D1573" s="222" t="s">
        <v>148</v>
      </c>
      <c r="E1573" s="218">
        <v>3</v>
      </c>
    </row>
    <row r="1574" spans="1:5" x14ac:dyDescent="0.35">
      <c r="A1574" s="3" t="str">
        <f>IF(D1574="","",(VLOOKUP($D1574,KEY!$B$5:$D$74,3,FALSE)))</f>
        <v>Orange County</v>
      </c>
      <c r="B1574" s="221">
        <f t="shared" si="4"/>
        <v>45658</v>
      </c>
      <c r="C1574" s="221" t="str">
        <f>IFERROR(VLOOKUP($B1574,KEY!$AE$19:$AH$60,2,FALSE),"")</f>
        <v>2025-Q1</v>
      </c>
      <c r="D1574" s="222" t="s">
        <v>149</v>
      </c>
      <c r="E1574" s="218">
        <v>3</v>
      </c>
    </row>
    <row r="1575" spans="1:5" x14ac:dyDescent="0.35">
      <c r="A1575" s="3" t="str">
        <f>IF(D1575="","",(VLOOKUP($D1575,KEY!$B$5:$D$74,3,FALSE)))</f>
        <v>Southern California</v>
      </c>
      <c r="B1575" s="221">
        <f t="shared" si="4"/>
        <v>45658</v>
      </c>
      <c r="C1575" s="221" t="str">
        <f>IFERROR(VLOOKUP($B1575,KEY!$AE$19:$AH$60,2,FALSE),"")</f>
        <v>2025-Q1</v>
      </c>
      <c r="D1575" s="222" t="s">
        <v>150</v>
      </c>
      <c r="E1575" s="218">
        <v>3</v>
      </c>
    </row>
    <row r="1576" spans="1:5" x14ac:dyDescent="0.35">
      <c r="A1576" s="3" t="str">
        <f>IF(D1576="","",(VLOOKUP($D1576,KEY!$B$5:$D$74,3,FALSE)))</f>
        <v>Arizona</v>
      </c>
      <c r="B1576" s="221">
        <f t="shared" si="4"/>
        <v>45658</v>
      </c>
      <c r="C1576" s="221" t="str">
        <f>IFERROR(VLOOKUP($B1576,KEY!$AE$19:$AH$60,2,FALSE),"")</f>
        <v>2025-Q1</v>
      </c>
      <c r="D1576" s="222" t="s">
        <v>151</v>
      </c>
      <c r="E1576" s="218">
        <v>4</v>
      </c>
    </row>
    <row r="1577" spans="1:5" x14ac:dyDescent="0.35">
      <c r="A1577" s="3" t="str">
        <f>IF(D1577="","",(VLOOKUP($D1577,KEY!$B$5:$D$74,3,FALSE)))</f>
        <v>Michigan &amp; Minnesota</v>
      </c>
      <c r="B1577" s="221">
        <f t="shared" si="4"/>
        <v>45658</v>
      </c>
      <c r="C1577" s="221" t="str">
        <f>IFERROR(VLOOKUP($B1577,KEY!$AE$19:$AH$60,2,FALSE),"")</f>
        <v>2025-Q1</v>
      </c>
      <c r="D1577" s="222" t="s">
        <v>206</v>
      </c>
      <c r="E1577" s="218">
        <v>17</v>
      </c>
    </row>
    <row r="1578" spans="1:5" x14ac:dyDescent="0.35">
      <c r="A1578" s="3" t="str">
        <f>IF(D1578="","",(VLOOKUP($D1578,KEY!$B$5:$D$74,3,FALSE)))</f>
        <v>Michigan &amp; Minnesota</v>
      </c>
      <c r="B1578" s="221">
        <f t="shared" si="4"/>
        <v>45658</v>
      </c>
      <c r="C1578" s="221" t="str">
        <f>IFERROR(VLOOKUP($B1578,KEY!$AE$19:$AH$60,2,FALSE),"")</f>
        <v>2025-Q1</v>
      </c>
      <c r="D1578" s="222" t="s">
        <v>207</v>
      </c>
      <c r="E1578" s="218">
        <v>5</v>
      </c>
    </row>
    <row r="1579" spans="1:5" x14ac:dyDescent="0.35">
      <c r="A1579" s="3" t="str">
        <f>IF(D1579="","",(VLOOKUP($D1579,KEY!$B$5:$D$74,3,FALSE)))</f>
        <v>Indiana</v>
      </c>
      <c r="B1579" s="221">
        <f t="shared" si="4"/>
        <v>45658</v>
      </c>
      <c r="C1579" s="221" t="str">
        <f>IFERROR(VLOOKUP($B1579,KEY!$AE$19:$AH$60,2,FALSE),"")</f>
        <v>2025-Q1</v>
      </c>
      <c r="D1579" s="222" t="s">
        <v>208</v>
      </c>
      <c r="E1579" s="218">
        <v>11</v>
      </c>
    </row>
    <row r="1580" spans="1:5" x14ac:dyDescent="0.35">
      <c r="A1580" s="3" t="str">
        <f>IF(D1580="","",(VLOOKUP($D1580,KEY!$B$5:$D$74,3,FALSE)))</f>
        <v>Indiana</v>
      </c>
      <c r="B1580" s="221">
        <f t="shared" si="4"/>
        <v>45658</v>
      </c>
      <c r="C1580" s="221" t="str">
        <f>IFERROR(VLOOKUP($B1580,KEY!$AE$19:$AH$60,2,FALSE),"")</f>
        <v>2025-Q1</v>
      </c>
      <c r="D1580" s="222" t="s">
        <v>209</v>
      </c>
      <c r="E1580" s="218">
        <v>24</v>
      </c>
    </row>
    <row r="1581" spans="1:5" x14ac:dyDescent="0.35">
      <c r="A1581" s="3" t="str">
        <f>IF(D1581="","",(VLOOKUP($D1581,KEY!$B$5:$D$74,3,FALSE)))</f>
        <v>Northern California</v>
      </c>
      <c r="B1581" s="221">
        <f t="shared" si="4"/>
        <v>45658</v>
      </c>
      <c r="C1581" s="221" t="str">
        <f>IFERROR(VLOOKUP($B1581,KEY!$AE$19:$AH$60,2,FALSE),"")</f>
        <v>2025-Q1</v>
      </c>
      <c r="D1581" s="222" t="s">
        <v>152</v>
      </c>
      <c r="E1581" s="218">
        <v>13</v>
      </c>
    </row>
    <row r="1582" spans="1:5" x14ac:dyDescent="0.35">
      <c r="A1582" s="3" t="str">
        <f>IF(D1582="","",(VLOOKUP($D1582,KEY!$B$5:$D$74,3,FALSE)))</f>
        <v>Arizona</v>
      </c>
      <c r="B1582" s="221">
        <f t="shared" si="4"/>
        <v>45658</v>
      </c>
      <c r="C1582" s="221" t="str">
        <f>IFERROR(VLOOKUP($B1582,KEY!$AE$19:$AH$60,2,FALSE),"")</f>
        <v>2025-Q1</v>
      </c>
      <c r="D1582" s="222" t="s">
        <v>153</v>
      </c>
      <c r="E1582" s="218">
        <v>13</v>
      </c>
    </row>
    <row r="1583" spans="1:5" x14ac:dyDescent="0.35">
      <c r="A1583" s="3" t="str">
        <f>IF(D1583="","",(VLOOKUP($D1583,KEY!$B$5:$D$74,3,FALSE)))</f>
        <v>Northern California</v>
      </c>
      <c r="B1583" s="221">
        <f t="shared" si="4"/>
        <v>45658</v>
      </c>
      <c r="C1583" s="221" t="str">
        <f>IFERROR(VLOOKUP($B1583,KEY!$AE$19:$AH$60,2,FALSE),"")</f>
        <v>2025-Q1</v>
      </c>
      <c r="D1583" s="222" t="s">
        <v>154</v>
      </c>
      <c r="E1583" s="218">
        <v>8</v>
      </c>
    </row>
    <row r="1584" spans="1:5" x14ac:dyDescent="0.35">
      <c r="A1584" s="3" t="str">
        <f>IF(D1584="","",(VLOOKUP($D1584,KEY!$B$5:$D$74,3,FALSE)))</f>
        <v>Texas</v>
      </c>
      <c r="B1584" s="221">
        <f t="shared" si="4"/>
        <v>45658</v>
      </c>
      <c r="C1584" s="221" t="str">
        <f>IFERROR(VLOOKUP($B1584,KEY!$AE$19:$AH$60,2,FALSE),"")</f>
        <v>2025-Q1</v>
      </c>
      <c r="D1584" s="222" t="s">
        <v>155</v>
      </c>
      <c r="E1584" s="218">
        <v>23</v>
      </c>
    </row>
    <row r="1585" spans="1:5" x14ac:dyDescent="0.35">
      <c r="A1585" s="3" t="str">
        <f>IF(D1585="","",(VLOOKUP($D1585,KEY!$B$5:$D$74,3,FALSE)))</f>
        <v>Texas</v>
      </c>
      <c r="B1585" s="221">
        <f t="shared" si="4"/>
        <v>45658</v>
      </c>
      <c r="C1585" s="221" t="str">
        <f>IFERROR(VLOOKUP($B1585,KEY!$AE$19:$AH$60,2,FALSE),"")</f>
        <v>2025-Q1</v>
      </c>
      <c r="D1585" s="222" t="s">
        <v>156</v>
      </c>
      <c r="E1585" s="218">
        <v>17</v>
      </c>
    </row>
    <row r="1586" spans="1:5" x14ac:dyDescent="0.35">
      <c r="A1586" s="3" t="str">
        <f>IF(D1586="","",(VLOOKUP($D1586,KEY!$B$5:$D$74,3,FALSE)))</f>
        <v>Texas</v>
      </c>
      <c r="B1586" s="221">
        <f t="shared" si="4"/>
        <v>45658</v>
      </c>
      <c r="C1586" s="221" t="str">
        <f>IFERROR(VLOOKUP($B1586,KEY!$AE$19:$AH$60,2,FALSE),"")</f>
        <v>2025-Q1</v>
      </c>
      <c r="D1586" s="222" t="s">
        <v>157</v>
      </c>
      <c r="E1586" s="218">
        <v>37</v>
      </c>
    </row>
    <row r="1587" spans="1:5" x14ac:dyDescent="0.35">
      <c r="A1587" s="3" t="str">
        <f>IF(D1587="","",(VLOOKUP($D1587,KEY!$B$5:$D$74,3,FALSE)))</f>
        <v>Arizona</v>
      </c>
      <c r="B1587" s="221">
        <f t="shared" si="4"/>
        <v>45658</v>
      </c>
      <c r="C1587" s="221" t="str">
        <f>IFERROR(VLOOKUP($B1587,KEY!$AE$19:$AH$60,2,FALSE),"")</f>
        <v>2025-Q1</v>
      </c>
      <c r="D1587" s="222" t="s">
        <v>158</v>
      </c>
      <c r="E1587" s="218">
        <v>6</v>
      </c>
    </row>
    <row r="1588" spans="1:5" x14ac:dyDescent="0.35">
      <c r="A1588" s="3" t="str">
        <f>IF(D1588="","",(VLOOKUP($D1588,KEY!$B$5:$D$74,3,FALSE)))</f>
        <v>Orange County</v>
      </c>
      <c r="B1588" s="221">
        <f t="shared" si="4"/>
        <v>45658</v>
      </c>
      <c r="C1588" s="221" t="str">
        <f>IFERROR(VLOOKUP($B1588,KEY!$AE$19:$AH$60,2,FALSE),"")</f>
        <v>2025-Q1</v>
      </c>
      <c r="D1588" s="222" t="s">
        <v>159</v>
      </c>
      <c r="E1588" s="218">
        <v>10</v>
      </c>
    </row>
    <row r="1589" spans="1:5" x14ac:dyDescent="0.35">
      <c r="A1589" s="3" t="str">
        <f>IF(D1589="","",(VLOOKUP($D1589,KEY!$B$5:$D$74,3,FALSE)))</f>
        <v>Arizona</v>
      </c>
      <c r="B1589" s="221">
        <f t="shared" si="4"/>
        <v>45658</v>
      </c>
      <c r="C1589" s="221" t="str">
        <f>IFERROR(VLOOKUP($B1589,KEY!$AE$19:$AH$60,2,FALSE),"")</f>
        <v>2025-Q1</v>
      </c>
      <c r="D1589" s="222" t="s">
        <v>160</v>
      </c>
      <c r="E1589" s="218">
        <v>25</v>
      </c>
    </row>
    <row r="1590" spans="1:5" x14ac:dyDescent="0.35">
      <c r="A1590" s="3" t="str">
        <f>IF(D1590="","",(VLOOKUP($D1590,KEY!$B$5:$D$74,3,FALSE)))</f>
        <v>Northern California</v>
      </c>
      <c r="B1590" s="221">
        <f t="shared" si="4"/>
        <v>45658</v>
      </c>
      <c r="C1590" s="221" t="str">
        <f>IFERROR(VLOOKUP($B1590,KEY!$AE$19:$AH$60,2,FALSE),"")</f>
        <v>2025-Q1</v>
      </c>
      <c r="D1590" s="222" t="s">
        <v>161</v>
      </c>
      <c r="E1590" s="218">
        <v>20</v>
      </c>
    </row>
    <row r="1591" spans="1:5" x14ac:dyDescent="0.35">
      <c r="A1591" s="3" t="e">
        <f>IF(D1591="","",(VLOOKUP($D1591,KEY!$B$5:$D$74,3,FALSE)))</f>
        <v>#N/A</v>
      </c>
      <c r="B1591" s="221">
        <f t="shared" si="4"/>
        <v>45658</v>
      </c>
      <c r="C1591" s="221" t="str">
        <f>IFERROR(VLOOKUP($B1591,KEY!$AE$19:$AH$60,2,FALSE),"")</f>
        <v>2025-Q1</v>
      </c>
      <c r="D1591" s="222" t="s">
        <v>162</v>
      </c>
      <c r="E1591" s="218">
        <v>31</v>
      </c>
    </row>
    <row r="1592" spans="1:5" x14ac:dyDescent="0.35">
      <c r="A1592" s="3" t="str">
        <f>IF(D1592="","",(VLOOKUP($D1592,KEY!$B$5:$D$74,3,FALSE)))</f>
        <v>Arizona</v>
      </c>
      <c r="B1592" s="221">
        <f t="shared" si="4"/>
        <v>45658</v>
      </c>
      <c r="C1592" s="221" t="str">
        <f>IFERROR(VLOOKUP($B1592,KEY!$AE$19:$AH$60,2,FALSE),"")</f>
        <v>2025-Q1</v>
      </c>
      <c r="D1592" s="222" t="s">
        <v>163</v>
      </c>
      <c r="E1592" s="218">
        <v>16</v>
      </c>
    </row>
    <row r="1593" spans="1:5" x14ac:dyDescent="0.35">
      <c r="A1593" s="3" t="str">
        <f>IF(D1593="","",(VLOOKUP($D1593,KEY!$B$5:$D$74,3,FALSE)))</f>
        <v>Arizona</v>
      </c>
      <c r="B1593" s="221">
        <f t="shared" si="4"/>
        <v>45658</v>
      </c>
      <c r="C1593" s="221" t="str">
        <f>IFERROR(VLOOKUP($B1593,KEY!$AE$19:$AH$60,2,FALSE),"")</f>
        <v>2025-Q1</v>
      </c>
      <c r="D1593" s="222" t="s">
        <v>164</v>
      </c>
      <c r="E1593" s="218">
        <v>6</v>
      </c>
    </row>
    <row r="1594" spans="1:5" x14ac:dyDescent="0.35">
      <c r="A1594" s="3" t="str">
        <f>IF(D1594="","",(VLOOKUP($D1594,KEY!$B$5:$D$74,3,FALSE)))</f>
        <v>Orange County</v>
      </c>
      <c r="B1594" s="221">
        <f t="shared" ref="B1594:B1598" si="5">B1593</f>
        <v>45658</v>
      </c>
      <c r="C1594" s="221" t="str">
        <f>IFERROR(VLOOKUP($B1594,KEY!$AE$19:$AH$60,2,FALSE),"")</f>
        <v>2025-Q1</v>
      </c>
      <c r="D1594" s="222" t="s">
        <v>165</v>
      </c>
      <c r="E1594" s="218">
        <v>8</v>
      </c>
    </row>
    <row r="1595" spans="1:5" x14ac:dyDescent="0.35">
      <c r="A1595" s="3" t="str">
        <f>IF(D1595="","",(VLOOKUP($D1595,KEY!$B$5:$D$74,3,FALSE)))</f>
        <v/>
      </c>
      <c r="B1595" s="221">
        <f t="shared" si="5"/>
        <v>45658</v>
      </c>
      <c r="C1595" s="221" t="str">
        <f>IFERROR(VLOOKUP($B1595,KEY!$AE$19:$AH$60,2,FALSE),"")</f>
        <v>2025-Q1</v>
      </c>
      <c r="D1595" s="222"/>
      <c r="E1595" s="218"/>
    </row>
    <row r="1596" spans="1:5" x14ac:dyDescent="0.35">
      <c r="A1596" s="3" t="str">
        <f>IF(D1596="","",(VLOOKUP($D1596,KEY!$B$5:$D$74,3,FALSE)))</f>
        <v/>
      </c>
      <c r="B1596" s="221">
        <f t="shared" si="5"/>
        <v>45658</v>
      </c>
      <c r="C1596" s="221" t="str">
        <f>IFERROR(VLOOKUP($B1596,KEY!$AE$19:$AH$60,2,FALSE),"")</f>
        <v>2025-Q1</v>
      </c>
      <c r="D1596" s="222"/>
      <c r="E1596" s="218"/>
    </row>
    <row r="1597" spans="1:5" x14ac:dyDescent="0.35">
      <c r="A1597" s="3" t="str">
        <f>IF(D1597="","",(VLOOKUP($D1597,KEY!$B$5:$D$74,3,FALSE)))</f>
        <v/>
      </c>
      <c r="B1597" s="221">
        <f t="shared" si="5"/>
        <v>45658</v>
      </c>
      <c r="C1597" s="221" t="str">
        <f>IFERROR(VLOOKUP($B1597,KEY!$AE$19:$AH$60,2,FALSE),"")</f>
        <v>2025-Q1</v>
      </c>
      <c r="D1597" s="222"/>
      <c r="E1597" s="218"/>
    </row>
    <row r="1598" spans="1:5" x14ac:dyDescent="0.35">
      <c r="A1598" s="3" t="str">
        <f>IF(D1598="","",(VLOOKUP($D1598,KEY!$B$5:$D$74,3,FALSE)))</f>
        <v/>
      </c>
      <c r="B1598" s="221">
        <f t="shared" si="5"/>
        <v>45658</v>
      </c>
      <c r="C1598" s="221" t="str">
        <f>IFERROR(VLOOKUP($B1598,KEY!$AE$19:$AH$60,2,FALSE),"")</f>
        <v>2025-Q1</v>
      </c>
      <c r="D1598" s="222"/>
      <c r="E1598" s="218"/>
    </row>
    <row r="1599" spans="1:5" x14ac:dyDescent="0.35">
      <c r="A1599" s="3" t="str">
        <f>IF(D1599="","",(VLOOKUP($D1599,KEY!$B$5:$D$74,3,FALSE)))</f>
        <v>Arizona</v>
      </c>
      <c r="B1599" s="434">
        <f>DATE(YEAR(B1598+31),MONTH(B1598+31),1)</f>
        <v>45689</v>
      </c>
      <c r="C1599" s="434" t="str">
        <f>IFERROR(VLOOKUP($B1599,KEY!$AE$19:$AH$60,2,FALSE),"")</f>
        <v>2025-Q1</v>
      </c>
      <c r="D1599" s="435" t="s">
        <v>111</v>
      </c>
      <c r="E1599" s="436">
        <v>8</v>
      </c>
    </row>
    <row r="1600" spans="1:5" x14ac:dyDescent="0.35">
      <c r="A1600" s="3" t="str">
        <f>IF(D1600="","",(VLOOKUP($D1600,KEY!$B$5:$D$74,3,FALSE)))</f>
        <v>Southern California</v>
      </c>
      <c r="B1600" s="221">
        <f t="shared" ref="B1600:B1663" si="6">B1599</f>
        <v>45689</v>
      </c>
      <c r="C1600" s="221" t="str">
        <f>IFERROR(VLOOKUP($B1600,KEY!$AE$19:$AH$60,2,FALSE),"")</f>
        <v>2025-Q1</v>
      </c>
      <c r="D1600" s="222" t="s">
        <v>112</v>
      </c>
      <c r="E1600" s="218">
        <v>4</v>
      </c>
    </row>
    <row r="1601" spans="1:5" x14ac:dyDescent="0.35">
      <c r="A1601" s="3" t="str">
        <f>IF(D1601="","",(VLOOKUP($D1601,KEY!$B$5:$D$74,3,FALSE)))</f>
        <v>Arizona</v>
      </c>
      <c r="B1601" s="221">
        <f t="shared" si="6"/>
        <v>45689</v>
      </c>
      <c r="C1601" s="221" t="str">
        <f>IFERROR(VLOOKUP($B1601,KEY!$AE$19:$AH$60,2,FALSE),"")</f>
        <v>2025-Q1</v>
      </c>
      <c r="D1601" s="222" t="s">
        <v>113</v>
      </c>
      <c r="E1601" s="218">
        <v>6</v>
      </c>
    </row>
    <row r="1602" spans="1:5" x14ac:dyDescent="0.35">
      <c r="A1602" s="3" t="str">
        <f>IF(D1602="","",(VLOOKUP($D1602,KEY!$B$5:$D$74,3,FALSE)))</f>
        <v>Southern California</v>
      </c>
      <c r="B1602" s="221">
        <f t="shared" si="6"/>
        <v>45689</v>
      </c>
      <c r="C1602" s="221" t="str">
        <f>IFERROR(VLOOKUP($B1602,KEY!$AE$19:$AH$60,2,FALSE),"")</f>
        <v>2025-Q1</v>
      </c>
      <c r="D1602" s="222" t="s">
        <v>114</v>
      </c>
      <c r="E1602" s="218">
        <v>5</v>
      </c>
    </row>
    <row r="1603" spans="1:5" x14ac:dyDescent="0.35">
      <c r="A1603" s="3" t="str">
        <f>IF(D1603="","",(VLOOKUP($D1603,KEY!$B$5:$D$74,3,FALSE)))</f>
        <v>Orange County</v>
      </c>
      <c r="B1603" s="221">
        <f t="shared" si="6"/>
        <v>45689</v>
      </c>
      <c r="C1603" s="221" t="str">
        <f>IFERROR(VLOOKUP($B1603,KEY!$AE$19:$AH$60,2,FALSE),"")</f>
        <v>2025-Q1</v>
      </c>
      <c r="D1603" s="222" t="s">
        <v>115</v>
      </c>
      <c r="E1603" s="218">
        <v>4</v>
      </c>
    </row>
    <row r="1604" spans="1:5" x14ac:dyDescent="0.35">
      <c r="A1604" s="3" t="str">
        <f>IF(D1604="","",(VLOOKUP($D1604,KEY!$B$5:$D$74,3,FALSE)))</f>
        <v>Arizona</v>
      </c>
      <c r="B1604" s="221">
        <f t="shared" si="6"/>
        <v>45689</v>
      </c>
      <c r="C1604" s="221" t="str">
        <f>IFERROR(VLOOKUP($B1604,KEY!$AE$19:$AH$60,2,FALSE),"")</f>
        <v>2025-Q1</v>
      </c>
      <c r="D1604" s="222" t="s">
        <v>116</v>
      </c>
      <c r="E1604" s="218">
        <v>11</v>
      </c>
    </row>
    <row r="1605" spans="1:5" x14ac:dyDescent="0.35">
      <c r="A1605" s="3" t="str">
        <f>IF(D1605="","",(VLOOKUP($D1605,KEY!$B$5:$D$74,3,FALSE)))</f>
        <v>Northern California</v>
      </c>
      <c r="B1605" s="221">
        <f t="shared" si="6"/>
        <v>45689</v>
      </c>
      <c r="C1605" s="221" t="str">
        <f>IFERROR(VLOOKUP($B1605,KEY!$AE$19:$AH$60,2,FALSE),"")</f>
        <v>2025-Q1</v>
      </c>
      <c r="D1605" s="222" t="s">
        <v>118</v>
      </c>
      <c r="E1605" s="218">
        <v>12</v>
      </c>
    </row>
    <row r="1606" spans="1:5" x14ac:dyDescent="0.35">
      <c r="A1606" s="3" t="str">
        <f>IF(D1606="","",(VLOOKUP($D1606,KEY!$B$5:$D$74,3,FALSE)))</f>
        <v>Orange County</v>
      </c>
      <c r="B1606" s="221">
        <f t="shared" si="6"/>
        <v>45689</v>
      </c>
      <c r="C1606" s="221" t="str">
        <f>IFERROR(VLOOKUP($B1606,KEY!$AE$19:$AH$60,2,FALSE),"")</f>
        <v>2025-Q1</v>
      </c>
      <c r="D1606" s="222" t="s">
        <v>117</v>
      </c>
      <c r="E1606" s="218">
        <v>8</v>
      </c>
    </row>
    <row r="1607" spans="1:5" x14ac:dyDescent="0.35">
      <c r="A1607" s="3" t="str">
        <f>IF(D1607="","",(VLOOKUP($D1607,KEY!$B$5:$D$74,3,FALSE)))</f>
        <v>Arizona</v>
      </c>
      <c r="B1607" s="221">
        <f t="shared" si="6"/>
        <v>45689</v>
      </c>
      <c r="C1607" s="221" t="str">
        <f>IFERROR(VLOOKUP($B1607,KEY!$AE$19:$AH$60,2,FALSE),"")</f>
        <v>2025-Q1</v>
      </c>
      <c r="D1607" s="222" t="s">
        <v>119</v>
      </c>
      <c r="E1607" s="218">
        <v>4</v>
      </c>
    </row>
    <row r="1608" spans="1:5" x14ac:dyDescent="0.35">
      <c r="A1608" s="3" t="str">
        <f>IF(D1608="","",(VLOOKUP($D1608,KEY!$B$5:$D$74,3,FALSE)))</f>
        <v/>
      </c>
      <c r="B1608" s="221">
        <f t="shared" si="6"/>
        <v>45689</v>
      </c>
      <c r="C1608" s="221" t="str">
        <f>IFERROR(VLOOKUP($B1608,KEY!$AE$19:$AH$60,2,FALSE),"")</f>
        <v>2025-Q1</v>
      </c>
      <c r="D1608" s="222"/>
      <c r="E1608" s="218"/>
    </row>
    <row r="1609" spans="1:5" x14ac:dyDescent="0.35">
      <c r="A1609" s="3" t="str">
        <f>IF(D1609="","",(VLOOKUP($D1609,KEY!$B$5:$D$74,3,FALSE)))</f>
        <v>Arizona</v>
      </c>
      <c r="B1609" s="221">
        <f t="shared" si="6"/>
        <v>45689</v>
      </c>
      <c r="C1609" s="221" t="str">
        <f>IFERROR(VLOOKUP($B1609,KEY!$AE$19:$AH$60,2,FALSE),"")</f>
        <v>2025-Q1</v>
      </c>
      <c r="D1609" s="222" t="s">
        <v>120</v>
      </c>
      <c r="E1609" s="218">
        <v>27</v>
      </c>
    </row>
    <row r="1610" spans="1:5" x14ac:dyDescent="0.35">
      <c r="A1610" s="3" t="str">
        <f>IF(D1610="","",(VLOOKUP($D1610,KEY!$B$5:$D$74,3,FALSE)))</f>
        <v>Texas</v>
      </c>
      <c r="B1610" s="221">
        <f t="shared" si="6"/>
        <v>45689</v>
      </c>
      <c r="C1610" s="221" t="str">
        <f>IFERROR(VLOOKUP($B1610,KEY!$AE$19:$AH$60,2,FALSE),"")</f>
        <v>2025-Q1</v>
      </c>
      <c r="D1610" s="222" t="s">
        <v>121</v>
      </c>
      <c r="E1610" s="218">
        <v>24</v>
      </c>
    </row>
    <row r="1611" spans="1:5" x14ac:dyDescent="0.35">
      <c r="A1611" s="3" t="str">
        <f>IF(D1611="","",(VLOOKUP($D1611,KEY!$B$5:$D$74,3,FALSE)))</f>
        <v>Michigan &amp; Minnesota</v>
      </c>
      <c r="B1611" s="221">
        <f t="shared" si="6"/>
        <v>45689</v>
      </c>
      <c r="C1611" s="221" t="str">
        <f>IFERROR(VLOOKUP($B1611,KEY!$AE$19:$AH$60,2,FALSE),"")</f>
        <v>2025-Q1</v>
      </c>
      <c r="D1611" s="222" t="s">
        <v>200</v>
      </c>
      <c r="E1611" s="218">
        <v>13</v>
      </c>
    </row>
    <row r="1612" spans="1:5" x14ac:dyDescent="0.35">
      <c r="A1612" s="3" t="str">
        <f>IF(D1612="","",(VLOOKUP($D1612,KEY!$B$5:$D$74,3,FALSE)))</f>
        <v>Southern California</v>
      </c>
      <c r="B1612" s="221">
        <f t="shared" si="6"/>
        <v>45689</v>
      </c>
      <c r="C1612" s="221" t="str">
        <f>IFERROR(VLOOKUP($B1612,KEY!$AE$19:$AH$60,2,FALSE),"")</f>
        <v>2025-Q1</v>
      </c>
      <c r="D1612" s="222" t="s">
        <v>122</v>
      </c>
      <c r="E1612" s="218">
        <v>10</v>
      </c>
    </row>
    <row r="1613" spans="1:5" x14ac:dyDescent="0.35">
      <c r="A1613" s="3" t="str">
        <f>IF(D1613="","",(VLOOKUP($D1613,KEY!$B$5:$D$74,3,FALSE)))</f>
        <v>Orange County</v>
      </c>
      <c r="B1613" s="221">
        <f t="shared" si="6"/>
        <v>45689</v>
      </c>
      <c r="C1613" s="221" t="str">
        <f>IFERROR(VLOOKUP($B1613,KEY!$AE$19:$AH$60,2,FALSE),"")</f>
        <v>2025-Q1</v>
      </c>
      <c r="D1613" s="222" t="s">
        <v>123</v>
      </c>
      <c r="E1613" s="218">
        <v>19</v>
      </c>
    </row>
    <row r="1614" spans="1:5" x14ac:dyDescent="0.35">
      <c r="A1614" s="3" t="str">
        <f>IF(D1614="","",(VLOOKUP($D1614,KEY!$B$5:$D$74,3,FALSE)))</f>
        <v>Southern California</v>
      </c>
      <c r="B1614" s="221">
        <f t="shared" si="6"/>
        <v>45689</v>
      </c>
      <c r="C1614" s="221" t="str">
        <f>IFERROR(VLOOKUP($B1614,KEY!$AE$19:$AH$60,2,FALSE),"")</f>
        <v>2025-Q1</v>
      </c>
      <c r="D1614" s="222" t="s">
        <v>124</v>
      </c>
      <c r="E1614" s="218">
        <v>21</v>
      </c>
    </row>
    <row r="1615" spans="1:5" x14ac:dyDescent="0.35">
      <c r="A1615" s="3" t="str">
        <f>IF(D1615="","",(VLOOKUP($D1615,KEY!$B$5:$D$74,3,FALSE)))</f>
        <v>Northern California</v>
      </c>
      <c r="B1615" s="221">
        <f t="shared" si="6"/>
        <v>45689</v>
      </c>
      <c r="C1615" s="221" t="str">
        <f>IFERROR(VLOOKUP($B1615,KEY!$AE$19:$AH$60,2,FALSE),"")</f>
        <v>2025-Q1</v>
      </c>
      <c r="D1615" s="222" t="s">
        <v>195</v>
      </c>
      <c r="E1615" s="218">
        <v>5</v>
      </c>
    </row>
    <row r="1616" spans="1:5" x14ac:dyDescent="0.35">
      <c r="A1616" s="3" t="str">
        <f>IF(D1616="","",(VLOOKUP($D1616,KEY!$B$5:$D$74,3,FALSE)))</f>
        <v>Northern California</v>
      </c>
      <c r="B1616" s="221">
        <f t="shared" si="6"/>
        <v>45689</v>
      </c>
      <c r="C1616" s="221" t="str">
        <f>IFERROR(VLOOKUP($B1616,KEY!$AE$19:$AH$60,2,FALSE),"")</f>
        <v>2025-Q1</v>
      </c>
      <c r="D1616" s="222" t="s">
        <v>125</v>
      </c>
      <c r="E1616" s="218">
        <v>18</v>
      </c>
    </row>
    <row r="1617" spans="1:5" x14ac:dyDescent="0.35">
      <c r="A1617" s="3" t="str">
        <f>IF(D1617="","",(VLOOKUP($D1617,KEY!$B$5:$D$74,3,FALSE)))</f>
        <v>Orange County</v>
      </c>
      <c r="B1617" s="221">
        <f t="shared" si="6"/>
        <v>45689</v>
      </c>
      <c r="C1617" s="221" t="str">
        <f>IFERROR(VLOOKUP($B1617,KEY!$AE$19:$AH$60,2,FALSE),"")</f>
        <v>2025-Q1</v>
      </c>
      <c r="D1617" s="222" t="s">
        <v>126</v>
      </c>
      <c r="E1617" s="218">
        <v>27</v>
      </c>
    </row>
    <row r="1618" spans="1:5" x14ac:dyDescent="0.35">
      <c r="A1618" s="3" t="str">
        <f>IF(D1618="","",(VLOOKUP($D1618,KEY!$B$5:$D$74,3,FALSE)))</f>
        <v>Orange County</v>
      </c>
      <c r="B1618" s="221">
        <f t="shared" si="6"/>
        <v>45689</v>
      </c>
      <c r="C1618" s="221" t="str">
        <f>IFERROR(VLOOKUP($B1618,KEY!$AE$19:$AH$60,2,FALSE),"")</f>
        <v>2025-Q1</v>
      </c>
      <c r="D1618" s="222" t="s">
        <v>127</v>
      </c>
      <c r="E1618" s="218">
        <v>3.5</v>
      </c>
    </row>
    <row r="1619" spans="1:5" x14ac:dyDescent="0.35">
      <c r="A1619" s="3" t="str">
        <f>IF(D1619="","",(VLOOKUP($D1619,KEY!$B$5:$D$74,3,FALSE)))</f>
        <v>Wisconsin</v>
      </c>
      <c r="B1619" s="221">
        <f t="shared" si="6"/>
        <v>45689</v>
      </c>
      <c r="C1619" s="221" t="str">
        <f>IFERROR(VLOOKUP($B1619,KEY!$AE$19:$AH$60,2,FALSE),"")</f>
        <v>2025-Q1</v>
      </c>
      <c r="D1619" s="222" t="s">
        <v>201</v>
      </c>
      <c r="E1619" s="218">
        <v>13</v>
      </c>
    </row>
    <row r="1620" spans="1:5" x14ac:dyDescent="0.35">
      <c r="A1620" s="3" t="e">
        <f>IF(D1620="","",(VLOOKUP($D1620,KEY!$B$5:$D$74,3,FALSE)))</f>
        <v>#N/A</v>
      </c>
      <c r="B1620" s="221">
        <f t="shared" si="6"/>
        <v>45689</v>
      </c>
      <c r="C1620" s="221" t="str">
        <f>IFERROR(VLOOKUP($B1620,KEY!$AE$19:$AH$60,2,FALSE),"")</f>
        <v>2025-Q1</v>
      </c>
      <c r="D1620" s="222" t="s">
        <v>202</v>
      </c>
      <c r="E1620" s="218">
        <v>3</v>
      </c>
    </row>
    <row r="1621" spans="1:5" x14ac:dyDescent="0.35">
      <c r="A1621" s="3" t="str">
        <f>IF(D1621="","",(VLOOKUP($D1621,KEY!$B$5:$D$74,3,FALSE)))</f>
        <v>Texas</v>
      </c>
      <c r="B1621" s="221">
        <f t="shared" si="6"/>
        <v>45689</v>
      </c>
      <c r="C1621" s="221" t="str">
        <f>IFERROR(VLOOKUP($B1621,KEY!$AE$19:$AH$60,2,FALSE),"")</f>
        <v>2025-Q1</v>
      </c>
      <c r="D1621" s="222" t="s">
        <v>198</v>
      </c>
      <c r="E1621" s="218">
        <v>8</v>
      </c>
    </row>
    <row r="1622" spans="1:5" x14ac:dyDescent="0.35">
      <c r="A1622" s="3" t="str">
        <f>IF(D1622="","",(VLOOKUP($D1622,KEY!$B$5:$D$74,3,FALSE)))</f>
        <v>Texas</v>
      </c>
      <c r="B1622" s="221">
        <f t="shared" si="6"/>
        <v>45689</v>
      </c>
      <c r="C1622" s="221" t="str">
        <f>IFERROR(VLOOKUP($B1622,KEY!$AE$19:$AH$60,2,FALSE),"")</f>
        <v>2025-Q1</v>
      </c>
      <c r="D1622" s="222" t="s">
        <v>128</v>
      </c>
      <c r="E1622" s="218">
        <v>14</v>
      </c>
    </row>
    <row r="1623" spans="1:5" x14ac:dyDescent="0.35">
      <c r="A1623" s="3" t="str">
        <f>IF(D1623="","",(VLOOKUP($D1623,KEY!$B$5:$D$74,3,FALSE)))</f>
        <v>Northern California</v>
      </c>
      <c r="B1623" s="221">
        <f t="shared" si="6"/>
        <v>45689</v>
      </c>
      <c r="C1623" s="221" t="str">
        <f>IFERROR(VLOOKUP($B1623,KEY!$AE$19:$AH$60,2,FALSE),"")</f>
        <v>2025-Q1</v>
      </c>
      <c r="D1623" s="222" t="s">
        <v>129</v>
      </c>
      <c r="E1623" s="218">
        <v>16</v>
      </c>
    </row>
    <row r="1624" spans="1:5" x14ac:dyDescent="0.35">
      <c r="A1624" s="3" t="str">
        <f>IF(D1624="","",(VLOOKUP($D1624,KEY!$B$5:$D$74,3,FALSE)))</f>
        <v>Southern California</v>
      </c>
      <c r="B1624" s="221">
        <f t="shared" si="6"/>
        <v>45689</v>
      </c>
      <c r="C1624" s="221" t="str">
        <f>IFERROR(VLOOKUP($B1624,KEY!$AE$19:$AH$60,2,FALSE),"")</f>
        <v>2025-Q1</v>
      </c>
      <c r="D1624" s="222" t="s">
        <v>130</v>
      </c>
      <c r="E1624" s="218">
        <v>10</v>
      </c>
    </row>
    <row r="1625" spans="1:5" x14ac:dyDescent="0.35">
      <c r="A1625" s="3" t="e">
        <f>IF(D1625="","",(VLOOKUP($D1625,KEY!$B$5:$D$74,3,FALSE)))</f>
        <v>#N/A</v>
      </c>
      <c r="B1625" s="221">
        <f t="shared" si="6"/>
        <v>45689</v>
      </c>
      <c r="C1625" s="221" t="str">
        <f>IFERROR(VLOOKUP($B1625,KEY!$AE$19:$AH$60,2,FALSE),"")</f>
        <v>2025-Q1</v>
      </c>
      <c r="D1625" s="222" t="s">
        <v>203</v>
      </c>
      <c r="E1625" s="218">
        <v>8</v>
      </c>
    </row>
    <row r="1626" spans="1:5" x14ac:dyDescent="0.35">
      <c r="A1626" s="3">
        <f>IF(D1626="","",(VLOOKUP($D1626,KEY!$B$5:$D$74,3,FALSE)))</f>
        <v>0</v>
      </c>
      <c r="B1626" s="221">
        <f t="shared" si="6"/>
        <v>45689</v>
      </c>
      <c r="C1626" s="221" t="str">
        <f>IFERROR(VLOOKUP($B1626,KEY!$AE$19:$AH$60,2,FALSE),"")</f>
        <v>2025-Q1</v>
      </c>
      <c r="D1626" s="222" t="s">
        <v>131</v>
      </c>
      <c r="E1626" s="218">
        <v>10</v>
      </c>
    </row>
    <row r="1627" spans="1:5" x14ac:dyDescent="0.35">
      <c r="A1627" s="3" t="e">
        <f>IF(D1627="","",(VLOOKUP($D1627,KEY!$B$5:$D$74,3,FALSE)))</f>
        <v>#N/A</v>
      </c>
      <c r="B1627" s="221">
        <f t="shared" si="6"/>
        <v>45689</v>
      </c>
      <c r="C1627" s="221" t="str">
        <f>IFERROR(VLOOKUP($B1627,KEY!$AE$19:$AH$60,2,FALSE),"")</f>
        <v>2025-Q1</v>
      </c>
      <c r="D1627" s="222" t="s">
        <v>134</v>
      </c>
      <c r="E1627" s="218">
        <v>3</v>
      </c>
    </row>
    <row r="1628" spans="1:5" x14ac:dyDescent="0.35">
      <c r="A1628" s="3" t="str">
        <f>IF(D1628="","",(VLOOKUP($D1628,KEY!$B$5:$D$74,3,FALSE)))</f>
        <v>Southern California</v>
      </c>
      <c r="B1628" s="221">
        <f t="shared" si="6"/>
        <v>45689</v>
      </c>
      <c r="C1628" s="221" t="str">
        <f>IFERROR(VLOOKUP($B1628,KEY!$AE$19:$AH$60,2,FALSE),"")</f>
        <v>2025-Q1</v>
      </c>
      <c r="D1628" s="222" t="s">
        <v>135</v>
      </c>
      <c r="E1628" s="218">
        <v>11</v>
      </c>
    </row>
    <row r="1629" spans="1:5" x14ac:dyDescent="0.35">
      <c r="A1629" s="3" t="str">
        <f>IF(D1629="","",(VLOOKUP($D1629,KEY!$B$5:$D$74,3,FALSE)))</f>
        <v>Arizona</v>
      </c>
      <c r="B1629" s="221">
        <f t="shared" si="6"/>
        <v>45689</v>
      </c>
      <c r="C1629" s="221" t="str">
        <f>IFERROR(VLOOKUP($B1629,KEY!$AE$19:$AH$60,2,FALSE),"")</f>
        <v>2025-Q1</v>
      </c>
      <c r="D1629" s="222" t="s">
        <v>204</v>
      </c>
      <c r="E1629" s="218">
        <v>1</v>
      </c>
    </row>
    <row r="1630" spans="1:5" x14ac:dyDescent="0.35">
      <c r="A1630" s="3" t="str">
        <f>IF(D1630="","",(VLOOKUP($D1630,KEY!$B$5:$D$74,3,FALSE)))</f>
        <v>Arizona</v>
      </c>
      <c r="B1630" s="221">
        <f t="shared" si="6"/>
        <v>45689</v>
      </c>
      <c r="C1630" s="221" t="str">
        <f>IFERROR(VLOOKUP($B1630,KEY!$AE$19:$AH$60,2,FALSE),"")</f>
        <v>2025-Q1</v>
      </c>
      <c r="D1630" s="222" t="s">
        <v>196</v>
      </c>
      <c r="E1630" s="218">
        <v>5</v>
      </c>
    </row>
    <row r="1631" spans="1:5" x14ac:dyDescent="0.35">
      <c r="A1631" s="3" t="str">
        <f>IF(D1631="","",(VLOOKUP($D1631,KEY!$B$5:$D$74,3,FALSE)))</f>
        <v>Arizona</v>
      </c>
      <c r="B1631" s="221">
        <f t="shared" si="6"/>
        <v>45689</v>
      </c>
      <c r="C1631" s="221" t="str">
        <f>IFERROR(VLOOKUP($B1631,KEY!$AE$19:$AH$60,2,FALSE),"")</f>
        <v>2025-Q1</v>
      </c>
      <c r="D1631" s="222" t="s">
        <v>197</v>
      </c>
      <c r="E1631" s="218">
        <v>9</v>
      </c>
    </row>
    <row r="1632" spans="1:5" x14ac:dyDescent="0.35">
      <c r="A1632" s="3" t="str">
        <f>IF(D1632="","",(VLOOKUP($D1632,KEY!$B$5:$D$74,3,FALSE)))</f>
        <v>Texas</v>
      </c>
      <c r="B1632" s="221">
        <f t="shared" si="6"/>
        <v>45689</v>
      </c>
      <c r="C1632" s="221" t="str">
        <f>IFERROR(VLOOKUP($B1632,KEY!$AE$19:$AH$60,2,FALSE),"")</f>
        <v>2025-Q1</v>
      </c>
      <c r="D1632" s="222" t="s">
        <v>136</v>
      </c>
      <c r="E1632" s="218">
        <v>16</v>
      </c>
    </row>
    <row r="1633" spans="1:5" x14ac:dyDescent="0.35">
      <c r="A1633" s="3" t="str">
        <f>IF(D1633="","",(VLOOKUP($D1633,KEY!$B$5:$D$74,3,FALSE)))</f>
        <v>Arizona</v>
      </c>
      <c r="B1633" s="221">
        <f t="shared" si="6"/>
        <v>45689</v>
      </c>
      <c r="C1633" s="221" t="str">
        <f>IFERROR(VLOOKUP($B1633,KEY!$AE$19:$AH$60,2,FALSE),"")</f>
        <v>2025-Q1</v>
      </c>
      <c r="D1633" s="222" t="s">
        <v>137</v>
      </c>
      <c r="E1633" s="218">
        <v>9</v>
      </c>
    </row>
    <row r="1634" spans="1:5" x14ac:dyDescent="0.35">
      <c r="A1634" s="3" t="str">
        <f>IF(D1634="","",(VLOOKUP($D1634,KEY!$B$5:$D$74,3,FALSE)))</f>
        <v>Texas</v>
      </c>
      <c r="B1634" s="221">
        <f t="shared" si="6"/>
        <v>45689</v>
      </c>
      <c r="C1634" s="221" t="str">
        <f>IFERROR(VLOOKUP($B1634,KEY!$AE$19:$AH$60,2,FALSE),"")</f>
        <v>2025-Q1</v>
      </c>
      <c r="D1634" s="222" t="s">
        <v>138</v>
      </c>
      <c r="E1634" s="218">
        <v>10</v>
      </c>
    </row>
    <row r="1635" spans="1:5" x14ac:dyDescent="0.35">
      <c r="A1635" s="3" t="str">
        <f>IF(D1635="","",(VLOOKUP($D1635,KEY!$B$5:$D$74,3,FALSE)))</f>
        <v>Southern California</v>
      </c>
      <c r="B1635" s="221">
        <f t="shared" si="6"/>
        <v>45689</v>
      </c>
      <c r="C1635" s="221" t="str">
        <f>IFERROR(VLOOKUP($B1635,KEY!$AE$19:$AH$60,2,FALSE),"")</f>
        <v>2025-Q1</v>
      </c>
      <c r="D1635" s="222" t="s">
        <v>139</v>
      </c>
      <c r="E1635" s="218">
        <v>15</v>
      </c>
    </row>
    <row r="1636" spans="1:5" x14ac:dyDescent="0.35">
      <c r="A1636" s="3" t="str">
        <f>IF(D1636="","",(VLOOKUP($D1636,KEY!$B$5:$D$74,3,FALSE)))</f>
        <v>Orange County</v>
      </c>
      <c r="B1636" s="221">
        <f t="shared" si="6"/>
        <v>45689</v>
      </c>
      <c r="C1636" s="221" t="str">
        <f>IFERROR(VLOOKUP($B1636,KEY!$AE$19:$AH$60,2,FALSE),"")</f>
        <v>2025-Q1</v>
      </c>
      <c r="D1636" s="222" t="s">
        <v>140</v>
      </c>
      <c r="E1636" s="218">
        <v>4</v>
      </c>
    </row>
    <row r="1637" spans="1:5" x14ac:dyDescent="0.35">
      <c r="A1637" s="3" t="str">
        <f>IF(D1637="","",(VLOOKUP($D1637,KEY!$B$5:$D$74,3,FALSE)))</f>
        <v>Southern California</v>
      </c>
      <c r="B1637" s="221">
        <f t="shared" si="6"/>
        <v>45689</v>
      </c>
      <c r="C1637" s="221" t="str">
        <f>IFERROR(VLOOKUP($B1637,KEY!$AE$19:$AH$60,2,FALSE),"")</f>
        <v>2025-Q1</v>
      </c>
      <c r="D1637" s="222" t="s">
        <v>142</v>
      </c>
      <c r="E1637" s="218">
        <v>6</v>
      </c>
    </row>
    <row r="1638" spans="1:5" x14ac:dyDescent="0.35">
      <c r="A1638" s="3" t="str">
        <f>IF(D1638="","",(VLOOKUP($D1638,KEY!$B$5:$D$74,3,FALSE)))</f>
        <v>Arizona</v>
      </c>
      <c r="B1638" s="221">
        <f t="shared" si="6"/>
        <v>45689</v>
      </c>
      <c r="C1638" s="221" t="str">
        <f>IFERROR(VLOOKUP($B1638,KEY!$AE$19:$AH$60,2,FALSE),"")</f>
        <v>2025-Q1</v>
      </c>
      <c r="D1638" s="222" t="s">
        <v>143</v>
      </c>
      <c r="E1638" s="218">
        <v>8</v>
      </c>
    </row>
    <row r="1639" spans="1:5" x14ac:dyDescent="0.35">
      <c r="A1639" s="3" t="str">
        <f>IF(D1639="","",(VLOOKUP($D1639,KEY!$B$5:$D$74,3,FALSE)))</f>
        <v>Arizona</v>
      </c>
      <c r="B1639" s="221">
        <f t="shared" si="6"/>
        <v>45689</v>
      </c>
      <c r="C1639" s="221" t="str">
        <f>IFERROR(VLOOKUP($B1639,KEY!$AE$19:$AH$60,2,FALSE),"")</f>
        <v>2025-Q1</v>
      </c>
      <c r="D1639" s="222" t="s">
        <v>144</v>
      </c>
      <c r="E1639" s="218">
        <v>21</v>
      </c>
    </row>
    <row r="1640" spans="1:5" x14ac:dyDescent="0.35">
      <c r="A1640" s="3" t="str">
        <f>IF(D1640="","",(VLOOKUP($D1640,KEY!$B$5:$D$74,3,FALSE)))</f>
        <v>Southern California</v>
      </c>
      <c r="B1640" s="221">
        <f t="shared" si="6"/>
        <v>45689</v>
      </c>
      <c r="C1640" s="221" t="str">
        <f>IFERROR(VLOOKUP($B1640,KEY!$AE$19:$AH$60,2,FALSE),"")</f>
        <v>2025-Q1</v>
      </c>
      <c r="D1640" s="222" t="s">
        <v>145</v>
      </c>
      <c r="E1640" s="218">
        <v>16</v>
      </c>
    </row>
    <row r="1641" spans="1:5" x14ac:dyDescent="0.35">
      <c r="A1641" s="3" t="str">
        <f>IF(D1641="","",(VLOOKUP($D1641,KEY!$B$5:$D$74,3,FALSE)))</f>
        <v>Arizona</v>
      </c>
      <c r="B1641" s="221">
        <f t="shared" si="6"/>
        <v>45689</v>
      </c>
      <c r="C1641" s="221" t="str">
        <f>IFERROR(VLOOKUP($B1641,KEY!$AE$19:$AH$60,2,FALSE),"")</f>
        <v>2025-Q1</v>
      </c>
      <c r="D1641" s="222" t="s">
        <v>146</v>
      </c>
      <c r="E1641" s="218">
        <v>3</v>
      </c>
    </row>
    <row r="1642" spans="1:5" x14ac:dyDescent="0.35">
      <c r="A1642" s="3" t="str">
        <f>IF(D1642="","",(VLOOKUP($D1642,KEY!$B$5:$D$74,3,FALSE)))</f>
        <v>Texas</v>
      </c>
      <c r="B1642" s="221">
        <f t="shared" si="6"/>
        <v>45689</v>
      </c>
      <c r="C1642" s="221" t="str">
        <f>IFERROR(VLOOKUP($B1642,KEY!$AE$19:$AH$60,2,FALSE),"")</f>
        <v>2025-Q1</v>
      </c>
      <c r="D1642" s="222" t="s">
        <v>147</v>
      </c>
      <c r="E1642" s="218">
        <v>4</v>
      </c>
    </row>
    <row r="1643" spans="1:5" x14ac:dyDescent="0.35">
      <c r="A1643" s="3" t="str">
        <f>IF(D1643="","",(VLOOKUP($D1643,KEY!$B$5:$D$74,3,FALSE)))</f>
        <v>Northern California</v>
      </c>
      <c r="B1643" s="221">
        <f t="shared" si="6"/>
        <v>45689</v>
      </c>
      <c r="C1643" s="221" t="str">
        <f>IFERROR(VLOOKUP($B1643,KEY!$AE$19:$AH$60,2,FALSE),"")</f>
        <v>2025-Q1</v>
      </c>
      <c r="D1643" s="222" t="s">
        <v>148</v>
      </c>
      <c r="E1643" s="218">
        <v>3</v>
      </c>
    </row>
    <row r="1644" spans="1:5" x14ac:dyDescent="0.35">
      <c r="A1644" s="3" t="str">
        <f>IF(D1644="","",(VLOOKUP($D1644,KEY!$B$5:$D$74,3,FALSE)))</f>
        <v>Orange County</v>
      </c>
      <c r="B1644" s="221">
        <f t="shared" si="6"/>
        <v>45689</v>
      </c>
      <c r="C1644" s="221" t="str">
        <f>IFERROR(VLOOKUP($B1644,KEY!$AE$19:$AH$60,2,FALSE),"")</f>
        <v>2025-Q1</v>
      </c>
      <c r="D1644" s="222" t="s">
        <v>149</v>
      </c>
      <c r="E1644" s="218">
        <v>3</v>
      </c>
    </row>
    <row r="1645" spans="1:5" x14ac:dyDescent="0.35">
      <c r="A1645" s="3" t="str">
        <f>IF(D1645="","",(VLOOKUP($D1645,KEY!$B$5:$D$74,3,FALSE)))</f>
        <v>Southern California</v>
      </c>
      <c r="B1645" s="221">
        <f t="shared" si="6"/>
        <v>45689</v>
      </c>
      <c r="C1645" s="221" t="str">
        <f>IFERROR(VLOOKUP($B1645,KEY!$AE$19:$AH$60,2,FALSE),"")</f>
        <v>2025-Q1</v>
      </c>
      <c r="D1645" s="222" t="s">
        <v>150</v>
      </c>
      <c r="E1645" s="218">
        <v>3</v>
      </c>
    </row>
    <row r="1646" spans="1:5" x14ac:dyDescent="0.35">
      <c r="A1646" s="3" t="str">
        <f>IF(D1646="","",(VLOOKUP($D1646,KEY!$B$5:$D$74,3,FALSE)))</f>
        <v>Arizona</v>
      </c>
      <c r="B1646" s="221">
        <f t="shared" si="6"/>
        <v>45689</v>
      </c>
      <c r="C1646" s="221" t="str">
        <f>IFERROR(VLOOKUP($B1646,KEY!$AE$19:$AH$60,2,FALSE),"")</f>
        <v>2025-Q1</v>
      </c>
      <c r="D1646" s="222" t="s">
        <v>151</v>
      </c>
      <c r="E1646" s="218">
        <v>4</v>
      </c>
    </row>
    <row r="1647" spans="1:5" x14ac:dyDescent="0.35">
      <c r="A1647" s="3" t="str">
        <f>IF(D1647="","",(VLOOKUP($D1647,KEY!$B$5:$D$74,3,FALSE)))</f>
        <v>Michigan &amp; Minnesota</v>
      </c>
      <c r="B1647" s="221">
        <f t="shared" si="6"/>
        <v>45689</v>
      </c>
      <c r="C1647" s="221" t="str">
        <f>IFERROR(VLOOKUP($B1647,KEY!$AE$19:$AH$60,2,FALSE),"")</f>
        <v>2025-Q1</v>
      </c>
      <c r="D1647" s="222" t="s">
        <v>206</v>
      </c>
      <c r="E1647" s="218">
        <v>17</v>
      </c>
    </row>
    <row r="1648" spans="1:5" x14ac:dyDescent="0.35">
      <c r="A1648" s="3" t="str">
        <f>IF(D1648="","",(VLOOKUP($D1648,KEY!$B$5:$D$74,3,FALSE)))</f>
        <v>Michigan &amp; Minnesota</v>
      </c>
      <c r="B1648" s="221">
        <f t="shared" si="6"/>
        <v>45689</v>
      </c>
      <c r="C1648" s="221" t="str">
        <f>IFERROR(VLOOKUP($B1648,KEY!$AE$19:$AH$60,2,FALSE),"")</f>
        <v>2025-Q1</v>
      </c>
      <c r="D1648" s="222" t="s">
        <v>207</v>
      </c>
      <c r="E1648" s="218">
        <v>5</v>
      </c>
    </row>
    <row r="1649" spans="1:5" x14ac:dyDescent="0.35">
      <c r="A1649" s="3" t="str">
        <f>IF(D1649="","",(VLOOKUP($D1649,KEY!$B$5:$D$74,3,FALSE)))</f>
        <v>Indiana</v>
      </c>
      <c r="B1649" s="221">
        <f t="shared" si="6"/>
        <v>45689</v>
      </c>
      <c r="C1649" s="221" t="str">
        <f>IFERROR(VLOOKUP($B1649,KEY!$AE$19:$AH$60,2,FALSE),"")</f>
        <v>2025-Q1</v>
      </c>
      <c r="D1649" s="222" t="s">
        <v>208</v>
      </c>
      <c r="E1649" s="218">
        <v>11</v>
      </c>
    </row>
    <row r="1650" spans="1:5" x14ac:dyDescent="0.35">
      <c r="A1650" s="3" t="str">
        <f>IF(D1650="","",(VLOOKUP($D1650,KEY!$B$5:$D$74,3,FALSE)))</f>
        <v>Indiana</v>
      </c>
      <c r="B1650" s="221">
        <f t="shared" si="6"/>
        <v>45689</v>
      </c>
      <c r="C1650" s="221" t="str">
        <f>IFERROR(VLOOKUP($B1650,KEY!$AE$19:$AH$60,2,FALSE),"")</f>
        <v>2025-Q1</v>
      </c>
      <c r="D1650" s="222" t="s">
        <v>209</v>
      </c>
      <c r="E1650" s="218">
        <v>24</v>
      </c>
    </row>
    <row r="1651" spans="1:5" x14ac:dyDescent="0.35">
      <c r="A1651" s="3" t="str">
        <f>IF(D1651="","",(VLOOKUP($D1651,KEY!$B$5:$D$74,3,FALSE)))</f>
        <v>Northern California</v>
      </c>
      <c r="B1651" s="221">
        <f t="shared" si="6"/>
        <v>45689</v>
      </c>
      <c r="C1651" s="221" t="str">
        <f>IFERROR(VLOOKUP($B1651,KEY!$AE$19:$AH$60,2,FALSE),"")</f>
        <v>2025-Q1</v>
      </c>
      <c r="D1651" s="222" t="s">
        <v>152</v>
      </c>
      <c r="E1651" s="218">
        <v>13</v>
      </c>
    </row>
    <row r="1652" spans="1:5" x14ac:dyDescent="0.35">
      <c r="A1652" s="3" t="str">
        <f>IF(D1652="","",(VLOOKUP($D1652,KEY!$B$5:$D$74,3,FALSE)))</f>
        <v>Arizona</v>
      </c>
      <c r="B1652" s="221">
        <f t="shared" si="6"/>
        <v>45689</v>
      </c>
      <c r="C1652" s="221" t="str">
        <f>IFERROR(VLOOKUP($B1652,KEY!$AE$19:$AH$60,2,FALSE),"")</f>
        <v>2025-Q1</v>
      </c>
      <c r="D1652" s="222" t="s">
        <v>153</v>
      </c>
      <c r="E1652" s="218">
        <v>13</v>
      </c>
    </row>
    <row r="1653" spans="1:5" x14ac:dyDescent="0.35">
      <c r="A1653" s="3" t="str">
        <f>IF(D1653="","",(VLOOKUP($D1653,KEY!$B$5:$D$74,3,FALSE)))</f>
        <v>Northern California</v>
      </c>
      <c r="B1653" s="221">
        <f t="shared" si="6"/>
        <v>45689</v>
      </c>
      <c r="C1653" s="221" t="str">
        <f>IFERROR(VLOOKUP($B1653,KEY!$AE$19:$AH$60,2,FALSE),"")</f>
        <v>2025-Q1</v>
      </c>
      <c r="D1653" s="222" t="s">
        <v>154</v>
      </c>
      <c r="E1653" s="218">
        <v>9</v>
      </c>
    </row>
    <row r="1654" spans="1:5" x14ac:dyDescent="0.35">
      <c r="A1654" s="3" t="str">
        <f>IF(D1654="","",(VLOOKUP($D1654,KEY!$B$5:$D$74,3,FALSE)))</f>
        <v>Texas</v>
      </c>
      <c r="B1654" s="221">
        <f t="shared" si="6"/>
        <v>45689</v>
      </c>
      <c r="C1654" s="221" t="str">
        <f>IFERROR(VLOOKUP($B1654,KEY!$AE$19:$AH$60,2,FALSE),"")</f>
        <v>2025-Q1</v>
      </c>
      <c r="D1654" s="222" t="s">
        <v>155</v>
      </c>
      <c r="E1654" s="218">
        <v>23</v>
      </c>
    </row>
    <row r="1655" spans="1:5" x14ac:dyDescent="0.35">
      <c r="A1655" s="3" t="str">
        <f>IF(D1655="","",(VLOOKUP($D1655,KEY!$B$5:$D$74,3,FALSE)))</f>
        <v>Texas</v>
      </c>
      <c r="B1655" s="221">
        <f t="shared" si="6"/>
        <v>45689</v>
      </c>
      <c r="C1655" s="221" t="str">
        <f>IFERROR(VLOOKUP($B1655,KEY!$AE$19:$AH$60,2,FALSE),"")</f>
        <v>2025-Q1</v>
      </c>
      <c r="D1655" s="222" t="s">
        <v>156</v>
      </c>
      <c r="E1655" s="218">
        <v>18</v>
      </c>
    </row>
    <row r="1656" spans="1:5" x14ac:dyDescent="0.35">
      <c r="A1656" s="3" t="str">
        <f>IF(D1656="","",(VLOOKUP($D1656,KEY!$B$5:$D$74,3,FALSE)))</f>
        <v>Texas</v>
      </c>
      <c r="B1656" s="221">
        <f t="shared" si="6"/>
        <v>45689</v>
      </c>
      <c r="C1656" s="221" t="str">
        <f>IFERROR(VLOOKUP($B1656,KEY!$AE$19:$AH$60,2,FALSE),"")</f>
        <v>2025-Q1</v>
      </c>
      <c r="D1656" s="222" t="s">
        <v>157</v>
      </c>
      <c r="E1656" s="218">
        <v>37</v>
      </c>
    </row>
    <row r="1657" spans="1:5" x14ac:dyDescent="0.35">
      <c r="A1657" s="3" t="str">
        <f>IF(D1657="","",(VLOOKUP($D1657,KEY!$B$5:$D$74,3,FALSE)))</f>
        <v>Arizona</v>
      </c>
      <c r="B1657" s="221">
        <f t="shared" si="6"/>
        <v>45689</v>
      </c>
      <c r="C1657" s="221" t="str">
        <f>IFERROR(VLOOKUP($B1657,KEY!$AE$19:$AH$60,2,FALSE),"")</f>
        <v>2025-Q1</v>
      </c>
      <c r="D1657" s="222" t="s">
        <v>158</v>
      </c>
      <c r="E1657" s="218">
        <v>6</v>
      </c>
    </row>
    <row r="1658" spans="1:5" x14ac:dyDescent="0.35">
      <c r="A1658" s="3" t="str">
        <f>IF(D1658="","",(VLOOKUP($D1658,KEY!$B$5:$D$74,3,FALSE)))</f>
        <v>Orange County</v>
      </c>
      <c r="B1658" s="221">
        <f t="shared" si="6"/>
        <v>45689</v>
      </c>
      <c r="C1658" s="221" t="str">
        <f>IFERROR(VLOOKUP($B1658,KEY!$AE$19:$AH$60,2,FALSE),"")</f>
        <v>2025-Q1</v>
      </c>
      <c r="D1658" s="222" t="s">
        <v>159</v>
      </c>
      <c r="E1658" s="218">
        <v>9</v>
      </c>
    </row>
    <row r="1659" spans="1:5" x14ac:dyDescent="0.35">
      <c r="A1659" s="3" t="str">
        <f>IF(D1659="","",(VLOOKUP($D1659,KEY!$B$5:$D$74,3,FALSE)))</f>
        <v>Arizona</v>
      </c>
      <c r="B1659" s="221">
        <f t="shared" si="6"/>
        <v>45689</v>
      </c>
      <c r="C1659" s="221" t="str">
        <f>IFERROR(VLOOKUP($B1659,KEY!$AE$19:$AH$60,2,FALSE),"")</f>
        <v>2025-Q1</v>
      </c>
      <c r="D1659" s="222" t="s">
        <v>160</v>
      </c>
      <c r="E1659" s="218">
        <v>25</v>
      </c>
    </row>
    <row r="1660" spans="1:5" x14ac:dyDescent="0.35">
      <c r="A1660" s="3" t="str">
        <f>IF(D1660="","",(VLOOKUP($D1660,KEY!$B$5:$D$74,3,FALSE)))</f>
        <v>Northern California</v>
      </c>
      <c r="B1660" s="221">
        <f t="shared" si="6"/>
        <v>45689</v>
      </c>
      <c r="C1660" s="221" t="str">
        <f>IFERROR(VLOOKUP($B1660,KEY!$AE$19:$AH$60,2,FALSE),"")</f>
        <v>2025-Q1</v>
      </c>
      <c r="D1660" s="222" t="s">
        <v>161</v>
      </c>
      <c r="E1660" s="218">
        <v>20</v>
      </c>
    </row>
    <row r="1661" spans="1:5" x14ac:dyDescent="0.35">
      <c r="A1661" s="3" t="str">
        <f>IF(D1661="","",(VLOOKUP($D1661,KEY!$B$5:$D$74,3,FALSE)))</f>
        <v>Arizona</v>
      </c>
      <c r="B1661" s="221">
        <f t="shared" si="6"/>
        <v>45689</v>
      </c>
      <c r="C1661" s="221" t="str">
        <f>IFERROR(VLOOKUP($B1661,KEY!$AE$19:$AH$60,2,FALSE),"")</f>
        <v>2025-Q1</v>
      </c>
      <c r="D1661" s="222" t="s">
        <v>163</v>
      </c>
      <c r="E1661" s="218">
        <v>16</v>
      </c>
    </row>
    <row r="1662" spans="1:5" x14ac:dyDescent="0.35">
      <c r="A1662" s="3" t="str">
        <f>IF(D1662="","",(VLOOKUP($D1662,KEY!$B$5:$D$74,3,FALSE)))</f>
        <v>Arizona</v>
      </c>
      <c r="B1662" s="221">
        <f t="shared" si="6"/>
        <v>45689</v>
      </c>
      <c r="C1662" s="221" t="str">
        <f>IFERROR(VLOOKUP($B1662,KEY!$AE$19:$AH$60,2,FALSE),"")</f>
        <v>2025-Q1</v>
      </c>
      <c r="D1662" s="222" t="s">
        <v>164</v>
      </c>
      <c r="E1662" s="218">
        <v>7</v>
      </c>
    </row>
    <row r="1663" spans="1:5" x14ac:dyDescent="0.35">
      <c r="A1663" s="3" t="str">
        <f>IF(D1663="","",(VLOOKUP($D1663,KEY!$B$5:$D$74,3,FALSE)))</f>
        <v>Orange County</v>
      </c>
      <c r="B1663" s="221">
        <f t="shared" si="6"/>
        <v>45689</v>
      </c>
      <c r="C1663" s="221" t="str">
        <f>IFERROR(VLOOKUP($B1663,KEY!$AE$19:$AH$60,2,FALSE),"")</f>
        <v>2025-Q1</v>
      </c>
      <c r="D1663" s="222" t="s">
        <v>165</v>
      </c>
      <c r="E1663" s="218">
        <v>8</v>
      </c>
    </row>
    <row r="1664" spans="1:5" x14ac:dyDescent="0.35">
      <c r="A1664" s="3" t="str">
        <f>IF(D1664="","",(VLOOKUP($D1664,KEY!$B$5:$D$74,3,FALSE)))</f>
        <v/>
      </c>
      <c r="B1664" s="221">
        <f t="shared" ref="B1664:B1668" si="7">B1663</f>
        <v>45689</v>
      </c>
      <c r="C1664" s="221" t="str">
        <f>IFERROR(VLOOKUP($B1664,KEY!$AE$19:$AH$60,2,FALSE),"")</f>
        <v>2025-Q1</v>
      </c>
      <c r="D1664" s="222"/>
      <c r="E1664" s="218"/>
    </row>
    <row r="1665" spans="1:5" x14ac:dyDescent="0.35">
      <c r="A1665" s="3" t="str">
        <f>IF(D1665="","",(VLOOKUP($D1665,KEY!$B$5:$D$74,3,FALSE)))</f>
        <v/>
      </c>
      <c r="B1665" s="221">
        <f t="shared" si="7"/>
        <v>45689</v>
      </c>
      <c r="C1665" s="221" t="str">
        <f>IFERROR(VLOOKUP($B1665,KEY!$AE$19:$AH$60,2,FALSE),"")</f>
        <v>2025-Q1</v>
      </c>
      <c r="D1665" s="222"/>
      <c r="E1665" s="218"/>
    </row>
    <row r="1666" spans="1:5" x14ac:dyDescent="0.35">
      <c r="A1666" s="3" t="str">
        <f>IF(D1666="","",(VLOOKUP($D1666,KEY!$B$5:$D$74,3,FALSE)))</f>
        <v/>
      </c>
      <c r="B1666" s="221">
        <f t="shared" si="7"/>
        <v>45689</v>
      </c>
      <c r="C1666" s="221" t="str">
        <f>IFERROR(VLOOKUP($B1666,KEY!$AE$19:$AH$60,2,FALSE),"")</f>
        <v>2025-Q1</v>
      </c>
      <c r="D1666" s="222"/>
      <c r="E1666" s="218"/>
    </row>
    <row r="1667" spans="1:5" x14ac:dyDescent="0.35">
      <c r="A1667" s="3" t="str">
        <f>IF(D1667="","",(VLOOKUP($D1667,KEY!$B$5:$D$74,3,FALSE)))</f>
        <v/>
      </c>
      <c r="B1667" s="221">
        <f t="shared" si="7"/>
        <v>45689</v>
      </c>
      <c r="C1667" s="221" t="str">
        <f>IFERROR(VLOOKUP($B1667,KEY!$AE$19:$AH$60,2,FALSE),"")</f>
        <v>2025-Q1</v>
      </c>
      <c r="D1667" s="222"/>
      <c r="E1667" s="218"/>
    </row>
    <row r="1668" spans="1:5" x14ac:dyDescent="0.35">
      <c r="A1668" s="3" t="str">
        <f>IF(D1668="","",(VLOOKUP($D1668,KEY!$B$5:$D$74,3,FALSE)))</f>
        <v/>
      </c>
      <c r="B1668" s="221">
        <f t="shared" si="7"/>
        <v>45689</v>
      </c>
      <c r="C1668" s="221" t="str">
        <f>IFERROR(VLOOKUP($B1668,KEY!$AE$19:$AH$60,2,FALSE),"")</f>
        <v>2025-Q1</v>
      </c>
      <c r="D1668" s="222"/>
      <c r="E1668" s="218"/>
    </row>
    <row r="1669" spans="1:5" x14ac:dyDescent="0.35">
      <c r="A1669" s="3" t="str">
        <f>IF(D1669="","",(VLOOKUP($D1669,KEY!$B$5:$D$74,3,FALSE)))</f>
        <v>Arizona</v>
      </c>
      <c r="B1669" s="434">
        <f>DATE(YEAR(B1668+31),MONTH(B1668+31),1)</f>
        <v>45717</v>
      </c>
      <c r="C1669" s="434" t="str">
        <f>IFERROR(VLOOKUP($B1669,KEY!$AE$19:$AH$60,2,FALSE),"")</f>
        <v>2025-Q1</v>
      </c>
      <c r="D1669" s="435" t="s">
        <v>111</v>
      </c>
      <c r="E1669" s="436">
        <v>8</v>
      </c>
    </row>
    <row r="1670" spans="1:5" x14ac:dyDescent="0.35">
      <c r="A1670" s="3" t="str">
        <f>IF(D1670="","",(VLOOKUP($D1670,KEY!$B$5:$D$74,3,FALSE)))</f>
        <v>Southern California</v>
      </c>
      <c r="B1670" s="221">
        <f t="shared" ref="B1670:B1733" si="8">B1669</f>
        <v>45717</v>
      </c>
      <c r="C1670" s="221" t="str">
        <f>IFERROR(VLOOKUP($B1670,KEY!$AE$19:$AH$60,2,FALSE),"")</f>
        <v>2025-Q1</v>
      </c>
      <c r="D1670" s="222" t="s">
        <v>112</v>
      </c>
      <c r="E1670" s="218">
        <v>4</v>
      </c>
    </row>
    <row r="1671" spans="1:5" x14ac:dyDescent="0.35">
      <c r="A1671" s="3" t="str">
        <f>IF(D1671="","",(VLOOKUP($D1671,KEY!$B$5:$D$74,3,FALSE)))</f>
        <v>Arizona</v>
      </c>
      <c r="B1671" s="221">
        <f t="shared" si="8"/>
        <v>45717</v>
      </c>
      <c r="C1671" s="221" t="str">
        <f>IFERROR(VLOOKUP($B1671,KEY!$AE$19:$AH$60,2,FALSE),"")</f>
        <v>2025-Q1</v>
      </c>
      <c r="D1671" s="222" t="s">
        <v>113</v>
      </c>
      <c r="E1671" s="218">
        <v>6</v>
      </c>
    </row>
    <row r="1672" spans="1:5" x14ac:dyDescent="0.35">
      <c r="A1672" s="3" t="str">
        <f>IF(D1672="","",(VLOOKUP($D1672,KEY!$B$5:$D$74,3,FALSE)))</f>
        <v>Southern California</v>
      </c>
      <c r="B1672" s="221">
        <f t="shared" si="8"/>
        <v>45717</v>
      </c>
      <c r="C1672" s="221" t="str">
        <f>IFERROR(VLOOKUP($B1672,KEY!$AE$19:$AH$60,2,FALSE),"")</f>
        <v>2025-Q1</v>
      </c>
      <c r="D1672" s="222" t="s">
        <v>114</v>
      </c>
      <c r="E1672" s="218">
        <v>4</v>
      </c>
    </row>
    <row r="1673" spans="1:5" x14ac:dyDescent="0.35">
      <c r="A1673" s="3" t="str">
        <f>IF(D1673="","",(VLOOKUP($D1673,KEY!$B$5:$D$74,3,FALSE)))</f>
        <v>Orange County</v>
      </c>
      <c r="B1673" s="221">
        <f t="shared" si="8"/>
        <v>45717</v>
      </c>
      <c r="C1673" s="221" t="str">
        <f>IFERROR(VLOOKUP($B1673,KEY!$AE$19:$AH$60,2,FALSE),"")</f>
        <v>2025-Q1</v>
      </c>
      <c r="D1673" s="222" t="s">
        <v>115</v>
      </c>
      <c r="E1673" s="218">
        <v>4</v>
      </c>
    </row>
    <row r="1674" spans="1:5" x14ac:dyDescent="0.35">
      <c r="A1674" s="3" t="str">
        <f>IF(D1674="","",(VLOOKUP($D1674,KEY!$B$5:$D$74,3,FALSE)))</f>
        <v>Arizona</v>
      </c>
      <c r="B1674" s="221">
        <f t="shared" si="8"/>
        <v>45717</v>
      </c>
      <c r="C1674" s="221" t="str">
        <f>IFERROR(VLOOKUP($B1674,KEY!$AE$19:$AH$60,2,FALSE),"")</f>
        <v>2025-Q1</v>
      </c>
      <c r="D1674" s="222" t="s">
        <v>116</v>
      </c>
      <c r="E1674" s="218">
        <v>11</v>
      </c>
    </row>
    <row r="1675" spans="1:5" x14ac:dyDescent="0.35">
      <c r="A1675" s="3" t="str">
        <f>IF(D1675="","",(VLOOKUP($D1675,KEY!$B$5:$D$74,3,FALSE)))</f>
        <v>Northern California</v>
      </c>
      <c r="B1675" s="221">
        <f t="shared" si="8"/>
        <v>45717</v>
      </c>
      <c r="C1675" s="221" t="str">
        <f>IFERROR(VLOOKUP($B1675,KEY!$AE$19:$AH$60,2,FALSE),"")</f>
        <v>2025-Q1</v>
      </c>
      <c r="D1675" s="222" t="s">
        <v>118</v>
      </c>
      <c r="E1675" s="218">
        <v>12</v>
      </c>
    </row>
    <row r="1676" spans="1:5" x14ac:dyDescent="0.35">
      <c r="A1676" s="3" t="str">
        <f>IF(D1676="","",(VLOOKUP($D1676,KEY!$B$5:$D$74,3,FALSE)))</f>
        <v>Orange County</v>
      </c>
      <c r="B1676" s="221">
        <f t="shared" si="8"/>
        <v>45717</v>
      </c>
      <c r="C1676" s="221" t="str">
        <f>IFERROR(VLOOKUP($B1676,KEY!$AE$19:$AH$60,2,FALSE),"")</f>
        <v>2025-Q1</v>
      </c>
      <c r="D1676" s="222" t="s">
        <v>117</v>
      </c>
      <c r="E1676" s="218">
        <v>7</v>
      </c>
    </row>
    <row r="1677" spans="1:5" x14ac:dyDescent="0.35">
      <c r="A1677" s="3" t="str">
        <f>IF(D1677="","",(VLOOKUP($D1677,KEY!$B$5:$D$74,3,FALSE)))</f>
        <v>Arizona</v>
      </c>
      <c r="B1677" s="221">
        <f t="shared" si="8"/>
        <v>45717</v>
      </c>
      <c r="C1677" s="221" t="str">
        <f>IFERROR(VLOOKUP($B1677,KEY!$AE$19:$AH$60,2,FALSE),"")</f>
        <v>2025-Q1</v>
      </c>
      <c r="D1677" s="222" t="s">
        <v>119</v>
      </c>
      <c r="E1677" s="218">
        <v>4</v>
      </c>
    </row>
    <row r="1678" spans="1:5" x14ac:dyDescent="0.35">
      <c r="A1678" s="3" t="str">
        <f>IF(D1678="","",(VLOOKUP($D1678,KEY!$B$5:$D$74,3,FALSE)))</f>
        <v/>
      </c>
      <c r="B1678" s="221">
        <f t="shared" si="8"/>
        <v>45717</v>
      </c>
      <c r="C1678" s="221" t="str">
        <f>IFERROR(VLOOKUP($B1678,KEY!$AE$19:$AH$60,2,FALSE),"")</f>
        <v>2025-Q1</v>
      </c>
      <c r="D1678" s="222"/>
      <c r="E1678" s="218"/>
    </row>
    <row r="1679" spans="1:5" x14ac:dyDescent="0.35">
      <c r="A1679" s="3" t="str">
        <f>IF(D1679="","",(VLOOKUP($D1679,KEY!$B$5:$D$74,3,FALSE)))</f>
        <v>Arizona</v>
      </c>
      <c r="B1679" s="221">
        <f t="shared" si="8"/>
        <v>45717</v>
      </c>
      <c r="C1679" s="221" t="str">
        <f>IFERROR(VLOOKUP($B1679,KEY!$AE$19:$AH$60,2,FALSE),"")</f>
        <v>2025-Q1</v>
      </c>
      <c r="D1679" s="222" t="s">
        <v>120</v>
      </c>
      <c r="E1679" s="218">
        <v>27</v>
      </c>
    </row>
    <row r="1680" spans="1:5" x14ac:dyDescent="0.35">
      <c r="A1680" s="3" t="str">
        <f>IF(D1680="","",(VLOOKUP($D1680,KEY!$B$5:$D$74,3,FALSE)))</f>
        <v>Texas</v>
      </c>
      <c r="B1680" s="221">
        <f t="shared" si="8"/>
        <v>45717</v>
      </c>
      <c r="C1680" s="221" t="str">
        <f>IFERROR(VLOOKUP($B1680,KEY!$AE$19:$AH$60,2,FALSE),"")</f>
        <v>2025-Q1</v>
      </c>
      <c r="D1680" s="222" t="s">
        <v>121</v>
      </c>
      <c r="E1680" s="218">
        <v>24</v>
      </c>
    </row>
    <row r="1681" spans="1:5" x14ac:dyDescent="0.35">
      <c r="A1681" s="3" t="str">
        <f>IF(D1681="","",(VLOOKUP($D1681,KEY!$B$5:$D$74,3,FALSE)))</f>
        <v>Michigan &amp; Minnesota</v>
      </c>
      <c r="B1681" s="221">
        <f t="shared" si="8"/>
        <v>45717</v>
      </c>
      <c r="C1681" s="221" t="str">
        <f>IFERROR(VLOOKUP($B1681,KEY!$AE$19:$AH$60,2,FALSE),"")</f>
        <v>2025-Q1</v>
      </c>
      <c r="D1681" s="222" t="s">
        <v>200</v>
      </c>
      <c r="E1681" s="218">
        <v>12</v>
      </c>
    </row>
    <row r="1682" spans="1:5" x14ac:dyDescent="0.35">
      <c r="A1682" s="3" t="str">
        <f>IF(D1682="","",(VLOOKUP($D1682,KEY!$B$5:$D$74,3,FALSE)))</f>
        <v>Southern California</v>
      </c>
      <c r="B1682" s="221">
        <f t="shared" si="8"/>
        <v>45717</v>
      </c>
      <c r="C1682" s="221" t="str">
        <f>IFERROR(VLOOKUP($B1682,KEY!$AE$19:$AH$60,2,FALSE),"")</f>
        <v>2025-Q1</v>
      </c>
      <c r="D1682" s="222" t="s">
        <v>122</v>
      </c>
      <c r="E1682" s="218">
        <v>10</v>
      </c>
    </row>
    <row r="1683" spans="1:5" x14ac:dyDescent="0.35">
      <c r="A1683" s="3" t="str">
        <f>IF(D1683="","",(VLOOKUP($D1683,KEY!$B$5:$D$74,3,FALSE)))</f>
        <v>Orange County</v>
      </c>
      <c r="B1683" s="221">
        <f t="shared" si="8"/>
        <v>45717</v>
      </c>
      <c r="C1683" s="221" t="str">
        <f>IFERROR(VLOOKUP($B1683,KEY!$AE$19:$AH$60,2,FALSE),"")</f>
        <v>2025-Q1</v>
      </c>
      <c r="D1683" s="222" t="s">
        <v>123</v>
      </c>
      <c r="E1683" s="218">
        <v>20</v>
      </c>
    </row>
    <row r="1684" spans="1:5" x14ac:dyDescent="0.35">
      <c r="A1684" s="3" t="str">
        <f>IF(D1684="","",(VLOOKUP($D1684,KEY!$B$5:$D$74,3,FALSE)))</f>
        <v>Southern California</v>
      </c>
      <c r="B1684" s="221">
        <f t="shared" si="8"/>
        <v>45717</v>
      </c>
      <c r="C1684" s="221" t="str">
        <f>IFERROR(VLOOKUP($B1684,KEY!$AE$19:$AH$60,2,FALSE),"")</f>
        <v>2025-Q1</v>
      </c>
      <c r="D1684" s="222" t="s">
        <v>124</v>
      </c>
      <c r="E1684" s="218">
        <v>21</v>
      </c>
    </row>
    <row r="1685" spans="1:5" x14ac:dyDescent="0.35">
      <c r="A1685" s="3" t="str">
        <f>IF(D1685="","",(VLOOKUP($D1685,KEY!$B$5:$D$74,3,FALSE)))</f>
        <v>Northern California</v>
      </c>
      <c r="B1685" s="221">
        <f t="shared" si="8"/>
        <v>45717</v>
      </c>
      <c r="C1685" s="221" t="str">
        <f>IFERROR(VLOOKUP($B1685,KEY!$AE$19:$AH$60,2,FALSE),"")</f>
        <v>2025-Q1</v>
      </c>
      <c r="D1685" s="222" t="s">
        <v>195</v>
      </c>
      <c r="E1685" s="218">
        <v>5</v>
      </c>
    </row>
    <row r="1686" spans="1:5" x14ac:dyDescent="0.35">
      <c r="A1686" s="3" t="str">
        <f>IF(D1686="","",(VLOOKUP($D1686,KEY!$B$5:$D$74,3,FALSE)))</f>
        <v>Northern California</v>
      </c>
      <c r="B1686" s="221">
        <f t="shared" si="8"/>
        <v>45717</v>
      </c>
      <c r="C1686" s="221" t="str">
        <f>IFERROR(VLOOKUP($B1686,KEY!$AE$19:$AH$60,2,FALSE),"")</f>
        <v>2025-Q1</v>
      </c>
      <c r="D1686" s="222" t="s">
        <v>125</v>
      </c>
      <c r="E1686" s="218">
        <v>19</v>
      </c>
    </row>
    <row r="1687" spans="1:5" x14ac:dyDescent="0.35">
      <c r="A1687" s="3" t="str">
        <f>IF(D1687="","",(VLOOKUP($D1687,KEY!$B$5:$D$74,3,FALSE)))</f>
        <v>Orange County</v>
      </c>
      <c r="B1687" s="221">
        <f t="shared" si="8"/>
        <v>45717</v>
      </c>
      <c r="C1687" s="221" t="str">
        <f>IFERROR(VLOOKUP($B1687,KEY!$AE$19:$AH$60,2,FALSE),"")</f>
        <v>2025-Q1</v>
      </c>
      <c r="D1687" s="222" t="s">
        <v>126</v>
      </c>
      <c r="E1687" s="218">
        <v>27</v>
      </c>
    </row>
    <row r="1688" spans="1:5" x14ac:dyDescent="0.35">
      <c r="A1688" s="3" t="str">
        <f>IF(D1688="","",(VLOOKUP($D1688,KEY!$B$5:$D$74,3,FALSE)))</f>
        <v>Orange County</v>
      </c>
      <c r="B1688" s="221">
        <f t="shared" si="8"/>
        <v>45717</v>
      </c>
      <c r="C1688" s="221" t="str">
        <f>IFERROR(VLOOKUP($B1688,KEY!$AE$19:$AH$60,2,FALSE),"")</f>
        <v>2025-Q1</v>
      </c>
      <c r="D1688" s="222" t="s">
        <v>127</v>
      </c>
      <c r="E1688" s="218">
        <v>3.5</v>
      </c>
    </row>
    <row r="1689" spans="1:5" x14ac:dyDescent="0.35">
      <c r="A1689" s="3" t="str">
        <f>IF(D1689="","",(VLOOKUP($D1689,KEY!$B$5:$D$74,3,FALSE)))</f>
        <v>Wisconsin</v>
      </c>
      <c r="B1689" s="221">
        <f t="shared" si="8"/>
        <v>45717</v>
      </c>
      <c r="C1689" s="221" t="str">
        <f>IFERROR(VLOOKUP($B1689,KEY!$AE$19:$AH$60,2,FALSE),"")</f>
        <v>2025-Q1</v>
      </c>
      <c r="D1689" s="222" t="s">
        <v>201</v>
      </c>
      <c r="E1689" s="218">
        <v>14</v>
      </c>
    </row>
    <row r="1690" spans="1:5" x14ac:dyDescent="0.35">
      <c r="A1690" s="3" t="e">
        <f>IF(D1690="","",(VLOOKUP($D1690,KEY!$B$5:$D$74,3,FALSE)))</f>
        <v>#N/A</v>
      </c>
      <c r="B1690" s="221">
        <f t="shared" si="8"/>
        <v>45717</v>
      </c>
      <c r="C1690" s="221" t="str">
        <f>IFERROR(VLOOKUP($B1690,KEY!$AE$19:$AH$60,2,FALSE),"")</f>
        <v>2025-Q1</v>
      </c>
      <c r="D1690" s="222" t="s">
        <v>202</v>
      </c>
      <c r="E1690" s="218">
        <v>3</v>
      </c>
    </row>
    <row r="1691" spans="1:5" x14ac:dyDescent="0.35">
      <c r="A1691" s="3" t="str">
        <f>IF(D1691="","",(VLOOKUP($D1691,KEY!$B$5:$D$74,3,FALSE)))</f>
        <v>Texas</v>
      </c>
      <c r="B1691" s="221">
        <f t="shared" si="8"/>
        <v>45717</v>
      </c>
      <c r="C1691" s="221" t="str">
        <f>IFERROR(VLOOKUP($B1691,KEY!$AE$19:$AH$60,2,FALSE),"")</f>
        <v>2025-Q1</v>
      </c>
      <c r="D1691" s="222" t="s">
        <v>198</v>
      </c>
      <c r="E1691" s="218">
        <v>7</v>
      </c>
    </row>
    <row r="1692" spans="1:5" x14ac:dyDescent="0.35">
      <c r="A1692" s="3" t="str">
        <f>IF(D1692="","",(VLOOKUP($D1692,KEY!$B$5:$D$74,3,FALSE)))</f>
        <v>Texas</v>
      </c>
      <c r="B1692" s="221">
        <f t="shared" si="8"/>
        <v>45717</v>
      </c>
      <c r="C1692" s="221" t="str">
        <f>IFERROR(VLOOKUP($B1692,KEY!$AE$19:$AH$60,2,FALSE),"")</f>
        <v>2025-Q1</v>
      </c>
      <c r="D1692" s="222" t="s">
        <v>128</v>
      </c>
      <c r="E1692" s="218">
        <v>14</v>
      </c>
    </row>
    <row r="1693" spans="1:5" x14ac:dyDescent="0.35">
      <c r="A1693" s="3" t="str">
        <f>IF(D1693="","",(VLOOKUP($D1693,KEY!$B$5:$D$74,3,FALSE)))</f>
        <v>Northern California</v>
      </c>
      <c r="B1693" s="221">
        <f t="shared" si="8"/>
        <v>45717</v>
      </c>
      <c r="C1693" s="221" t="str">
        <f>IFERROR(VLOOKUP($B1693,KEY!$AE$19:$AH$60,2,FALSE),"")</f>
        <v>2025-Q1</v>
      </c>
      <c r="D1693" s="222" t="s">
        <v>129</v>
      </c>
      <c r="E1693" s="218">
        <v>16</v>
      </c>
    </row>
    <row r="1694" spans="1:5" x14ac:dyDescent="0.35">
      <c r="A1694" s="3" t="str">
        <f>IF(D1694="","",(VLOOKUP($D1694,KEY!$B$5:$D$74,3,FALSE)))</f>
        <v>Southern California</v>
      </c>
      <c r="B1694" s="221">
        <f t="shared" si="8"/>
        <v>45717</v>
      </c>
      <c r="C1694" s="221" t="str">
        <f>IFERROR(VLOOKUP($B1694,KEY!$AE$19:$AH$60,2,FALSE),"")</f>
        <v>2025-Q1</v>
      </c>
      <c r="D1694" s="222" t="s">
        <v>130</v>
      </c>
      <c r="E1694" s="218">
        <v>10</v>
      </c>
    </row>
    <row r="1695" spans="1:5" x14ac:dyDescent="0.35">
      <c r="A1695" s="3" t="e">
        <f>IF(D1695="","",(VLOOKUP($D1695,KEY!$B$5:$D$74,3,FALSE)))</f>
        <v>#N/A</v>
      </c>
      <c r="B1695" s="221">
        <f t="shared" si="8"/>
        <v>45717</v>
      </c>
      <c r="C1695" s="221" t="str">
        <f>IFERROR(VLOOKUP($B1695,KEY!$AE$19:$AH$60,2,FALSE),"")</f>
        <v>2025-Q1</v>
      </c>
      <c r="D1695" s="222" t="s">
        <v>203</v>
      </c>
      <c r="E1695" s="218">
        <v>7</v>
      </c>
    </row>
    <row r="1696" spans="1:5" x14ac:dyDescent="0.35">
      <c r="A1696" s="3">
        <f>IF(D1696="","",(VLOOKUP($D1696,KEY!$B$5:$D$74,3,FALSE)))</f>
        <v>0</v>
      </c>
      <c r="B1696" s="221">
        <f t="shared" si="8"/>
        <v>45717</v>
      </c>
      <c r="C1696" s="221" t="str">
        <f>IFERROR(VLOOKUP($B1696,KEY!$AE$19:$AH$60,2,FALSE),"")</f>
        <v>2025-Q1</v>
      </c>
      <c r="D1696" s="222" t="s">
        <v>131</v>
      </c>
      <c r="E1696" s="218">
        <v>10</v>
      </c>
    </row>
    <row r="1697" spans="1:5" x14ac:dyDescent="0.35">
      <c r="A1697" s="3" t="e">
        <f>IF(D1697="","",(VLOOKUP($D1697,KEY!$B$5:$D$74,3,FALSE)))</f>
        <v>#N/A</v>
      </c>
      <c r="B1697" s="221">
        <f t="shared" si="8"/>
        <v>45717</v>
      </c>
      <c r="C1697" s="221" t="str">
        <f>IFERROR(VLOOKUP($B1697,KEY!$AE$19:$AH$60,2,FALSE),"")</f>
        <v>2025-Q1</v>
      </c>
      <c r="D1697" s="222" t="s">
        <v>134</v>
      </c>
      <c r="E1697" s="218">
        <v>3</v>
      </c>
    </row>
    <row r="1698" spans="1:5" x14ac:dyDescent="0.35">
      <c r="A1698" s="3" t="str">
        <f>IF(D1698="","",(VLOOKUP($D1698,KEY!$B$5:$D$74,3,FALSE)))</f>
        <v>Southern California</v>
      </c>
      <c r="B1698" s="221">
        <f t="shared" si="8"/>
        <v>45717</v>
      </c>
      <c r="C1698" s="221" t="str">
        <f>IFERROR(VLOOKUP($B1698,KEY!$AE$19:$AH$60,2,FALSE),"")</f>
        <v>2025-Q1</v>
      </c>
      <c r="D1698" s="222" t="s">
        <v>135</v>
      </c>
      <c r="E1698" s="218">
        <v>13</v>
      </c>
    </row>
    <row r="1699" spans="1:5" x14ac:dyDescent="0.35">
      <c r="A1699" s="3" t="str">
        <f>IF(D1699="","",(VLOOKUP($D1699,KEY!$B$5:$D$74,3,FALSE)))</f>
        <v>Arizona</v>
      </c>
      <c r="B1699" s="221">
        <f t="shared" si="8"/>
        <v>45717</v>
      </c>
      <c r="C1699" s="221" t="str">
        <f>IFERROR(VLOOKUP($B1699,KEY!$AE$19:$AH$60,2,FALSE),"")</f>
        <v>2025-Q1</v>
      </c>
      <c r="D1699" s="222" t="s">
        <v>204</v>
      </c>
      <c r="E1699" s="218">
        <v>1</v>
      </c>
    </row>
    <row r="1700" spans="1:5" x14ac:dyDescent="0.35">
      <c r="A1700" s="3" t="str">
        <f>IF(D1700="","",(VLOOKUP($D1700,KEY!$B$5:$D$74,3,FALSE)))</f>
        <v>Arizona</v>
      </c>
      <c r="B1700" s="221">
        <f t="shared" si="8"/>
        <v>45717</v>
      </c>
      <c r="C1700" s="221" t="str">
        <f>IFERROR(VLOOKUP($B1700,KEY!$AE$19:$AH$60,2,FALSE),"")</f>
        <v>2025-Q1</v>
      </c>
      <c r="D1700" s="222" t="s">
        <v>196</v>
      </c>
      <c r="E1700" s="218">
        <v>6</v>
      </c>
    </row>
    <row r="1701" spans="1:5" x14ac:dyDescent="0.35">
      <c r="A1701" s="3" t="str">
        <f>IF(D1701="","",(VLOOKUP($D1701,KEY!$B$5:$D$74,3,FALSE)))</f>
        <v>Arizona</v>
      </c>
      <c r="B1701" s="221">
        <f t="shared" si="8"/>
        <v>45717</v>
      </c>
      <c r="C1701" s="221" t="str">
        <f>IFERROR(VLOOKUP($B1701,KEY!$AE$19:$AH$60,2,FALSE),"")</f>
        <v>2025-Q1</v>
      </c>
      <c r="D1701" s="222" t="s">
        <v>197</v>
      </c>
      <c r="E1701" s="218">
        <v>10</v>
      </c>
    </row>
    <row r="1702" spans="1:5" x14ac:dyDescent="0.35">
      <c r="A1702" s="3" t="str">
        <f>IF(D1702="","",(VLOOKUP($D1702,KEY!$B$5:$D$74,3,FALSE)))</f>
        <v>Texas</v>
      </c>
      <c r="B1702" s="221">
        <f t="shared" si="8"/>
        <v>45717</v>
      </c>
      <c r="C1702" s="221" t="str">
        <f>IFERROR(VLOOKUP($B1702,KEY!$AE$19:$AH$60,2,FALSE),"")</f>
        <v>2025-Q1</v>
      </c>
      <c r="D1702" s="222" t="s">
        <v>136</v>
      </c>
      <c r="E1702" s="218">
        <v>15</v>
      </c>
    </row>
    <row r="1703" spans="1:5" x14ac:dyDescent="0.35">
      <c r="A1703" s="3" t="str">
        <f>IF(D1703="","",(VLOOKUP($D1703,KEY!$B$5:$D$74,3,FALSE)))</f>
        <v>Arizona</v>
      </c>
      <c r="B1703" s="221">
        <f t="shared" si="8"/>
        <v>45717</v>
      </c>
      <c r="C1703" s="221" t="str">
        <f>IFERROR(VLOOKUP($B1703,KEY!$AE$19:$AH$60,2,FALSE),"")</f>
        <v>2025-Q1</v>
      </c>
      <c r="D1703" s="222" t="s">
        <v>137</v>
      </c>
      <c r="E1703" s="218">
        <v>9</v>
      </c>
    </row>
    <row r="1704" spans="1:5" x14ac:dyDescent="0.35">
      <c r="A1704" s="3" t="str">
        <f>IF(D1704="","",(VLOOKUP($D1704,KEY!$B$5:$D$74,3,FALSE)))</f>
        <v>Texas</v>
      </c>
      <c r="B1704" s="221">
        <f t="shared" si="8"/>
        <v>45717</v>
      </c>
      <c r="C1704" s="221" t="str">
        <f>IFERROR(VLOOKUP($B1704,KEY!$AE$19:$AH$60,2,FALSE),"")</f>
        <v>2025-Q1</v>
      </c>
      <c r="D1704" s="222" t="s">
        <v>138</v>
      </c>
      <c r="E1704" s="218">
        <v>10</v>
      </c>
    </row>
    <row r="1705" spans="1:5" x14ac:dyDescent="0.35">
      <c r="A1705" s="3" t="str">
        <f>IF(D1705="","",(VLOOKUP($D1705,KEY!$B$5:$D$74,3,FALSE)))</f>
        <v>Southern California</v>
      </c>
      <c r="B1705" s="221">
        <f t="shared" si="8"/>
        <v>45717</v>
      </c>
      <c r="C1705" s="221" t="str">
        <f>IFERROR(VLOOKUP($B1705,KEY!$AE$19:$AH$60,2,FALSE),"")</f>
        <v>2025-Q1</v>
      </c>
      <c r="D1705" s="222" t="s">
        <v>139</v>
      </c>
      <c r="E1705" s="218">
        <v>15</v>
      </c>
    </row>
    <row r="1706" spans="1:5" x14ac:dyDescent="0.35">
      <c r="A1706" s="3" t="str">
        <f>IF(D1706="","",(VLOOKUP($D1706,KEY!$B$5:$D$74,3,FALSE)))</f>
        <v>Orange County</v>
      </c>
      <c r="B1706" s="221">
        <f t="shared" si="8"/>
        <v>45717</v>
      </c>
      <c r="C1706" s="221" t="str">
        <f>IFERROR(VLOOKUP($B1706,KEY!$AE$19:$AH$60,2,FALSE),"")</f>
        <v>2025-Q1</v>
      </c>
      <c r="D1706" s="222" t="s">
        <v>140</v>
      </c>
      <c r="E1706" s="218">
        <v>4</v>
      </c>
    </row>
    <row r="1707" spans="1:5" x14ac:dyDescent="0.35">
      <c r="A1707" s="3" t="str">
        <f>IF(D1707="","",(VLOOKUP($D1707,KEY!$B$5:$D$74,3,FALSE)))</f>
        <v>Southern California</v>
      </c>
      <c r="B1707" s="221">
        <f t="shared" si="8"/>
        <v>45717</v>
      </c>
      <c r="C1707" s="221" t="str">
        <f>IFERROR(VLOOKUP($B1707,KEY!$AE$19:$AH$60,2,FALSE),"")</f>
        <v>2025-Q1</v>
      </c>
      <c r="D1707" s="222" t="s">
        <v>142</v>
      </c>
      <c r="E1707" s="218">
        <v>6</v>
      </c>
    </row>
    <row r="1708" spans="1:5" x14ac:dyDescent="0.35">
      <c r="A1708" s="3" t="str">
        <f>IF(D1708="","",(VLOOKUP($D1708,KEY!$B$5:$D$74,3,FALSE)))</f>
        <v>Arizona</v>
      </c>
      <c r="B1708" s="221">
        <f t="shared" si="8"/>
        <v>45717</v>
      </c>
      <c r="C1708" s="221" t="str">
        <f>IFERROR(VLOOKUP($B1708,KEY!$AE$19:$AH$60,2,FALSE),"")</f>
        <v>2025-Q1</v>
      </c>
      <c r="D1708" s="222" t="s">
        <v>143</v>
      </c>
      <c r="E1708" s="218">
        <v>8</v>
      </c>
    </row>
    <row r="1709" spans="1:5" x14ac:dyDescent="0.35">
      <c r="A1709" s="3" t="str">
        <f>IF(D1709="","",(VLOOKUP($D1709,KEY!$B$5:$D$74,3,FALSE)))</f>
        <v>Arizona</v>
      </c>
      <c r="B1709" s="221">
        <f t="shared" si="8"/>
        <v>45717</v>
      </c>
      <c r="C1709" s="221" t="str">
        <f>IFERROR(VLOOKUP($B1709,KEY!$AE$19:$AH$60,2,FALSE),"")</f>
        <v>2025-Q1</v>
      </c>
      <c r="D1709" s="222" t="s">
        <v>144</v>
      </c>
      <c r="E1709" s="218">
        <v>21</v>
      </c>
    </row>
    <row r="1710" spans="1:5" x14ac:dyDescent="0.35">
      <c r="A1710" s="3" t="str">
        <f>IF(D1710="","",(VLOOKUP($D1710,KEY!$B$5:$D$74,3,FALSE)))</f>
        <v>Southern California</v>
      </c>
      <c r="B1710" s="221">
        <f t="shared" si="8"/>
        <v>45717</v>
      </c>
      <c r="C1710" s="221" t="str">
        <f>IFERROR(VLOOKUP($B1710,KEY!$AE$19:$AH$60,2,FALSE),"")</f>
        <v>2025-Q1</v>
      </c>
      <c r="D1710" s="222" t="s">
        <v>145</v>
      </c>
      <c r="E1710" s="218">
        <v>18</v>
      </c>
    </row>
    <row r="1711" spans="1:5" x14ac:dyDescent="0.35">
      <c r="A1711" s="3" t="str">
        <f>IF(D1711="","",(VLOOKUP($D1711,KEY!$B$5:$D$74,3,FALSE)))</f>
        <v>Arizona</v>
      </c>
      <c r="B1711" s="221">
        <f t="shared" si="8"/>
        <v>45717</v>
      </c>
      <c r="C1711" s="221" t="str">
        <f>IFERROR(VLOOKUP($B1711,KEY!$AE$19:$AH$60,2,FALSE),"")</f>
        <v>2025-Q1</v>
      </c>
      <c r="D1711" s="222" t="s">
        <v>146</v>
      </c>
      <c r="E1711" s="218">
        <v>3</v>
      </c>
    </row>
    <row r="1712" spans="1:5" x14ac:dyDescent="0.35">
      <c r="A1712" s="3" t="str">
        <f>IF(D1712="","",(VLOOKUP($D1712,KEY!$B$5:$D$74,3,FALSE)))</f>
        <v>Texas</v>
      </c>
      <c r="B1712" s="221">
        <f t="shared" si="8"/>
        <v>45717</v>
      </c>
      <c r="C1712" s="221" t="str">
        <f>IFERROR(VLOOKUP($B1712,KEY!$AE$19:$AH$60,2,FALSE),"")</f>
        <v>2025-Q1</v>
      </c>
      <c r="D1712" s="222" t="s">
        <v>147</v>
      </c>
      <c r="E1712" s="218">
        <v>4</v>
      </c>
    </row>
    <row r="1713" spans="1:5" x14ac:dyDescent="0.35">
      <c r="A1713" s="3" t="str">
        <f>IF(D1713="","",(VLOOKUP($D1713,KEY!$B$5:$D$74,3,FALSE)))</f>
        <v>Northern California</v>
      </c>
      <c r="B1713" s="221">
        <f t="shared" si="8"/>
        <v>45717</v>
      </c>
      <c r="C1713" s="221" t="str">
        <f>IFERROR(VLOOKUP($B1713,KEY!$AE$19:$AH$60,2,FALSE),"")</f>
        <v>2025-Q1</v>
      </c>
      <c r="D1713" s="222" t="s">
        <v>148</v>
      </c>
      <c r="E1713" s="218">
        <v>3</v>
      </c>
    </row>
    <row r="1714" spans="1:5" x14ac:dyDescent="0.35">
      <c r="A1714" s="3" t="str">
        <f>IF(D1714="","",(VLOOKUP($D1714,KEY!$B$5:$D$74,3,FALSE)))</f>
        <v>Orange County</v>
      </c>
      <c r="B1714" s="221">
        <f t="shared" si="8"/>
        <v>45717</v>
      </c>
      <c r="C1714" s="221" t="str">
        <f>IFERROR(VLOOKUP($B1714,KEY!$AE$19:$AH$60,2,FALSE),"")</f>
        <v>2025-Q1</v>
      </c>
      <c r="D1714" s="222" t="s">
        <v>149</v>
      </c>
      <c r="E1714" s="218">
        <v>3</v>
      </c>
    </row>
    <row r="1715" spans="1:5" x14ac:dyDescent="0.35">
      <c r="A1715" s="3" t="str">
        <f>IF(D1715="","",(VLOOKUP($D1715,KEY!$B$5:$D$74,3,FALSE)))</f>
        <v>Southern California</v>
      </c>
      <c r="B1715" s="221">
        <f t="shared" si="8"/>
        <v>45717</v>
      </c>
      <c r="C1715" s="221" t="str">
        <f>IFERROR(VLOOKUP($B1715,KEY!$AE$19:$AH$60,2,FALSE),"")</f>
        <v>2025-Q1</v>
      </c>
      <c r="D1715" s="222" t="s">
        <v>150</v>
      </c>
      <c r="E1715" s="218">
        <v>3</v>
      </c>
    </row>
    <row r="1716" spans="1:5" x14ac:dyDescent="0.35">
      <c r="A1716" s="3" t="str">
        <f>IF(D1716="","",(VLOOKUP($D1716,KEY!$B$5:$D$74,3,FALSE)))</f>
        <v>Arizona</v>
      </c>
      <c r="B1716" s="221">
        <f t="shared" si="8"/>
        <v>45717</v>
      </c>
      <c r="C1716" s="221" t="str">
        <f>IFERROR(VLOOKUP($B1716,KEY!$AE$19:$AH$60,2,FALSE),"")</f>
        <v>2025-Q1</v>
      </c>
      <c r="D1716" s="222" t="s">
        <v>151</v>
      </c>
      <c r="E1716" s="218">
        <v>4</v>
      </c>
    </row>
    <row r="1717" spans="1:5" x14ac:dyDescent="0.35">
      <c r="A1717" s="3" t="str">
        <f>IF(D1717="","",(VLOOKUP($D1717,KEY!$B$5:$D$74,3,FALSE)))</f>
        <v>Michigan &amp; Minnesota</v>
      </c>
      <c r="B1717" s="221">
        <f t="shared" si="8"/>
        <v>45717</v>
      </c>
      <c r="C1717" s="221" t="str">
        <f>IFERROR(VLOOKUP($B1717,KEY!$AE$19:$AH$60,2,FALSE),"")</f>
        <v>2025-Q1</v>
      </c>
      <c r="D1717" s="222" t="s">
        <v>206</v>
      </c>
      <c r="E1717" s="218">
        <v>19</v>
      </c>
    </row>
    <row r="1718" spans="1:5" x14ac:dyDescent="0.35">
      <c r="A1718" s="3" t="str">
        <f>IF(D1718="","",(VLOOKUP($D1718,KEY!$B$5:$D$74,3,FALSE)))</f>
        <v>Michigan &amp; Minnesota</v>
      </c>
      <c r="B1718" s="221">
        <f t="shared" si="8"/>
        <v>45717</v>
      </c>
      <c r="C1718" s="221" t="str">
        <f>IFERROR(VLOOKUP($B1718,KEY!$AE$19:$AH$60,2,FALSE),"")</f>
        <v>2025-Q1</v>
      </c>
      <c r="D1718" s="222" t="s">
        <v>207</v>
      </c>
      <c r="E1718" s="218">
        <v>6</v>
      </c>
    </row>
    <row r="1719" spans="1:5" x14ac:dyDescent="0.35">
      <c r="A1719" s="3" t="str">
        <f>IF(D1719="","",(VLOOKUP($D1719,KEY!$B$5:$D$74,3,FALSE)))</f>
        <v>Indiana</v>
      </c>
      <c r="B1719" s="221">
        <f t="shared" si="8"/>
        <v>45717</v>
      </c>
      <c r="C1719" s="221" t="str">
        <f>IFERROR(VLOOKUP($B1719,KEY!$AE$19:$AH$60,2,FALSE),"")</f>
        <v>2025-Q1</v>
      </c>
      <c r="D1719" s="222" t="s">
        <v>208</v>
      </c>
      <c r="E1719" s="218">
        <v>10</v>
      </c>
    </row>
    <row r="1720" spans="1:5" x14ac:dyDescent="0.35">
      <c r="A1720" s="3" t="str">
        <f>IF(D1720="","",(VLOOKUP($D1720,KEY!$B$5:$D$74,3,FALSE)))</f>
        <v>Indiana</v>
      </c>
      <c r="B1720" s="221">
        <f t="shared" si="8"/>
        <v>45717</v>
      </c>
      <c r="C1720" s="221" t="str">
        <f>IFERROR(VLOOKUP($B1720,KEY!$AE$19:$AH$60,2,FALSE),"")</f>
        <v>2025-Q1</v>
      </c>
      <c r="D1720" s="222" t="s">
        <v>209</v>
      </c>
      <c r="E1720" s="218">
        <v>24</v>
      </c>
    </row>
    <row r="1721" spans="1:5" x14ac:dyDescent="0.35">
      <c r="A1721" s="3" t="str">
        <f>IF(D1721="","",(VLOOKUP($D1721,KEY!$B$5:$D$74,3,FALSE)))</f>
        <v>Northern California</v>
      </c>
      <c r="B1721" s="221">
        <f t="shared" si="8"/>
        <v>45717</v>
      </c>
      <c r="C1721" s="221" t="str">
        <f>IFERROR(VLOOKUP($B1721,KEY!$AE$19:$AH$60,2,FALSE),"")</f>
        <v>2025-Q1</v>
      </c>
      <c r="D1721" s="222" t="s">
        <v>152</v>
      </c>
      <c r="E1721" s="218">
        <v>14</v>
      </c>
    </row>
    <row r="1722" spans="1:5" x14ac:dyDescent="0.35">
      <c r="A1722" s="3" t="str">
        <f>IF(D1722="","",(VLOOKUP($D1722,KEY!$B$5:$D$74,3,FALSE)))</f>
        <v>Arizona</v>
      </c>
      <c r="B1722" s="221">
        <f t="shared" si="8"/>
        <v>45717</v>
      </c>
      <c r="C1722" s="221" t="str">
        <f>IFERROR(VLOOKUP($B1722,KEY!$AE$19:$AH$60,2,FALSE),"")</f>
        <v>2025-Q1</v>
      </c>
      <c r="D1722" s="222" t="s">
        <v>153</v>
      </c>
      <c r="E1722" s="218">
        <v>13</v>
      </c>
    </row>
    <row r="1723" spans="1:5" x14ac:dyDescent="0.35">
      <c r="A1723" s="3" t="str">
        <f>IF(D1723="","",(VLOOKUP($D1723,KEY!$B$5:$D$74,3,FALSE)))</f>
        <v>Northern California</v>
      </c>
      <c r="B1723" s="221">
        <f t="shared" si="8"/>
        <v>45717</v>
      </c>
      <c r="C1723" s="221" t="str">
        <f>IFERROR(VLOOKUP($B1723,KEY!$AE$19:$AH$60,2,FALSE),"")</f>
        <v>2025-Q1</v>
      </c>
      <c r="D1723" s="222" t="s">
        <v>154</v>
      </c>
      <c r="E1723" s="218">
        <v>9</v>
      </c>
    </row>
    <row r="1724" spans="1:5" x14ac:dyDescent="0.35">
      <c r="A1724" s="3" t="str">
        <f>IF(D1724="","",(VLOOKUP($D1724,KEY!$B$5:$D$74,3,FALSE)))</f>
        <v>Texas</v>
      </c>
      <c r="B1724" s="221">
        <f t="shared" si="8"/>
        <v>45717</v>
      </c>
      <c r="C1724" s="221" t="str">
        <f>IFERROR(VLOOKUP($B1724,KEY!$AE$19:$AH$60,2,FALSE),"")</f>
        <v>2025-Q1</v>
      </c>
      <c r="D1724" s="222" t="s">
        <v>155</v>
      </c>
      <c r="E1724" s="218">
        <v>24</v>
      </c>
    </row>
    <row r="1725" spans="1:5" x14ac:dyDescent="0.35">
      <c r="A1725" s="3" t="str">
        <f>IF(D1725="","",(VLOOKUP($D1725,KEY!$B$5:$D$74,3,FALSE)))</f>
        <v>Texas</v>
      </c>
      <c r="B1725" s="221">
        <f t="shared" si="8"/>
        <v>45717</v>
      </c>
      <c r="C1725" s="221" t="str">
        <f>IFERROR(VLOOKUP($B1725,KEY!$AE$19:$AH$60,2,FALSE),"")</f>
        <v>2025-Q1</v>
      </c>
      <c r="D1725" s="222" t="s">
        <v>156</v>
      </c>
      <c r="E1725" s="218">
        <v>18</v>
      </c>
    </row>
    <row r="1726" spans="1:5" x14ac:dyDescent="0.35">
      <c r="A1726" s="3" t="str">
        <f>IF(D1726="","",(VLOOKUP($D1726,KEY!$B$5:$D$74,3,FALSE)))</f>
        <v>Texas</v>
      </c>
      <c r="B1726" s="221">
        <f t="shared" si="8"/>
        <v>45717</v>
      </c>
      <c r="C1726" s="221" t="str">
        <f>IFERROR(VLOOKUP($B1726,KEY!$AE$19:$AH$60,2,FALSE),"")</f>
        <v>2025-Q1</v>
      </c>
      <c r="D1726" s="222" t="s">
        <v>157</v>
      </c>
      <c r="E1726" s="218">
        <v>35</v>
      </c>
    </row>
    <row r="1727" spans="1:5" x14ac:dyDescent="0.35">
      <c r="A1727" s="3" t="str">
        <f>IF(D1727="","",(VLOOKUP($D1727,KEY!$B$5:$D$74,3,FALSE)))</f>
        <v>Arizona</v>
      </c>
      <c r="B1727" s="221">
        <f t="shared" si="8"/>
        <v>45717</v>
      </c>
      <c r="C1727" s="221" t="str">
        <f>IFERROR(VLOOKUP($B1727,KEY!$AE$19:$AH$60,2,FALSE),"")</f>
        <v>2025-Q1</v>
      </c>
      <c r="D1727" s="222" t="s">
        <v>158</v>
      </c>
      <c r="E1727" s="218">
        <v>6</v>
      </c>
    </row>
    <row r="1728" spans="1:5" x14ac:dyDescent="0.35">
      <c r="A1728" s="3" t="str">
        <f>IF(D1728="","",(VLOOKUP($D1728,KEY!$B$5:$D$74,3,FALSE)))</f>
        <v>Orange County</v>
      </c>
      <c r="B1728" s="221">
        <f t="shared" si="8"/>
        <v>45717</v>
      </c>
      <c r="C1728" s="221" t="str">
        <f>IFERROR(VLOOKUP($B1728,KEY!$AE$19:$AH$60,2,FALSE),"")</f>
        <v>2025-Q1</v>
      </c>
      <c r="D1728" s="222" t="s">
        <v>159</v>
      </c>
      <c r="E1728" s="218">
        <v>9</v>
      </c>
    </row>
    <row r="1729" spans="1:5" x14ac:dyDescent="0.35">
      <c r="A1729" s="3" t="str">
        <f>IF(D1729="","",(VLOOKUP($D1729,KEY!$B$5:$D$74,3,FALSE)))</f>
        <v>Arizona</v>
      </c>
      <c r="B1729" s="221">
        <f t="shared" si="8"/>
        <v>45717</v>
      </c>
      <c r="C1729" s="221" t="str">
        <f>IFERROR(VLOOKUP($B1729,KEY!$AE$19:$AH$60,2,FALSE),"")</f>
        <v>2025-Q1</v>
      </c>
      <c r="D1729" s="222" t="s">
        <v>160</v>
      </c>
      <c r="E1729" s="218">
        <v>23</v>
      </c>
    </row>
    <row r="1730" spans="1:5" x14ac:dyDescent="0.35">
      <c r="A1730" s="3" t="str">
        <f>IF(D1730="","",(VLOOKUP($D1730,KEY!$B$5:$D$74,3,FALSE)))</f>
        <v>Northern California</v>
      </c>
      <c r="B1730" s="221">
        <f t="shared" si="8"/>
        <v>45717</v>
      </c>
      <c r="C1730" s="221" t="str">
        <f>IFERROR(VLOOKUP($B1730,KEY!$AE$19:$AH$60,2,FALSE),"")</f>
        <v>2025-Q1</v>
      </c>
      <c r="D1730" s="222" t="s">
        <v>161</v>
      </c>
      <c r="E1730" s="218">
        <v>20</v>
      </c>
    </row>
    <row r="1731" spans="1:5" x14ac:dyDescent="0.35">
      <c r="A1731" s="3" t="str">
        <f>IF(D1731="","",(VLOOKUP($D1731,KEY!$B$5:$D$74,3,FALSE)))</f>
        <v>Arizona</v>
      </c>
      <c r="B1731" s="221">
        <f t="shared" si="8"/>
        <v>45717</v>
      </c>
      <c r="C1731" s="221" t="str">
        <f>IFERROR(VLOOKUP($B1731,KEY!$AE$19:$AH$60,2,FALSE),"")</f>
        <v>2025-Q1</v>
      </c>
      <c r="D1731" s="222" t="s">
        <v>163</v>
      </c>
      <c r="E1731" s="218">
        <v>17</v>
      </c>
    </row>
    <row r="1732" spans="1:5" x14ac:dyDescent="0.35">
      <c r="A1732" s="3" t="str">
        <f>IF(D1732="","",(VLOOKUP($D1732,KEY!$B$5:$D$74,3,FALSE)))</f>
        <v>Arizona</v>
      </c>
      <c r="B1732" s="221">
        <f t="shared" si="8"/>
        <v>45717</v>
      </c>
      <c r="C1732" s="221" t="str">
        <f>IFERROR(VLOOKUP($B1732,KEY!$AE$19:$AH$60,2,FALSE),"")</f>
        <v>2025-Q1</v>
      </c>
      <c r="D1732" s="222" t="s">
        <v>164</v>
      </c>
      <c r="E1732" s="218">
        <v>5</v>
      </c>
    </row>
    <row r="1733" spans="1:5" x14ac:dyDescent="0.35">
      <c r="A1733" s="3" t="str">
        <f>IF(D1733="","",(VLOOKUP($D1733,KEY!$B$5:$D$74,3,FALSE)))</f>
        <v>Orange County</v>
      </c>
      <c r="B1733" s="221">
        <f t="shared" si="8"/>
        <v>45717</v>
      </c>
      <c r="C1733" s="221" t="str">
        <f>IFERROR(VLOOKUP($B1733,KEY!$AE$19:$AH$60,2,FALSE),"")</f>
        <v>2025-Q1</v>
      </c>
      <c r="D1733" s="222" t="s">
        <v>165</v>
      </c>
      <c r="E1733" s="218">
        <v>7</v>
      </c>
    </row>
    <row r="1734" spans="1:5" x14ac:dyDescent="0.35">
      <c r="A1734" s="3" t="str">
        <f>IF(D1734="","",(VLOOKUP($D1734,KEY!$B$5:$D$74,3,FALSE)))</f>
        <v/>
      </c>
      <c r="B1734" s="221">
        <f t="shared" ref="B1734:B1738" si="9">B1733</f>
        <v>45717</v>
      </c>
      <c r="C1734" s="221" t="str">
        <f>IFERROR(VLOOKUP($B1734,KEY!$AE$19:$AH$60,2,FALSE),"")</f>
        <v>2025-Q1</v>
      </c>
      <c r="D1734" s="222"/>
      <c r="E1734" s="218"/>
    </row>
    <row r="1735" spans="1:5" x14ac:dyDescent="0.35">
      <c r="A1735" s="3" t="str">
        <f>IF(D1735="","",(VLOOKUP($D1735,KEY!$B$5:$D$74,3,FALSE)))</f>
        <v/>
      </c>
      <c r="B1735" s="221">
        <f t="shared" si="9"/>
        <v>45717</v>
      </c>
      <c r="C1735" s="221" t="str">
        <f>IFERROR(VLOOKUP($B1735,KEY!$AE$19:$AH$60,2,FALSE),"")</f>
        <v>2025-Q1</v>
      </c>
      <c r="D1735" s="222"/>
      <c r="E1735" s="218"/>
    </row>
    <row r="1736" spans="1:5" x14ac:dyDescent="0.35">
      <c r="A1736" s="3" t="str">
        <f>IF(D1736="","",(VLOOKUP($D1736,KEY!$B$5:$D$74,3,FALSE)))</f>
        <v/>
      </c>
      <c r="B1736" s="221">
        <f t="shared" si="9"/>
        <v>45717</v>
      </c>
      <c r="C1736" s="221" t="str">
        <f>IFERROR(VLOOKUP($B1736,KEY!$AE$19:$AH$60,2,FALSE),"")</f>
        <v>2025-Q1</v>
      </c>
      <c r="D1736" s="222"/>
      <c r="E1736" s="218"/>
    </row>
    <row r="1737" spans="1:5" x14ac:dyDescent="0.35">
      <c r="A1737" s="3" t="str">
        <f>IF(D1737="","",(VLOOKUP($D1737,KEY!$B$5:$D$74,3,FALSE)))</f>
        <v/>
      </c>
      <c r="B1737" s="221">
        <f t="shared" si="9"/>
        <v>45717</v>
      </c>
      <c r="C1737" s="221" t="str">
        <f>IFERROR(VLOOKUP($B1737,KEY!$AE$19:$AH$60,2,FALSE),"")</f>
        <v>2025-Q1</v>
      </c>
      <c r="D1737" s="222"/>
      <c r="E1737" s="218"/>
    </row>
    <row r="1738" spans="1:5" x14ac:dyDescent="0.35">
      <c r="A1738" s="3" t="str">
        <f>IF(D1738="","",(VLOOKUP($D1738,KEY!$B$5:$D$74,3,FALSE)))</f>
        <v/>
      </c>
      <c r="B1738" s="221">
        <f t="shared" si="9"/>
        <v>45717</v>
      </c>
      <c r="C1738" s="221" t="str">
        <f>IFERROR(VLOOKUP($B1738,KEY!$AE$19:$AH$60,2,FALSE),"")</f>
        <v>2025-Q1</v>
      </c>
      <c r="D1738" s="222"/>
      <c r="E1738" s="218"/>
    </row>
    <row r="1739" spans="1:5" x14ac:dyDescent="0.35">
      <c r="A1739" s="3" t="str">
        <f>IF(D1739="","",(VLOOKUP($D1739,KEY!$B$5:$D$74,3,FALSE)))</f>
        <v>Arizona</v>
      </c>
      <c r="B1739" s="434">
        <f>DATE(YEAR(B1738+31),MONTH(B1738+31),1)</f>
        <v>45748</v>
      </c>
      <c r="C1739" s="434" t="str">
        <f>IFERROR(VLOOKUP($B1739,KEY!$AE$19:$AH$60,2,FALSE),"")</f>
        <v>2025-Q2</v>
      </c>
      <c r="D1739" s="435" t="s">
        <v>111</v>
      </c>
      <c r="E1739" s="436">
        <v>9</v>
      </c>
    </row>
    <row r="1740" spans="1:5" x14ac:dyDescent="0.35">
      <c r="A1740" s="3" t="str">
        <f>IF(D1740="","",(VLOOKUP($D1740,KEY!$B$5:$D$74,3,FALSE)))</f>
        <v>Southern California</v>
      </c>
      <c r="B1740" s="221">
        <f t="shared" ref="B1740:B1803" si="10">B1739</f>
        <v>45748</v>
      </c>
      <c r="C1740" s="221" t="str">
        <f>IFERROR(VLOOKUP($B1740,KEY!$AE$19:$AH$60,2,FALSE),"")</f>
        <v>2025-Q2</v>
      </c>
      <c r="D1740" s="222" t="s">
        <v>112</v>
      </c>
      <c r="E1740" s="218">
        <v>4</v>
      </c>
    </row>
    <row r="1741" spans="1:5" x14ac:dyDescent="0.35">
      <c r="A1741" s="3" t="str">
        <f>IF(D1741="","",(VLOOKUP($D1741,KEY!$B$5:$D$74,3,FALSE)))</f>
        <v>Arizona</v>
      </c>
      <c r="B1741" s="221">
        <f t="shared" si="10"/>
        <v>45748</v>
      </c>
      <c r="C1741" s="221" t="str">
        <f>IFERROR(VLOOKUP($B1741,KEY!$AE$19:$AH$60,2,FALSE),"")</f>
        <v>2025-Q2</v>
      </c>
      <c r="D1741" s="222" t="s">
        <v>113</v>
      </c>
      <c r="E1741" s="218">
        <v>8</v>
      </c>
    </row>
    <row r="1742" spans="1:5" x14ac:dyDescent="0.35">
      <c r="A1742" s="3" t="str">
        <f>IF(D1742="","",(VLOOKUP($D1742,KEY!$B$5:$D$74,3,FALSE)))</f>
        <v>Southern California</v>
      </c>
      <c r="B1742" s="221">
        <f t="shared" si="10"/>
        <v>45748</v>
      </c>
      <c r="C1742" s="221" t="str">
        <f>IFERROR(VLOOKUP($B1742,KEY!$AE$19:$AH$60,2,FALSE),"")</f>
        <v>2025-Q2</v>
      </c>
      <c r="D1742" s="222" t="s">
        <v>114</v>
      </c>
      <c r="E1742" s="218">
        <v>4</v>
      </c>
    </row>
    <row r="1743" spans="1:5" x14ac:dyDescent="0.35">
      <c r="A1743" s="3" t="str">
        <f>IF(D1743="","",(VLOOKUP($D1743,KEY!$B$5:$D$74,3,FALSE)))</f>
        <v>Orange County</v>
      </c>
      <c r="B1743" s="221">
        <f t="shared" si="10"/>
        <v>45748</v>
      </c>
      <c r="C1743" s="221" t="str">
        <f>IFERROR(VLOOKUP($B1743,KEY!$AE$19:$AH$60,2,FALSE),"")</f>
        <v>2025-Q2</v>
      </c>
      <c r="D1743" s="222" t="s">
        <v>115</v>
      </c>
      <c r="E1743" s="218">
        <v>4</v>
      </c>
    </row>
    <row r="1744" spans="1:5" x14ac:dyDescent="0.35">
      <c r="A1744" s="3" t="str">
        <f>IF(D1744="","",(VLOOKUP($D1744,KEY!$B$5:$D$74,3,FALSE)))</f>
        <v>Arizona</v>
      </c>
      <c r="B1744" s="221">
        <f t="shared" si="10"/>
        <v>45748</v>
      </c>
      <c r="C1744" s="221" t="str">
        <f>IFERROR(VLOOKUP($B1744,KEY!$AE$19:$AH$60,2,FALSE),"")</f>
        <v>2025-Q2</v>
      </c>
      <c r="D1744" s="222" t="s">
        <v>116</v>
      </c>
      <c r="E1744" s="218">
        <v>12</v>
      </c>
    </row>
    <row r="1745" spans="1:5" x14ac:dyDescent="0.35">
      <c r="A1745" s="3" t="str">
        <f>IF(D1745="","",(VLOOKUP($D1745,KEY!$B$5:$D$74,3,FALSE)))</f>
        <v>Northern California</v>
      </c>
      <c r="B1745" s="221">
        <f t="shared" si="10"/>
        <v>45748</v>
      </c>
      <c r="C1745" s="221" t="str">
        <f>IFERROR(VLOOKUP($B1745,KEY!$AE$19:$AH$60,2,FALSE),"")</f>
        <v>2025-Q2</v>
      </c>
      <c r="D1745" s="222" t="s">
        <v>118</v>
      </c>
      <c r="E1745" s="218">
        <v>14</v>
      </c>
    </row>
    <row r="1746" spans="1:5" x14ac:dyDescent="0.35">
      <c r="A1746" s="3" t="str">
        <f>IF(D1746="","",(VLOOKUP($D1746,KEY!$B$5:$D$74,3,FALSE)))</f>
        <v>Orange County</v>
      </c>
      <c r="B1746" s="221">
        <f t="shared" si="10"/>
        <v>45748</v>
      </c>
      <c r="C1746" s="221" t="str">
        <f>IFERROR(VLOOKUP($B1746,KEY!$AE$19:$AH$60,2,FALSE),"")</f>
        <v>2025-Q2</v>
      </c>
      <c r="D1746" s="222" t="s">
        <v>117</v>
      </c>
      <c r="E1746" s="218">
        <v>5</v>
      </c>
    </row>
    <row r="1747" spans="1:5" x14ac:dyDescent="0.35">
      <c r="A1747" s="3" t="str">
        <f>IF(D1747="","",(VLOOKUP($D1747,KEY!$B$5:$D$74,3,FALSE)))</f>
        <v>Arizona</v>
      </c>
      <c r="B1747" s="221">
        <f t="shared" si="10"/>
        <v>45748</v>
      </c>
      <c r="C1747" s="221" t="str">
        <f>IFERROR(VLOOKUP($B1747,KEY!$AE$19:$AH$60,2,FALSE),"")</f>
        <v>2025-Q2</v>
      </c>
      <c r="D1747" s="222" t="s">
        <v>119</v>
      </c>
      <c r="E1747" s="218">
        <v>4</v>
      </c>
    </row>
    <row r="1748" spans="1:5" x14ac:dyDescent="0.35">
      <c r="A1748" s="3" t="str">
        <f>IF(D1748="","",(VLOOKUP($D1748,KEY!$B$5:$D$74,3,FALSE)))</f>
        <v/>
      </c>
      <c r="B1748" s="221">
        <f t="shared" si="10"/>
        <v>45748</v>
      </c>
      <c r="C1748" s="221" t="str">
        <f>IFERROR(VLOOKUP($B1748,KEY!$AE$19:$AH$60,2,FALSE),"")</f>
        <v>2025-Q2</v>
      </c>
      <c r="D1748" s="222"/>
      <c r="E1748" s="218"/>
    </row>
    <row r="1749" spans="1:5" x14ac:dyDescent="0.35">
      <c r="A1749" s="3" t="str">
        <f>IF(D1749="","",(VLOOKUP($D1749,KEY!$B$5:$D$74,3,FALSE)))</f>
        <v>Arizona</v>
      </c>
      <c r="B1749" s="221">
        <f t="shared" si="10"/>
        <v>45748</v>
      </c>
      <c r="C1749" s="221" t="str">
        <f>IFERROR(VLOOKUP($B1749,KEY!$AE$19:$AH$60,2,FALSE),"")</f>
        <v>2025-Q2</v>
      </c>
      <c r="D1749" s="222" t="s">
        <v>120</v>
      </c>
      <c r="E1749" s="218">
        <v>26</v>
      </c>
    </row>
    <row r="1750" spans="1:5" x14ac:dyDescent="0.35">
      <c r="A1750" s="3" t="str">
        <f>IF(D1750="","",(VLOOKUP($D1750,KEY!$B$5:$D$74,3,FALSE)))</f>
        <v>Texas</v>
      </c>
      <c r="B1750" s="221">
        <f t="shared" si="10"/>
        <v>45748</v>
      </c>
      <c r="C1750" s="221" t="str">
        <f>IFERROR(VLOOKUP($B1750,KEY!$AE$19:$AH$60,2,FALSE),"")</f>
        <v>2025-Q2</v>
      </c>
      <c r="D1750" s="222" t="s">
        <v>121</v>
      </c>
      <c r="E1750" s="218">
        <v>23</v>
      </c>
    </row>
    <row r="1751" spans="1:5" x14ac:dyDescent="0.35">
      <c r="A1751" s="3" t="str">
        <f>IF(D1751="","",(VLOOKUP($D1751,KEY!$B$5:$D$74,3,FALSE)))</f>
        <v>Michigan &amp; Minnesota</v>
      </c>
      <c r="B1751" s="221">
        <f t="shared" si="10"/>
        <v>45748</v>
      </c>
      <c r="C1751" s="221" t="str">
        <f>IFERROR(VLOOKUP($B1751,KEY!$AE$19:$AH$60,2,FALSE),"")</f>
        <v>2025-Q2</v>
      </c>
      <c r="D1751" s="222" t="s">
        <v>200</v>
      </c>
      <c r="E1751" s="218">
        <v>12</v>
      </c>
    </row>
    <row r="1752" spans="1:5" x14ac:dyDescent="0.35">
      <c r="A1752" s="3" t="str">
        <f>IF(D1752="","",(VLOOKUP($D1752,KEY!$B$5:$D$74,3,FALSE)))</f>
        <v>Southern California</v>
      </c>
      <c r="B1752" s="221">
        <f t="shared" si="10"/>
        <v>45748</v>
      </c>
      <c r="C1752" s="221" t="str">
        <f>IFERROR(VLOOKUP($B1752,KEY!$AE$19:$AH$60,2,FALSE),"")</f>
        <v>2025-Q2</v>
      </c>
      <c r="D1752" s="222" t="s">
        <v>122</v>
      </c>
      <c r="E1752" s="218">
        <v>11</v>
      </c>
    </row>
    <row r="1753" spans="1:5" x14ac:dyDescent="0.35">
      <c r="A1753" s="3" t="str">
        <f>IF(D1753="","",(VLOOKUP($D1753,KEY!$B$5:$D$74,3,FALSE)))</f>
        <v>Orange County</v>
      </c>
      <c r="B1753" s="221">
        <f t="shared" si="10"/>
        <v>45748</v>
      </c>
      <c r="C1753" s="221" t="str">
        <f>IFERROR(VLOOKUP($B1753,KEY!$AE$19:$AH$60,2,FALSE),"")</f>
        <v>2025-Q2</v>
      </c>
      <c r="D1753" s="222" t="s">
        <v>123</v>
      </c>
      <c r="E1753" s="218">
        <v>20</v>
      </c>
    </row>
    <row r="1754" spans="1:5" x14ac:dyDescent="0.35">
      <c r="A1754" s="3" t="str">
        <f>IF(D1754="","",(VLOOKUP($D1754,KEY!$B$5:$D$74,3,FALSE)))</f>
        <v>Southern California</v>
      </c>
      <c r="B1754" s="221">
        <f t="shared" si="10"/>
        <v>45748</v>
      </c>
      <c r="C1754" s="221" t="str">
        <f>IFERROR(VLOOKUP($B1754,KEY!$AE$19:$AH$60,2,FALSE),"")</f>
        <v>2025-Q2</v>
      </c>
      <c r="D1754" s="222" t="s">
        <v>124</v>
      </c>
      <c r="E1754" s="218">
        <v>20</v>
      </c>
    </row>
    <row r="1755" spans="1:5" x14ac:dyDescent="0.35">
      <c r="A1755" s="3" t="str">
        <f>IF(D1755="","",(VLOOKUP($D1755,KEY!$B$5:$D$74,3,FALSE)))</f>
        <v>Northern California</v>
      </c>
      <c r="B1755" s="221">
        <f t="shared" si="10"/>
        <v>45748</v>
      </c>
      <c r="C1755" s="221" t="str">
        <f>IFERROR(VLOOKUP($B1755,KEY!$AE$19:$AH$60,2,FALSE),"")</f>
        <v>2025-Q2</v>
      </c>
      <c r="D1755" s="222" t="s">
        <v>195</v>
      </c>
      <c r="E1755" s="218">
        <v>5</v>
      </c>
    </row>
    <row r="1756" spans="1:5" x14ac:dyDescent="0.35">
      <c r="A1756" s="3" t="str">
        <f>IF(D1756="","",(VLOOKUP($D1756,KEY!$B$5:$D$74,3,FALSE)))</f>
        <v>Northern California</v>
      </c>
      <c r="B1756" s="221">
        <f t="shared" si="10"/>
        <v>45748</v>
      </c>
      <c r="C1756" s="221" t="str">
        <f>IFERROR(VLOOKUP($B1756,KEY!$AE$19:$AH$60,2,FALSE),"")</f>
        <v>2025-Q2</v>
      </c>
      <c r="D1756" s="222" t="s">
        <v>125</v>
      </c>
      <c r="E1756" s="218">
        <v>19</v>
      </c>
    </row>
    <row r="1757" spans="1:5" x14ac:dyDescent="0.35">
      <c r="A1757" s="3" t="str">
        <f>IF(D1757="","",(VLOOKUP($D1757,KEY!$B$5:$D$74,3,FALSE)))</f>
        <v>Orange County</v>
      </c>
      <c r="B1757" s="221">
        <f t="shared" si="10"/>
        <v>45748</v>
      </c>
      <c r="C1757" s="221" t="str">
        <f>IFERROR(VLOOKUP($B1757,KEY!$AE$19:$AH$60,2,FALSE),"")</f>
        <v>2025-Q2</v>
      </c>
      <c r="D1757" s="222" t="s">
        <v>126</v>
      </c>
      <c r="E1757" s="218">
        <v>28</v>
      </c>
    </row>
    <row r="1758" spans="1:5" x14ac:dyDescent="0.35">
      <c r="A1758" s="3" t="str">
        <f>IF(D1758="","",(VLOOKUP($D1758,KEY!$B$5:$D$74,3,FALSE)))</f>
        <v>Orange County</v>
      </c>
      <c r="B1758" s="221">
        <f t="shared" si="10"/>
        <v>45748</v>
      </c>
      <c r="C1758" s="221" t="str">
        <f>IFERROR(VLOOKUP($B1758,KEY!$AE$19:$AH$60,2,FALSE),"")</f>
        <v>2025-Q2</v>
      </c>
      <c r="D1758" s="222" t="s">
        <v>127</v>
      </c>
      <c r="E1758" s="218">
        <v>3.5</v>
      </c>
    </row>
    <row r="1759" spans="1:5" x14ac:dyDescent="0.35">
      <c r="A1759" s="3" t="str">
        <f>IF(D1759="","",(VLOOKUP($D1759,KEY!$B$5:$D$74,3,FALSE)))</f>
        <v>Wisconsin</v>
      </c>
      <c r="B1759" s="221">
        <f t="shared" si="10"/>
        <v>45748</v>
      </c>
      <c r="C1759" s="221" t="str">
        <f>IFERROR(VLOOKUP($B1759,KEY!$AE$19:$AH$60,2,FALSE),"")</f>
        <v>2025-Q2</v>
      </c>
      <c r="D1759" s="222" t="s">
        <v>201</v>
      </c>
      <c r="E1759" s="218">
        <v>14</v>
      </c>
    </row>
    <row r="1760" spans="1:5" x14ac:dyDescent="0.35">
      <c r="A1760" s="3" t="e">
        <f>IF(D1760="","",(VLOOKUP($D1760,KEY!$B$5:$D$74,3,FALSE)))</f>
        <v>#N/A</v>
      </c>
      <c r="B1760" s="221">
        <f t="shared" si="10"/>
        <v>45748</v>
      </c>
      <c r="C1760" s="221" t="str">
        <f>IFERROR(VLOOKUP($B1760,KEY!$AE$19:$AH$60,2,FALSE),"")</f>
        <v>2025-Q2</v>
      </c>
      <c r="D1760" s="222" t="s">
        <v>202</v>
      </c>
      <c r="E1760" s="218">
        <v>3</v>
      </c>
    </row>
    <row r="1761" spans="1:5" x14ac:dyDescent="0.35">
      <c r="A1761" s="3" t="str">
        <f>IF(D1761="","",(VLOOKUP($D1761,KEY!$B$5:$D$74,3,FALSE)))</f>
        <v>Texas</v>
      </c>
      <c r="B1761" s="221">
        <f t="shared" si="10"/>
        <v>45748</v>
      </c>
      <c r="C1761" s="221" t="str">
        <f>IFERROR(VLOOKUP($B1761,KEY!$AE$19:$AH$60,2,FALSE),"")</f>
        <v>2025-Q2</v>
      </c>
      <c r="D1761" s="222" t="s">
        <v>198</v>
      </c>
      <c r="E1761" s="218">
        <v>7</v>
      </c>
    </row>
    <row r="1762" spans="1:5" x14ac:dyDescent="0.35">
      <c r="A1762" s="3" t="str">
        <f>IF(D1762="","",(VLOOKUP($D1762,KEY!$B$5:$D$74,3,FALSE)))</f>
        <v>Texas</v>
      </c>
      <c r="B1762" s="221">
        <f t="shared" si="10"/>
        <v>45748</v>
      </c>
      <c r="C1762" s="221" t="str">
        <f>IFERROR(VLOOKUP($B1762,KEY!$AE$19:$AH$60,2,FALSE),"")</f>
        <v>2025-Q2</v>
      </c>
      <c r="D1762" s="222" t="s">
        <v>128</v>
      </c>
      <c r="E1762" s="218">
        <v>16</v>
      </c>
    </row>
    <row r="1763" spans="1:5" x14ac:dyDescent="0.35">
      <c r="A1763" s="3" t="str">
        <f>IF(D1763="","",(VLOOKUP($D1763,KEY!$B$5:$D$74,3,FALSE)))</f>
        <v>Northern California</v>
      </c>
      <c r="B1763" s="221">
        <f t="shared" si="10"/>
        <v>45748</v>
      </c>
      <c r="C1763" s="221" t="str">
        <f>IFERROR(VLOOKUP($B1763,KEY!$AE$19:$AH$60,2,FALSE),"")</f>
        <v>2025-Q2</v>
      </c>
      <c r="D1763" s="222" t="s">
        <v>129</v>
      </c>
      <c r="E1763" s="218">
        <v>15</v>
      </c>
    </row>
    <row r="1764" spans="1:5" x14ac:dyDescent="0.35">
      <c r="A1764" s="3" t="str">
        <f>IF(D1764="","",(VLOOKUP($D1764,KEY!$B$5:$D$74,3,FALSE)))</f>
        <v>Southern California</v>
      </c>
      <c r="B1764" s="221">
        <f t="shared" si="10"/>
        <v>45748</v>
      </c>
      <c r="C1764" s="221" t="str">
        <f>IFERROR(VLOOKUP($B1764,KEY!$AE$19:$AH$60,2,FALSE),"")</f>
        <v>2025-Q2</v>
      </c>
      <c r="D1764" s="222" t="s">
        <v>130</v>
      </c>
      <c r="E1764" s="218">
        <v>11</v>
      </c>
    </row>
    <row r="1765" spans="1:5" x14ac:dyDescent="0.35">
      <c r="A1765" s="3" t="str">
        <f>IF(D1765="","",(VLOOKUP($D1765,KEY!$B$5:$D$74,3,FALSE)))</f>
        <v>Texas</v>
      </c>
      <c r="B1765" s="221">
        <f t="shared" si="10"/>
        <v>45748</v>
      </c>
      <c r="C1765" s="221" t="str">
        <f>IFERROR(VLOOKUP($B1765,KEY!$AE$19:$AH$60,2,FALSE),"")</f>
        <v>2025-Q2</v>
      </c>
      <c r="D1765" s="222" t="s">
        <v>210</v>
      </c>
      <c r="E1765" s="218">
        <v>6</v>
      </c>
    </row>
    <row r="1766" spans="1:5" x14ac:dyDescent="0.35">
      <c r="A1766" s="3" t="e">
        <f>IF(D1766="","",(VLOOKUP($D1766,KEY!$B$5:$D$74,3,FALSE)))</f>
        <v>#N/A</v>
      </c>
      <c r="B1766" s="221">
        <f t="shared" si="10"/>
        <v>45748</v>
      </c>
      <c r="C1766" s="221" t="str">
        <f>IFERROR(VLOOKUP($B1766,KEY!$AE$19:$AH$60,2,FALSE),"")</f>
        <v>2025-Q2</v>
      </c>
      <c r="D1766" s="222" t="s">
        <v>203</v>
      </c>
      <c r="E1766" s="218">
        <v>7</v>
      </c>
    </row>
    <row r="1767" spans="1:5" x14ac:dyDescent="0.35">
      <c r="A1767" s="3">
        <f>IF(D1767="","",(VLOOKUP($D1767,KEY!$B$5:$D$74,3,FALSE)))</f>
        <v>0</v>
      </c>
      <c r="B1767" s="221">
        <f t="shared" si="10"/>
        <v>45748</v>
      </c>
      <c r="C1767" s="221" t="str">
        <f>IFERROR(VLOOKUP($B1767,KEY!$AE$19:$AH$60,2,FALSE),"")</f>
        <v>2025-Q2</v>
      </c>
      <c r="D1767" s="222" t="s">
        <v>131</v>
      </c>
      <c r="E1767" s="218">
        <v>12</v>
      </c>
    </row>
    <row r="1768" spans="1:5" x14ac:dyDescent="0.35">
      <c r="A1768" s="3" t="e">
        <f>IF(D1768="","",(VLOOKUP($D1768,KEY!$B$5:$D$74,3,FALSE)))</f>
        <v>#N/A</v>
      </c>
      <c r="B1768" s="221">
        <f t="shared" si="10"/>
        <v>45748</v>
      </c>
      <c r="C1768" s="221" t="str">
        <f>IFERROR(VLOOKUP($B1768,KEY!$AE$19:$AH$60,2,FALSE),"")</f>
        <v>2025-Q2</v>
      </c>
      <c r="D1768" s="222" t="s">
        <v>134</v>
      </c>
      <c r="E1768" s="218">
        <v>5</v>
      </c>
    </row>
    <row r="1769" spans="1:5" x14ac:dyDescent="0.35">
      <c r="A1769" s="3" t="str">
        <f>IF(D1769="","",(VLOOKUP($D1769,KEY!$B$5:$D$74,3,FALSE)))</f>
        <v>Southern California</v>
      </c>
      <c r="B1769" s="221">
        <f t="shared" si="10"/>
        <v>45748</v>
      </c>
      <c r="C1769" s="221" t="str">
        <f>IFERROR(VLOOKUP($B1769,KEY!$AE$19:$AH$60,2,FALSE),"")</f>
        <v>2025-Q2</v>
      </c>
      <c r="D1769" s="222" t="s">
        <v>135</v>
      </c>
      <c r="E1769" s="218">
        <v>14</v>
      </c>
    </row>
    <row r="1770" spans="1:5" x14ac:dyDescent="0.35">
      <c r="A1770" s="3" t="str">
        <f>IF(D1770="","",(VLOOKUP($D1770,KEY!$B$5:$D$74,3,FALSE)))</f>
        <v>Arizona</v>
      </c>
      <c r="B1770" s="221">
        <f t="shared" si="10"/>
        <v>45748</v>
      </c>
      <c r="C1770" s="221" t="str">
        <f>IFERROR(VLOOKUP($B1770,KEY!$AE$19:$AH$60,2,FALSE),"")</f>
        <v>2025-Q2</v>
      </c>
      <c r="D1770" s="222" t="s">
        <v>204</v>
      </c>
      <c r="E1770" s="218">
        <v>1</v>
      </c>
    </row>
    <row r="1771" spans="1:5" x14ac:dyDescent="0.35">
      <c r="A1771" s="3" t="str">
        <f>IF(D1771="","",(VLOOKUP($D1771,KEY!$B$5:$D$74,3,FALSE)))</f>
        <v>Arizona</v>
      </c>
      <c r="B1771" s="221">
        <f t="shared" si="10"/>
        <v>45748</v>
      </c>
      <c r="C1771" s="221" t="str">
        <f>IFERROR(VLOOKUP($B1771,KEY!$AE$19:$AH$60,2,FALSE),"")</f>
        <v>2025-Q2</v>
      </c>
      <c r="D1771" s="222" t="s">
        <v>196</v>
      </c>
      <c r="E1771" s="218">
        <v>6</v>
      </c>
    </row>
    <row r="1772" spans="1:5" x14ac:dyDescent="0.35">
      <c r="A1772" s="3" t="str">
        <f>IF(D1772="","",(VLOOKUP($D1772,KEY!$B$5:$D$74,3,FALSE)))</f>
        <v>Arizona</v>
      </c>
      <c r="B1772" s="221">
        <f t="shared" si="10"/>
        <v>45748</v>
      </c>
      <c r="C1772" s="221" t="str">
        <f>IFERROR(VLOOKUP($B1772,KEY!$AE$19:$AH$60,2,FALSE),"")</f>
        <v>2025-Q2</v>
      </c>
      <c r="D1772" s="222" t="s">
        <v>197</v>
      </c>
      <c r="E1772" s="218">
        <v>11</v>
      </c>
    </row>
    <row r="1773" spans="1:5" x14ac:dyDescent="0.35">
      <c r="A1773" s="3" t="str">
        <f>IF(D1773="","",(VLOOKUP($D1773,KEY!$B$5:$D$74,3,FALSE)))</f>
        <v>Texas</v>
      </c>
      <c r="B1773" s="221">
        <f t="shared" si="10"/>
        <v>45748</v>
      </c>
      <c r="C1773" s="221" t="str">
        <f>IFERROR(VLOOKUP($B1773,KEY!$AE$19:$AH$60,2,FALSE),"")</f>
        <v>2025-Q2</v>
      </c>
      <c r="D1773" s="222" t="s">
        <v>136</v>
      </c>
      <c r="E1773" s="218">
        <v>15</v>
      </c>
    </row>
    <row r="1774" spans="1:5" x14ac:dyDescent="0.35">
      <c r="A1774" s="3" t="str">
        <f>IF(D1774="","",(VLOOKUP($D1774,KEY!$B$5:$D$74,3,FALSE)))</f>
        <v>Arizona</v>
      </c>
      <c r="B1774" s="221">
        <f t="shared" si="10"/>
        <v>45748</v>
      </c>
      <c r="C1774" s="221" t="str">
        <f>IFERROR(VLOOKUP($B1774,KEY!$AE$19:$AH$60,2,FALSE),"")</f>
        <v>2025-Q2</v>
      </c>
      <c r="D1774" s="222" t="s">
        <v>137</v>
      </c>
      <c r="E1774" s="218">
        <v>8</v>
      </c>
    </row>
    <row r="1775" spans="1:5" x14ac:dyDescent="0.35">
      <c r="A1775" s="3" t="str">
        <f>IF(D1775="","",(VLOOKUP($D1775,KEY!$B$5:$D$74,3,FALSE)))</f>
        <v>Texas</v>
      </c>
      <c r="B1775" s="221">
        <f t="shared" si="10"/>
        <v>45748</v>
      </c>
      <c r="C1775" s="221" t="str">
        <f>IFERROR(VLOOKUP($B1775,KEY!$AE$19:$AH$60,2,FALSE),"")</f>
        <v>2025-Q2</v>
      </c>
      <c r="D1775" s="222" t="s">
        <v>138</v>
      </c>
      <c r="E1775" s="218">
        <v>10</v>
      </c>
    </row>
    <row r="1776" spans="1:5" x14ac:dyDescent="0.35">
      <c r="A1776" s="3" t="str">
        <f>IF(D1776="","",(VLOOKUP($D1776,KEY!$B$5:$D$74,3,FALSE)))</f>
        <v>Southern California</v>
      </c>
      <c r="B1776" s="221">
        <f t="shared" si="10"/>
        <v>45748</v>
      </c>
      <c r="C1776" s="221" t="str">
        <f>IFERROR(VLOOKUP($B1776,KEY!$AE$19:$AH$60,2,FALSE),"")</f>
        <v>2025-Q2</v>
      </c>
      <c r="D1776" s="222" t="s">
        <v>139</v>
      </c>
      <c r="E1776" s="218">
        <v>14</v>
      </c>
    </row>
    <row r="1777" spans="1:5" x14ac:dyDescent="0.35">
      <c r="A1777" s="3" t="str">
        <f>IF(D1777="","",(VLOOKUP($D1777,KEY!$B$5:$D$74,3,FALSE)))</f>
        <v>Orange County</v>
      </c>
      <c r="B1777" s="221">
        <f t="shared" si="10"/>
        <v>45748</v>
      </c>
      <c r="C1777" s="221" t="str">
        <f>IFERROR(VLOOKUP($B1777,KEY!$AE$19:$AH$60,2,FALSE),"")</f>
        <v>2025-Q2</v>
      </c>
      <c r="D1777" s="222" t="s">
        <v>140</v>
      </c>
      <c r="E1777" s="218">
        <v>4</v>
      </c>
    </row>
    <row r="1778" spans="1:5" x14ac:dyDescent="0.35">
      <c r="A1778" s="3" t="str">
        <f>IF(D1778="","",(VLOOKUP($D1778,KEY!$B$5:$D$74,3,FALSE)))</f>
        <v>Southern California</v>
      </c>
      <c r="B1778" s="221">
        <f t="shared" si="10"/>
        <v>45748</v>
      </c>
      <c r="C1778" s="221" t="str">
        <f>IFERROR(VLOOKUP($B1778,KEY!$AE$19:$AH$60,2,FALSE),"")</f>
        <v>2025-Q2</v>
      </c>
      <c r="D1778" s="222" t="s">
        <v>142</v>
      </c>
      <c r="E1778" s="218">
        <v>5</v>
      </c>
    </row>
    <row r="1779" spans="1:5" x14ac:dyDescent="0.35">
      <c r="A1779" s="3" t="str">
        <f>IF(D1779="","",(VLOOKUP($D1779,KEY!$B$5:$D$74,3,FALSE)))</f>
        <v>Arizona</v>
      </c>
      <c r="B1779" s="221">
        <f t="shared" si="10"/>
        <v>45748</v>
      </c>
      <c r="C1779" s="221" t="str">
        <f>IFERROR(VLOOKUP($B1779,KEY!$AE$19:$AH$60,2,FALSE),"")</f>
        <v>2025-Q2</v>
      </c>
      <c r="D1779" s="222" t="s">
        <v>143</v>
      </c>
      <c r="E1779" s="218">
        <v>8</v>
      </c>
    </row>
    <row r="1780" spans="1:5" x14ac:dyDescent="0.35">
      <c r="A1780" s="3" t="str">
        <f>IF(D1780="","",(VLOOKUP($D1780,KEY!$B$5:$D$74,3,FALSE)))</f>
        <v>Arizona</v>
      </c>
      <c r="B1780" s="221">
        <f t="shared" si="10"/>
        <v>45748</v>
      </c>
      <c r="C1780" s="221" t="str">
        <f>IFERROR(VLOOKUP($B1780,KEY!$AE$19:$AH$60,2,FALSE),"")</f>
        <v>2025-Q2</v>
      </c>
      <c r="D1780" s="222" t="s">
        <v>144</v>
      </c>
      <c r="E1780" s="218">
        <v>21</v>
      </c>
    </row>
    <row r="1781" spans="1:5" x14ac:dyDescent="0.35">
      <c r="A1781" s="3" t="str">
        <f>IF(D1781="","",(VLOOKUP($D1781,KEY!$B$5:$D$74,3,FALSE)))</f>
        <v>Southern California</v>
      </c>
      <c r="B1781" s="221">
        <f t="shared" si="10"/>
        <v>45748</v>
      </c>
      <c r="C1781" s="221" t="str">
        <f>IFERROR(VLOOKUP($B1781,KEY!$AE$19:$AH$60,2,FALSE),"")</f>
        <v>2025-Q2</v>
      </c>
      <c r="D1781" s="222" t="s">
        <v>145</v>
      </c>
      <c r="E1781" s="218">
        <v>17</v>
      </c>
    </row>
    <row r="1782" spans="1:5" x14ac:dyDescent="0.35">
      <c r="A1782" s="3" t="str">
        <f>IF(D1782="","",(VLOOKUP($D1782,KEY!$B$5:$D$74,3,FALSE)))</f>
        <v>Arizona</v>
      </c>
      <c r="B1782" s="221">
        <f t="shared" si="10"/>
        <v>45748</v>
      </c>
      <c r="C1782" s="221" t="str">
        <f>IFERROR(VLOOKUP($B1782,KEY!$AE$19:$AH$60,2,FALSE),"")</f>
        <v>2025-Q2</v>
      </c>
      <c r="D1782" s="222" t="s">
        <v>146</v>
      </c>
      <c r="E1782" s="218">
        <v>3</v>
      </c>
    </row>
    <row r="1783" spans="1:5" x14ac:dyDescent="0.35">
      <c r="A1783" s="3" t="str">
        <f>IF(D1783="","",(VLOOKUP($D1783,KEY!$B$5:$D$74,3,FALSE)))</f>
        <v>Texas</v>
      </c>
      <c r="B1783" s="221">
        <f t="shared" si="10"/>
        <v>45748</v>
      </c>
      <c r="C1783" s="221" t="str">
        <f>IFERROR(VLOOKUP($B1783,KEY!$AE$19:$AH$60,2,FALSE),"")</f>
        <v>2025-Q2</v>
      </c>
      <c r="D1783" s="222" t="s">
        <v>147</v>
      </c>
      <c r="E1783" s="218">
        <v>4</v>
      </c>
    </row>
    <row r="1784" spans="1:5" x14ac:dyDescent="0.35">
      <c r="A1784" s="3" t="str">
        <f>IF(D1784="","",(VLOOKUP($D1784,KEY!$B$5:$D$74,3,FALSE)))</f>
        <v>Northern California</v>
      </c>
      <c r="B1784" s="221">
        <f t="shared" si="10"/>
        <v>45748</v>
      </c>
      <c r="C1784" s="221" t="str">
        <f>IFERROR(VLOOKUP($B1784,KEY!$AE$19:$AH$60,2,FALSE),"")</f>
        <v>2025-Q2</v>
      </c>
      <c r="D1784" s="222" t="s">
        <v>148</v>
      </c>
      <c r="E1784" s="218">
        <v>3</v>
      </c>
    </row>
    <row r="1785" spans="1:5" x14ac:dyDescent="0.35">
      <c r="A1785" s="3" t="str">
        <f>IF(D1785="","",(VLOOKUP($D1785,KEY!$B$5:$D$74,3,FALSE)))</f>
        <v>Orange County</v>
      </c>
      <c r="B1785" s="221">
        <f t="shared" si="10"/>
        <v>45748</v>
      </c>
      <c r="C1785" s="221" t="str">
        <f>IFERROR(VLOOKUP($B1785,KEY!$AE$19:$AH$60,2,FALSE),"")</f>
        <v>2025-Q2</v>
      </c>
      <c r="D1785" s="222" t="s">
        <v>149</v>
      </c>
      <c r="E1785" s="218">
        <v>3</v>
      </c>
    </row>
    <row r="1786" spans="1:5" x14ac:dyDescent="0.35">
      <c r="A1786" s="3" t="str">
        <f>IF(D1786="","",(VLOOKUP($D1786,KEY!$B$5:$D$74,3,FALSE)))</f>
        <v>Southern California</v>
      </c>
      <c r="B1786" s="221">
        <f t="shared" si="10"/>
        <v>45748</v>
      </c>
      <c r="C1786" s="221" t="str">
        <f>IFERROR(VLOOKUP($B1786,KEY!$AE$19:$AH$60,2,FALSE),"")</f>
        <v>2025-Q2</v>
      </c>
      <c r="D1786" s="222" t="s">
        <v>150</v>
      </c>
      <c r="E1786" s="218">
        <v>3</v>
      </c>
    </row>
    <row r="1787" spans="1:5" x14ac:dyDescent="0.35">
      <c r="A1787" s="3" t="str">
        <f>IF(D1787="","",(VLOOKUP($D1787,KEY!$B$5:$D$74,3,FALSE)))</f>
        <v>Arizona</v>
      </c>
      <c r="B1787" s="221">
        <f t="shared" si="10"/>
        <v>45748</v>
      </c>
      <c r="C1787" s="221" t="str">
        <f>IFERROR(VLOOKUP($B1787,KEY!$AE$19:$AH$60,2,FALSE),"")</f>
        <v>2025-Q2</v>
      </c>
      <c r="D1787" s="222" t="s">
        <v>151</v>
      </c>
      <c r="E1787" s="218">
        <v>4</v>
      </c>
    </row>
    <row r="1788" spans="1:5" x14ac:dyDescent="0.35">
      <c r="A1788" s="3" t="str">
        <f>IF(D1788="","",(VLOOKUP($D1788,KEY!$B$5:$D$74,3,FALSE)))</f>
        <v>Michigan &amp; Minnesota</v>
      </c>
      <c r="B1788" s="221">
        <f t="shared" si="10"/>
        <v>45748</v>
      </c>
      <c r="C1788" s="221" t="str">
        <f>IFERROR(VLOOKUP($B1788,KEY!$AE$19:$AH$60,2,FALSE),"")</f>
        <v>2025-Q2</v>
      </c>
      <c r="D1788" s="222" t="s">
        <v>206</v>
      </c>
      <c r="E1788" s="218">
        <v>18</v>
      </c>
    </row>
    <row r="1789" spans="1:5" x14ac:dyDescent="0.35">
      <c r="A1789" s="3" t="str">
        <f>IF(D1789="","",(VLOOKUP($D1789,KEY!$B$5:$D$74,3,FALSE)))</f>
        <v>Michigan &amp; Minnesota</v>
      </c>
      <c r="B1789" s="221">
        <f t="shared" si="10"/>
        <v>45748</v>
      </c>
      <c r="C1789" s="221" t="str">
        <f>IFERROR(VLOOKUP($B1789,KEY!$AE$19:$AH$60,2,FALSE),"")</f>
        <v>2025-Q2</v>
      </c>
      <c r="D1789" s="222" t="s">
        <v>207</v>
      </c>
      <c r="E1789" s="218">
        <v>5</v>
      </c>
    </row>
    <row r="1790" spans="1:5" x14ac:dyDescent="0.35">
      <c r="A1790" s="3" t="str">
        <f>IF(D1790="","",(VLOOKUP($D1790,KEY!$B$5:$D$74,3,FALSE)))</f>
        <v>Indiana</v>
      </c>
      <c r="B1790" s="221">
        <f t="shared" si="10"/>
        <v>45748</v>
      </c>
      <c r="C1790" s="221" t="str">
        <f>IFERROR(VLOOKUP($B1790,KEY!$AE$19:$AH$60,2,FALSE),"")</f>
        <v>2025-Q2</v>
      </c>
      <c r="D1790" s="222" t="s">
        <v>208</v>
      </c>
      <c r="E1790" s="218">
        <v>10</v>
      </c>
    </row>
    <row r="1791" spans="1:5" x14ac:dyDescent="0.35">
      <c r="A1791" s="3" t="str">
        <f>IF(D1791="","",(VLOOKUP($D1791,KEY!$B$5:$D$74,3,FALSE)))</f>
        <v>Indiana</v>
      </c>
      <c r="B1791" s="221">
        <f t="shared" si="10"/>
        <v>45748</v>
      </c>
      <c r="C1791" s="221" t="str">
        <f>IFERROR(VLOOKUP($B1791,KEY!$AE$19:$AH$60,2,FALSE),"")</f>
        <v>2025-Q2</v>
      </c>
      <c r="D1791" s="222" t="s">
        <v>209</v>
      </c>
      <c r="E1791" s="218">
        <v>24</v>
      </c>
    </row>
    <row r="1792" spans="1:5" x14ac:dyDescent="0.35">
      <c r="A1792" s="3" t="str">
        <f>IF(D1792="","",(VLOOKUP($D1792,KEY!$B$5:$D$74,3,FALSE)))</f>
        <v>Northern California</v>
      </c>
      <c r="B1792" s="221">
        <f t="shared" si="10"/>
        <v>45748</v>
      </c>
      <c r="C1792" s="221" t="str">
        <f>IFERROR(VLOOKUP($B1792,KEY!$AE$19:$AH$60,2,FALSE),"")</f>
        <v>2025-Q2</v>
      </c>
      <c r="D1792" s="222" t="s">
        <v>152</v>
      </c>
      <c r="E1792" s="218">
        <v>14</v>
      </c>
    </row>
    <row r="1793" spans="1:5" x14ac:dyDescent="0.35">
      <c r="A1793" s="3" t="str">
        <f>IF(D1793="","",(VLOOKUP($D1793,KEY!$B$5:$D$74,3,FALSE)))</f>
        <v>Arizona</v>
      </c>
      <c r="B1793" s="221">
        <f t="shared" si="10"/>
        <v>45748</v>
      </c>
      <c r="C1793" s="221" t="str">
        <f>IFERROR(VLOOKUP($B1793,KEY!$AE$19:$AH$60,2,FALSE),"")</f>
        <v>2025-Q2</v>
      </c>
      <c r="D1793" s="222" t="s">
        <v>153</v>
      </c>
      <c r="E1793" s="218">
        <v>13</v>
      </c>
    </row>
    <row r="1794" spans="1:5" x14ac:dyDescent="0.35">
      <c r="A1794" s="3" t="str">
        <f>IF(D1794="","",(VLOOKUP($D1794,KEY!$B$5:$D$74,3,FALSE)))</f>
        <v>Northern California</v>
      </c>
      <c r="B1794" s="221">
        <f t="shared" si="10"/>
        <v>45748</v>
      </c>
      <c r="C1794" s="221" t="str">
        <f>IFERROR(VLOOKUP($B1794,KEY!$AE$19:$AH$60,2,FALSE),"")</f>
        <v>2025-Q2</v>
      </c>
      <c r="D1794" s="222" t="s">
        <v>154</v>
      </c>
      <c r="E1794" s="218">
        <v>9</v>
      </c>
    </row>
    <row r="1795" spans="1:5" x14ac:dyDescent="0.35">
      <c r="A1795" s="3" t="str">
        <f>IF(D1795="","",(VLOOKUP($D1795,KEY!$B$5:$D$74,3,FALSE)))</f>
        <v>Texas</v>
      </c>
      <c r="B1795" s="221">
        <f t="shared" si="10"/>
        <v>45748</v>
      </c>
      <c r="C1795" s="221" t="str">
        <f>IFERROR(VLOOKUP($B1795,KEY!$AE$19:$AH$60,2,FALSE),"")</f>
        <v>2025-Q2</v>
      </c>
      <c r="D1795" s="222" t="s">
        <v>155</v>
      </c>
      <c r="E1795" s="218">
        <v>28</v>
      </c>
    </row>
    <row r="1796" spans="1:5" x14ac:dyDescent="0.35">
      <c r="A1796" s="3" t="str">
        <f>IF(D1796="","",(VLOOKUP($D1796,KEY!$B$5:$D$74,3,FALSE)))</f>
        <v>Texas</v>
      </c>
      <c r="B1796" s="221">
        <f t="shared" si="10"/>
        <v>45748</v>
      </c>
      <c r="C1796" s="221" t="str">
        <f>IFERROR(VLOOKUP($B1796,KEY!$AE$19:$AH$60,2,FALSE),"")</f>
        <v>2025-Q2</v>
      </c>
      <c r="D1796" s="222" t="s">
        <v>156</v>
      </c>
      <c r="E1796" s="218">
        <v>18</v>
      </c>
    </row>
    <row r="1797" spans="1:5" x14ac:dyDescent="0.35">
      <c r="A1797" s="3" t="str">
        <f>IF(D1797="","",(VLOOKUP($D1797,KEY!$B$5:$D$74,3,FALSE)))</f>
        <v>Texas</v>
      </c>
      <c r="B1797" s="221">
        <f t="shared" si="10"/>
        <v>45748</v>
      </c>
      <c r="C1797" s="221" t="str">
        <f>IFERROR(VLOOKUP($B1797,KEY!$AE$19:$AH$60,2,FALSE),"")</f>
        <v>2025-Q2</v>
      </c>
      <c r="D1797" s="222" t="s">
        <v>157</v>
      </c>
      <c r="E1797" s="218">
        <v>35</v>
      </c>
    </row>
    <row r="1798" spans="1:5" x14ac:dyDescent="0.35">
      <c r="A1798" s="3" t="str">
        <f>IF(D1798="","",(VLOOKUP($D1798,KEY!$B$5:$D$74,3,FALSE)))</f>
        <v>Arizona</v>
      </c>
      <c r="B1798" s="221">
        <f t="shared" si="10"/>
        <v>45748</v>
      </c>
      <c r="C1798" s="221" t="str">
        <f>IFERROR(VLOOKUP($B1798,KEY!$AE$19:$AH$60,2,FALSE),"")</f>
        <v>2025-Q2</v>
      </c>
      <c r="D1798" s="222" t="s">
        <v>158</v>
      </c>
      <c r="E1798" s="218">
        <v>6</v>
      </c>
    </row>
    <row r="1799" spans="1:5" x14ac:dyDescent="0.35">
      <c r="A1799" s="3" t="str">
        <f>IF(D1799="","",(VLOOKUP($D1799,KEY!$B$5:$D$74,3,FALSE)))</f>
        <v>Orange County</v>
      </c>
      <c r="B1799" s="221">
        <f t="shared" si="10"/>
        <v>45748</v>
      </c>
      <c r="C1799" s="221" t="str">
        <f>IFERROR(VLOOKUP($B1799,KEY!$AE$19:$AH$60,2,FALSE),"")</f>
        <v>2025-Q2</v>
      </c>
      <c r="D1799" s="222" t="s">
        <v>159</v>
      </c>
      <c r="E1799" s="218">
        <v>9</v>
      </c>
    </row>
    <row r="1800" spans="1:5" x14ac:dyDescent="0.35">
      <c r="A1800" s="3" t="str">
        <f>IF(D1800="","",(VLOOKUP($D1800,KEY!$B$5:$D$74,3,FALSE)))</f>
        <v>Arizona</v>
      </c>
      <c r="B1800" s="221">
        <f t="shared" si="10"/>
        <v>45748</v>
      </c>
      <c r="C1800" s="221" t="str">
        <f>IFERROR(VLOOKUP($B1800,KEY!$AE$19:$AH$60,2,FALSE),"")</f>
        <v>2025-Q2</v>
      </c>
      <c r="D1800" s="222" t="s">
        <v>160</v>
      </c>
      <c r="E1800" s="218">
        <v>23</v>
      </c>
    </row>
    <row r="1801" spans="1:5" x14ac:dyDescent="0.35">
      <c r="A1801" s="3" t="str">
        <f>IF(D1801="","",(VLOOKUP($D1801,KEY!$B$5:$D$74,3,FALSE)))</f>
        <v>Northern California</v>
      </c>
      <c r="B1801" s="221">
        <f t="shared" si="10"/>
        <v>45748</v>
      </c>
      <c r="C1801" s="221" t="str">
        <f>IFERROR(VLOOKUP($B1801,KEY!$AE$19:$AH$60,2,FALSE),"")</f>
        <v>2025-Q2</v>
      </c>
      <c r="D1801" s="222" t="s">
        <v>161</v>
      </c>
      <c r="E1801" s="218">
        <v>21</v>
      </c>
    </row>
    <row r="1802" spans="1:5" x14ac:dyDescent="0.35">
      <c r="A1802" s="3" t="str">
        <f>IF(D1802="","",(VLOOKUP($D1802,KEY!$B$5:$D$74,3,FALSE)))</f>
        <v>Arizona</v>
      </c>
      <c r="B1802" s="221">
        <f t="shared" si="10"/>
        <v>45748</v>
      </c>
      <c r="C1802" s="221" t="str">
        <f>IFERROR(VLOOKUP($B1802,KEY!$AE$19:$AH$60,2,FALSE),"")</f>
        <v>2025-Q2</v>
      </c>
      <c r="D1802" s="222" t="s">
        <v>163</v>
      </c>
      <c r="E1802" s="218">
        <v>18</v>
      </c>
    </row>
    <row r="1803" spans="1:5" x14ac:dyDescent="0.35">
      <c r="A1803" s="3" t="str">
        <f>IF(D1803="","",(VLOOKUP($D1803,KEY!$B$5:$D$74,3,FALSE)))</f>
        <v>Arizona</v>
      </c>
      <c r="B1803" s="221">
        <f t="shared" si="10"/>
        <v>45748</v>
      </c>
      <c r="C1803" s="221" t="str">
        <f>IFERROR(VLOOKUP($B1803,KEY!$AE$19:$AH$60,2,FALSE),"")</f>
        <v>2025-Q2</v>
      </c>
      <c r="D1803" s="222" t="s">
        <v>164</v>
      </c>
      <c r="E1803" s="218">
        <v>5</v>
      </c>
    </row>
    <row r="1804" spans="1:5" x14ac:dyDescent="0.35">
      <c r="A1804" s="3" t="str">
        <f>IF(D1804="","",(VLOOKUP($D1804,KEY!$B$5:$D$74,3,FALSE)))</f>
        <v>Orange County</v>
      </c>
      <c r="B1804" s="221">
        <f t="shared" ref="B1804:B1808" si="11">B1803</f>
        <v>45748</v>
      </c>
      <c r="C1804" s="221" t="str">
        <f>IFERROR(VLOOKUP($B1804,KEY!$AE$19:$AH$60,2,FALSE),"")</f>
        <v>2025-Q2</v>
      </c>
      <c r="D1804" s="222" t="s">
        <v>165</v>
      </c>
      <c r="E1804" s="218">
        <v>6</v>
      </c>
    </row>
    <row r="1805" spans="1:5" x14ac:dyDescent="0.35">
      <c r="A1805" s="3" t="str">
        <f>IF(D1805="","",(VLOOKUP($D1805,KEY!$B$5:$D$74,3,FALSE)))</f>
        <v/>
      </c>
      <c r="B1805" s="221">
        <f t="shared" si="11"/>
        <v>45748</v>
      </c>
      <c r="C1805" s="221" t="str">
        <f>IFERROR(VLOOKUP($B1805,KEY!$AE$19:$AH$60,2,FALSE),"")</f>
        <v>2025-Q2</v>
      </c>
      <c r="D1805" s="222"/>
      <c r="E1805" s="218"/>
    </row>
    <row r="1806" spans="1:5" x14ac:dyDescent="0.35">
      <c r="A1806" s="3" t="str">
        <f>IF(D1806="","",(VLOOKUP($D1806,KEY!$B$5:$D$74,3,FALSE)))</f>
        <v/>
      </c>
      <c r="B1806" s="221">
        <f t="shared" si="11"/>
        <v>45748</v>
      </c>
      <c r="C1806" s="221" t="str">
        <f>IFERROR(VLOOKUP($B1806,KEY!$AE$19:$AH$60,2,FALSE),"")</f>
        <v>2025-Q2</v>
      </c>
      <c r="D1806" s="222"/>
      <c r="E1806" s="218"/>
    </row>
    <row r="1807" spans="1:5" x14ac:dyDescent="0.35">
      <c r="A1807" s="3" t="str">
        <f>IF(D1807="","",(VLOOKUP($D1807,KEY!$B$5:$D$74,3,FALSE)))</f>
        <v/>
      </c>
      <c r="B1807" s="221">
        <f t="shared" si="11"/>
        <v>45748</v>
      </c>
      <c r="C1807" s="221" t="str">
        <f>IFERROR(VLOOKUP($B1807,KEY!$AE$19:$AH$60,2,FALSE),"")</f>
        <v>2025-Q2</v>
      </c>
      <c r="D1807" s="222"/>
      <c r="E1807" s="218"/>
    </row>
    <row r="1808" spans="1:5" x14ac:dyDescent="0.35">
      <c r="A1808" s="3" t="str">
        <f>IF(D1808="","",(VLOOKUP($D1808,KEY!$B$5:$D$74,3,FALSE)))</f>
        <v/>
      </c>
      <c r="B1808" s="221">
        <f t="shared" si="11"/>
        <v>45748</v>
      </c>
      <c r="C1808" s="221" t="str">
        <f>IFERROR(VLOOKUP($B1808,KEY!$AE$19:$AH$60,2,FALSE),"")</f>
        <v>2025-Q2</v>
      </c>
      <c r="D1808" s="222"/>
      <c r="E1808" s="218"/>
    </row>
    <row r="1809" spans="1:5" x14ac:dyDescent="0.35">
      <c r="A1809" s="3" t="str">
        <f>IF(D1809="","",(VLOOKUP($D1809,KEY!$B$5:$D$74,3,FALSE)))</f>
        <v>Arizona</v>
      </c>
      <c r="B1809" s="221">
        <f>DATE(YEAR(B1808+31),MONTH(B1808+31),1)</f>
        <v>45778</v>
      </c>
      <c r="C1809" s="221" t="str">
        <f>IFERROR(VLOOKUP($B1809,KEY!$AE$19:$AH$60,2,FALSE),"")</f>
        <v>2025-Q2</v>
      </c>
      <c r="D1809" s="222" t="s">
        <v>111</v>
      </c>
      <c r="E1809" s="218">
        <v>8</v>
      </c>
    </row>
    <row r="1810" spans="1:5" x14ac:dyDescent="0.35">
      <c r="A1810" s="3" t="str">
        <f>IF(D1810="","",(VLOOKUP($D1810,KEY!$B$5:$D$74,3,FALSE)))</f>
        <v>Southern California</v>
      </c>
      <c r="B1810" s="221">
        <f t="shared" ref="B1810:B1873" si="12">B1809</f>
        <v>45778</v>
      </c>
      <c r="C1810" s="221" t="str">
        <f>IFERROR(VLOOKUP($B1810,KEY!$AE$19:$AH$60,2,FALSE),"")</f>
        <v>2025-Q2</v>
      </c>
      <c r="D1810" s="222" t="s">
        <v>112</v>
      </c>
      <c r="E1810" s="218">
        <v>4</v>
      </c>
    </row>
    <row r="1811" spans="1:5" x14ac:dyDescent="0.35">
      <c r="A1811" s="3" t="str">
        <f>IF(D1811="","",(VLOOKUP($D1811,KEY!$B$5:$D$74,3,FALSE)))</f>
        <v>Arizona</v>
      </c>
      <c r="B1811" s="221">
        <f t="shared" si="12"/>
        <v>45778</v>
      </c>
      <c r="C1811" s="221" t="str">
        <f>IFERROR(VLOOKUP($B1811,KEY!$AE$19:$AH$60,2,FALSE),"")</f>
        <v>2025-Q2</v>
      </c>
      <c r="D1811" s="222" t="s">
        <v>113</v>
      </c>
      <c r="E1811" s="218">
        <v>7</v>
      </c>
    </row>
    <row r="1812" spans="1:5" x14ac:dyDescent="0.35">
      <c r="A1812" s="3" t="str">
        <f>IF(D1812="","",(VLOOKUP($D1812,KEY!$B$5:$D$74,3,FALSE)))</f>
        <v>Southern California</v>
      </c>
      <c r="B1812" s="221">
        <f t="shared" si="12"/>
        <v>45778</v>
      </c>
      <c r="C1812" s="221" t="str">
        <f>IFERROR(VLOOKUP($B1812,KEY!$AE$19:$AH$60,2,FALSE),"")</f>
        <v>2025-Q2</v>
      </c>
      <c r="D1812" s="222" t="s">
        <v>114</v>
      </c>
      <c r="E1812" s="218">
        <v>5</v>
      </c>
    </row>
    <row r="1813" spans="1:5" x14ac:dyDescent="0.35">
      <c r="A1813" s="3" t="str">
        <f>IF(D1813="","",(VLOOKUP($D1813,KEY!$B$5:$D$74,3,FALSE)))</f>
        <v>Orange County</v>
      </c>
      <c r="B1813" s="221">
        <f t="shared" si="12"/>
        <v>45778</v>
      </c>
      <c r="C1813" s="221" t="str">
        <f>IFERROR(VLOOKUP($B1813,KEY!$AE$19:$AH$60,2,FALSE),"")</f>
        <v>2025-Q2</v>
      </c>
      <c r="D1813" s="222" t="s">
        <v>115</v>
      </c>
      <c r="E1813" s="218">
        <v>4</v>
      </c>
    </row>
    <row r="1814" spans="1:5" x14ac:dyDescent="0.35">
      <c r="A1814" s="3" t="str">
        <f>IF(D1814="","",(VLOOKUP($D1814,KEY!$B$5:$D$74,3,FALSE)))</f>
        <v>Arizona</v>
      </c>
      <c r="B1814" s="221">
        <f t="shared" si="12"/>
        <v>45778</v>
      </c>
      <c r="C1814" s="221" t="str">
        <f>IFERROR(VLOOKUP($B1814,KEY!$AE$19:$AH$60,2,FALSE),"")</f>
        <v>2025-Q2</v>
      </c>
      <c r="D1814" s="222" t="s">
        <v>116</v>
      </c>
      <c r="E1814" s="218">
        <v>11</v>
      </c>
    </row>
    <row r="1815" spans="1:5" x14ac:dyDescent="0.35">
      <c r="A1815" s="3" t="str">
        <f>IF(D1815="","",(VLOOKUP($D1815,KEY!$B$5:$D$74,3,FALSE)))</f>
        <v>Northern California</v>
      </c>
      <c r="B1815" s="221">
        <f t="shared" si="12"/>
        <v>45778</v>
      </c>
      <c r="C1815" s="221" t="str">
        <f>IFERROR(VLOOKUP($B1815,KEY!$AE$19:$AH$60,2,FALSE),"")</f>
        <v>2025-Q2</v>
      </c>
      <c r="D1815" s="222" t="s">
        <v>118</v>
      </c>
      <c r="E1815" s="218">
        <v>14</v>
      </c>
    </row>
    <row r="1816" spans="1:5" x14ac:dyDescent="0.35">
      <c r="A1816" s="3" t="str">
        <f>IF(D1816="","",(VLOOKUP($D1816,KEY!$B$5:$D$74,3,FALSE)))</f>
        <v>Orange County</v>
      </c>
      <c r="B1816" s="221">
        <f t="shared" si="12"/>
        <v>45778</v>
      </c>
      <c r="C1816" s="221" t="str">
        <f>IFERROR(VLOOKUP($B1816,KEY!$AE$19:$AH$60,2,FALSE),"")</f>
        <v>2025-Q2</v>
      </c>
      <c r="D1816" s="222" t="s">
        <v>117</v>
      </c>
      <c r="E1816" s="218">
        <v>4</v>
      </c>
    </row>
    <row r="1817" spans="1:5" x14ac:dyDescent="0.35">
      <c r="A1817" s="3" t="str">
        <f>IF(D1817="","",(VLOOKUP($D1817,KEY!$B$5:$D$74,3,FALSE)))</f>
        <v>Arizona</v>
      </c>
      <c r="B1817" s="221">
        <f t="shared" si="12"/>
        <v>45778</v>
      </c>
      <c r="C1817" s="221" t="str">
        <f>IFERROR(VLOOKUP($B1817,KEY!$AE$19:$AH$60,2,FALSE),"")</f>
        <v>2025-Q2</v>
      </c>
      <c r="D1817" s="222" t="s">
        <v>119</v>
      </c>
      <c r="E1817" s="218">
        <v>4</v>
      </c>
    </row>
    <row r="1818" spans="1:5" x14ac:dyDescent="0.35">
      <c r="A1818" s="3" t="str">
        <f>IF(D1818="","",(VLOOKUP($D1818,KEY!$B$5:$D$74,3,FALSE)))</f>
        <v/>
      </c>
      <c r="B1818" s="221">
        <f t="shared" si="12"/>
        <v>45778</v>
      </c>
      <c r="C1818" s="221" t="str">
        <f>IFERROR(VLOOKUP($B1818,KEY!$AE$19:$AH$60,2,FALSE),"")</f>
        <v>2025-Q2</v>
      </c>
      <c r="D1818" s="222"/>
      <c r="E1818" s="218"/>
    </row>
    <row r="1819" spans="1:5" x14ac:dyDescent="0.35">
      <c r="A1819" s="3" t="str">
        <f>IF(D1819="","",(VLOOKUP($D1819,KEY!$B$5:$D$74,3,FALSE)))</f>
        <v>Arizona</v>
      </c>
      <c r="B1819" s="221">
        <f t="shared" si="12"/>
        <v>45778</v>
      </c>
      <c r="C1819" s="221" t="str">
        <f>IFERROR(VLOOKUP($B1819,KEY!$AE$19:$AH$60,2,FALSE),"")</f>
        <v>2025-Q2</v>
      </c>
      <c r="D1819" s="222" t="s">
        <v>120</v>
      </c>
      <c r="E1819" s="218">
        <v>26</v>
      </c>
    </row>
    <row r="1820" spans="1:5" x14ac:dyDescent="0.35">
      <c r="A1820" s="3" t="str">
        <f>IF(D1820="","",(VLOOKUP($D1820,KEY!$B$5:$D$74,3,FALSE)))</f>
        <v>Texas</v>
      </c>
      <c r="B1820" s="221">
        <f t="shared" si="12"/>
        <v>45778</v>
      </c>
      <c r="C1820" s="221" t="str">
        <f>IFERROR(VLOOKUP($B1820,KEY!$AE$19:$AH$60,2,FALSE),"")</f>
        <v>2025-Q2</v>
      </c>
      <c r="D1820" s="222" t="s">
        <v>121</v>
      </c>
      <c r="E1820" s="218">
        <v>23</v>
      </c>
    </row>
    <row r="1821" spans="1:5" x14ac:dyDescent="0.35">
      <c r="A1821" s="3" t="str">
        <f>IF(D1821="","",(VLOOKUP($D1821,KEY!$B$5:$D$74,3,FALSE)))</f>
        <v>Michigan &amp; Minnesota</v>
      </c>
      <c r="B1821" s="221">
        <f t="shared" si="12"/>
        <v>45778</v>
      </c>
      <c r="C1821" s="221" t="str">
        <f>IFERROR(VLOOKUP($B1821,KEY!$AE$19:$AH$60,2,FALSE),"")</f>
        <v>2025-Q2</v>
      </c>
      <c r="D1821" s="222" t="s">
        <v>200</v>
      </c>
      <c r="E1821" s="218">
        <v>12</v>
      </c>
    </row>
    <row r="1822" spans="1:5" x14ac:dyDescent="0.35">
      <c r="A1822" s="3" t="str">
        <f>IF(D1822="","",(VLOOKUP($D1822,KEY!$B$5:$D$74,3,FALSE)))</f>
        <v>Southern California</v>
      </c>
      <c r="B1822" s="221">
        <f t="shared" si="12"/>
        <v>45778</v>
      </c>
      <c r="C1822" s="221" t="str">
        <f>IFERROR(VLOOKUP($B1822,KEY!$AE$19:$AH$60,2,FALSE),"")</f>
        <v>2025-Q2</v>
      </c>
      <c r="D1822" s="222" t="s">
        <v>122</v>
      </c>
      <c r="E1822" s="218">
        <v>11</v>
      </c>
    </row>
    <row r="1823" spans="1:5" x14ac:dyDescent="0.35">
      <c r="A1823" s="3" t="str">
        <f>IF(D1823="","",(VLOOKUP($D1823,KEY!$B$5:$D$74,3,FALSE)))</f>
        <v>Orange County</v>
      </c>
      <c r="B1823" s="221">
        <f t="shared" si="12"/>
        <v>45778</v>
      </c>
      <c r="C1823" s="221" t="str">
        <f>IFERROR(VLOOKUP($B1823,KEY!$AE$19:$AH$60,2,FALSE),"")</f>
        <v>2025-Q2</v>
      </c>
      <c r="D1823" s="222" t="s">
        <v>123</v>
      </c>
      <c r="E1823" s="218">
        <v>20</v>
      </c>
    </row>
    <row r="1824" spans="1:5" x14ac:dyDescent="0.35">
      <c r="A1824" s="3" t="str">
        <f>IF(D1824="","",(VLOOKUP($D1824,KEY!$B$5:$D$74,3,FALSE)))</f>
        <v>Southern California</v>
      </c>
      <c r="B1824" s="221">
        <f t="shared" si="12"/>
        <v>45778</v>
      </c>
      <c r="C1824" s="221" t="str">
        <f>IFERROR(VLOOKUP($B1824,KEY!$AE$19:$AH$60,2,FALSE),"")</f>
        <v>2025-Q2</v>
      </c>
      <c r="D1824" s="222" t="s">
        <v>124</v>
      </c>
      <c r="E1824" s="218">
        <v>20</v>
      </c>
    </row>
    <row r="1825" spans="1:5" x14ac:dyDescent="0.35">
      <c r="A1825" s="3" t="str">
        <f>IF(D1825="","",(VLOOKUP($D1825,KEY!$B$5:$D$74,3,FALSE)))</f>
        <v>Northern California</v>
      </c>
      <c r="B1825" s="221">
        <f t="shared" si="12"/>
        <v>45778</v>
      </c>
      <c r="C1825" s="221" t="str">
        <f>IFERROR(VLOOKUP($B1825,KEY!$AE$19:$AH$60,2,FALSE),"")</f>
        <v>2025-Q2</v>
      </c>
      <c r="D1825" s="222" t="s">
        <v>195</v>
      </c>
      <c r="E1825" s="218">
        <v>5</v>
      </c>
    </row>
    <row r="1826" spans="1:5" x14ac:dyDescent="0.35">
      <c r="A1826" s="3" t="str">
        <f>IF(D1826="","",(VLOOKUP($D1826,KEY!$B$5:$D$74,3,FALSE)))</f>
        <v>Northern California</v>
      </c>
      <c r="B1826" s="221">
        <f t="shared" si="12"/>
        <v>45778</v>
      </c>
      <c r="C1826" s="221" t="str">
        <f>IFERROR(VLOOKUP($B1826,KEY!$AE$19:$AH$60,2,FALSE),"")</f>
        <v>2025-Q2</v>
      </c>
      <c r="D1826" s="222" t="s">
        <v>125</v>
      </c>
      <c r="E1826" s="218">
        <v>21</v>
      </c>
    </row>
    <row r="1827" spans="1:5" x14ac:dyDescent="0.35">
      <c r="A1827" s="3" t="str">
        <f>IF(D1827="","",(VLOOKUP($D1827,KEY!$B$5:$D$74,3,FALSE)))</f>
        <v>Orange County</v>
      </c>
      <c r="B1827" s="221">
        <f t="shared" si="12"/>
        <v>45778</v>
      </c>
      <c r="C1827" s="221" t="str">
        <f>IFERROR(VLOOKUP($B1827,KEY!$AE$19:$AH$60,2,FALSE),"")</f>
        <v>2025-Q2</v>
      </c>
      <c r="D1827" s="222" t="s">
        <v>126</v>
      </c>
      <c r="E1827" s="218">
        <v>29</v>
      </c>
    </row>
    <row r="1828" spans="1:5" x14ac:dyDescent="0.35">
      <c r="A1828" s="3" t="str">
        <f>IF(D1828="","",(VLOOKUP($D1828,KEY!$B$5:$D$74,3,FALSE)))</f>
        <v>Orange County</v>
      </c>
      <c r="B1828" s="221">
        <f t="shared" si="12"/>
        <v>45778</v>
      </c>
      <c r="C1828" s="221" t="str">
        <f>IFERROR(VLOOKUP($B1828,KEY!$AE$19:$AH$60,2,FALSE),"")</f>
        <v>2025-Q2</v>
      </c>
      <c r="D1828" s="222" t="s">
        <v>127</v>
      </c>
      <c r="E1828" s="218">
        <v>3.5</v>
      </c>
    </row>
    <row r="1829" spans="1:5" x14ac:dyDescent="0.35">
      <c r="A1829" s="3" t="str">
        <f>IF(D1829="","",(VLOOKUP($D1829,KEY!$B$5:$D$74,3,FALSE)))</f>
        <v>Wisconsin</v>
      </c>
      <c r="B1829" s="221">
        <f t="shared" si="12"/>
        <v>45778</v>
      </c>
      <c r="C1829" s="221" t="str">
        <f>IFERROR(VLOOKUP($B1829,KEY!$AE$19:$AH$60,2,FALSE),"")</f>
        <v>2025-Q2</v>
      </c>
      <c r="D1829" s="222" t="s">
        <v>201</v>
      </c>
      <c r="E1829" s="218">
        <v>14</v>
      </c>
    </row>
    <row r="1830" spans="1:5" x14ac:dyDescent="0.35">
      <c r="A1830" s="3" t="e">
        <f>IF(D1830="","",(VLOOKUP($D1830,KEY!$B$5:$D$74,3,FALSE)))</f>
        <v>#N/A</v>
      </c>
      <c r="B1830" s="221">
        <f t="shared" si="12"/>
        <v>45778</v>
      </c>
      <c r="C1830" s="221" t="str">
        <f>IFERROR(VLOOKUP($B1830,KEY!$AE$19:$AH$60,2,FALSE),"")</f>
        <v>2025-Q2</v>
      </c>
      <c r="D1830" s="222" t="s">
        <v>202</v>
      </c>
      <c r="E1830" s="218">
        <v>3</v>
      </c>
    </row>
    <row r="1831" spans="1:5" x14ac:dyDescent="0.35">
      <c r="A1831" s="3" t="str">
        <f>IF(D1831="","",(VLOOKUP($D1831,KEY!$B$5:$D$74,3,FALSE)))</f>
        <v>Texas</v>
      </c>
      <c r="B1831" s="221">
        <f t="shared" si="12"/>
        <v>45778</v>
      </c>
      <c r="C1831" s="221" t="str">
        <f>IFERROR(VLOOKUP($B1831,KEY!$AE$19:$AH$60,2,FALSE),"")</f>
        <v>2025-Q2</v>
      </c>
      <c r="D1831" s="222" t="s">
        <v>198</v>
      </c>
      <c r="E1831" s="218">
        <v>8</v>
      </c>
    </row>
    <row r="1832" spans="1:5" x14ac:dyDescent="0.35">
      <c r="A1832" s="3" t="str">
        <f>IF(D1832="","",(VLOOKUP($D1832,KEY!$B$5:$D$74,3,FALSE)))</f>
        <v>Texas</v>
      </c>
      <c r="B1832" s="221">
        <f t="shared" si="12"/>
        <v>45778</v>
      </c>
      <c r="C1832" s="221" t="str">
        <f>IFERROR(VLOOKUP($B1832,KEY!$AE$19:$AH$60,2,FALSE),"")</f>
        <v>2025-Q2</v>
      </c>
      <c r="D1832" s="222" t="s">
        <v>128</v>
      </c>
      <c r="E1832" s="218">
        <v>17</v>
      </c>
    </row>
    <row r="1833" spans="1:5" x14ac:dyDescent="0.35">
      <c r="A1833" s="3" t="str">
        <f>IF(D1833="","",(VLOOKUP($D1833,KEY!$B$5:$D$74,3,FALSE)))</f>
        <v>Northern California</v>
      </c>
      <c r="B1833" s="221">
        <f t="shared" si="12"/>
        <v>45778</v>
      </c>
      <c r="C1833" s="221" t="str">
        <f>IFERROR(VLOOKUP($B1833,KEY!$AE$19:$AH$60,2,FALSE),"")</f>
        <v>2025-Q2</v>
      </c>
      <c r="D1833" s="222" t="s">
        <v>129</v>
      </c>
      <c r="E1833" s="218">
        <v>15</v>
      </c>
    </row>
    <row r="1834" spans="1:5" x14ac:dyDescent="0.35">
      <c r="A1834" s="3" t="str">
        <f>IF(D1834="","",(VLOOKUP($D1834,KEY!$B$5:$D$74,3,FALSE)))</f>
        <v>Southern California</v>
      </c>
      <c r="B1834" s="221">
        <f t="shared" si="12"/>
        <v>45778</v>
      </c>
      <c r="C1834" s="221" t="str">
        <f>IFERROR(VLOOKUP($B1834,KEY!$AE$19:$AH$60,2,FALSE),"")</f>
        <v>2025-Q2</v>
      </c>
      <c r="D1834" s="222" t="s">
        <v>130</v>
      </c>
      <c r="E1834" s="218">
        <v>12</v>
      </c>
    </row>
    <row r="1835" spans="1:5" x14ac:dyDescent="0.35">
      <c r="A1835" s="3" t="str">
        <f>IF(D1835="","",(VLOOKUP($D1835,KEY!$B$5:$D$74,3,FALSE)))</f>
        <v>Texas</v>
      </c>
      <c r="B1835" s="221">
        <f t="shared" si="12"/>
        <v>45778</v>
      </c>
      <c r="C1835" s="221" t="str">
        <f>IFERROR(VLOOKUP($B1835,KEY!$AE$19:$AH$60,2,FALSE),"")</f>
        <v>2025-Q2</v>
      </c>
      <c r="D1835" s="222" t="s">
        <v>210</v>
      </c>
      <c r="E1835" s="218">
        <v>6</v>
      </c>
    </row>
    <row r="1836" spans="1:5" x14ac:dyDescent="0.35">
      <c r="A1836" s="3" t="e">
        <f>IF(D1836="","",(VLOOKUP($D1836,KEY!$B$5:$D$74,3,FALSE)))</f>
        <v>#N/A</v>
      </c>
      <c r="B1836" s="221">
        <f t="shared" si="12"/>
        <v>45778</v>
      </c>
      <c r="C1836" s="221" t="str">
        <f>IFERROR(VLOOKUP($B1836,KEY!$AE$19:$AH$60,2,FALSE),"")</f>
        <v>2025-Q2</v>
      </c>
      <c r="D1836" s="222" t="s">
        <v>203</v>
      </c>
      <c r="E1836" s="218">
        <v>8</v>
      </c>
    </row>
    <row r="1837" spans="1:5" x14ac:dyDescent="0.35">
      <c r="A1837" s="3">
        <f>IF(D1837="","",(VLOOKUP($D1837,KEY!$B$5:$D$74,3,FALSE)))</f>
        <v>0</v>
      </c>
      <c r="B1837" s="221">
        <f t="shared" si="12"/>
        <v>45778</v>
      </c>
      <c r="C1837" s="221" t="str">
        <f>IFERROR(VLOOKUP($B1837,KEY!$AE$19:$AH$60,2,FALSE),"")</f>
        <v>2025-Q2</v>
      </c>
      <c r="D1837" s="222" t="s">
        <v>131</v>
      </c>
      <c r="E1837" s="218">
        <v>13</v>
      </c>
    </row>
    <row r="1838" spans="1:5" x14ac:dyDescent="0.35">
      <c r="A1838" s="3" t="e">
        <f>IF(D1838="","",(VLOOKUP($D1838,KEY!$B$5:$D$74,3,FALSE)))</f>
        <v>#N/A</v>
      </c>
      <c r="B1838" s="221">
        <f t="shared" si="12"/>
        <v>45778</v>
      </c>
      <c r="C1838" s="221" t="str">
        <f>IFERROR(VLOOKUP($B1838,KEY!$AE$19:$AH$60,2,FALSE),"")</f>
        <v>2025-Q2</v>
      </c>
      <c r="D1838" s="222" t="s">
        <v>134</v>
      </c>
      <c r="E1838" s="218">
        <v>5</v>
      </c>
    </row>
    <row r="1839" spans="1:5" x14ac:dyDescent="0.35">
      <c r="A1839" s="3" t="str">
        <f>IF(D1839="","",(VLOOKUP($D1839,KEY!$B$5:$D$74,3,FALSE)))</f>
        <v>Southern California</v>
      </c>
      <c r="B1839" s="221">
        <f t="shared" si="12"/>
        <v>45778</v>
      </c>
      <c r="C1839" s="221" t="str">
        <f>IFERROR(VLOOKUP($B1839,KEY!$AE$19:$AH$60,2,FALSE),"")</f>
        <v>2025-Q2</v>
      </c>
      <c r="D1839" s="222" t="s">
        <v>135</v>
      </c>
      <c r="E1839" s="218">
        <v>12</v>
      </c>
    </row>
    <row r="1840" spans="1:5" x14ac:dyDescent="0.35">
      <c r="A1840" s="3" t="str">
        <f>IF(D1840="","",(VLOOKUP($D1840,KEY!$B$5:$D$74,3,FALSE)))</f>
        <v>Arizona</v>
      </c>
      <c r="B1840" s="221">
        <f t="shared" si="12"/>
        <v>45778</v>
      </c>
      <c r="C1840" s="221" t="str">
        <f>IFERROR(VLOOKUP($B1840,KEY!$AE$19:$AH$60,2,FALSE),"")</f>
        <v>2025-Q2</v>
      </c>
      <c r="D1840" s="222" t="s">
        <v>204</v>
      </c>
      <c r="E1840" s="218">
        <v>1</v>
      </c>
    </row>
    <row r="1841" spans="1:5" x14ac:dyDescent="0.35">
      <c r="A1841" s="3" t="str">
        <f>IF(D1841="","",(VLOOKUP($D1841,KEY!$B$5:$D$74,3,FALSE)))</f>
        <v>Arizona</v>
      </c>
      <c r="B1841" s="221">
        <f t="shared" si="12"/>
        <v>45778</v>
      </c>
      <c r="C1841" s="221" t="str">
        <f>IFERROR(VLOOKUP($B1841,KEY!$AE$19:$AH$60,2,FALSE),"")</f>
        <v>2025-Q2</v>
      </c>
      <c r="D1841" s="222" t="s">
        <v>196</v>
      </c>
      <c r="E1841" s="218">
        <v>6</v>
      </c>
    </row>
    <row r="1842" spans="1:5" x14ac:dyDescent="0.35">
      <c r="A1842" s="3" t="str">
        <f>IF(D1842="","",(VLOOKUP($D1842,KEY!$B$5:$D$74,3,FALSE)))</f>
        <v>Arizona</v>
      </c>
      <c r="B1842" s="221">
        <f t="shared" si="12"/>
        <v>45778</v>
      </c>
      <c r="C1842" s="221" t="str">
        <f>IFERROR(VLOOKUP($B1842,KEY!$AE$19:$AH$60,2,FALSE),"")</f>
        <v>2025-Q2</v>
      </c>
      <c r="D1842" s="222" t="s">
        <v>197</v>
      </c>
      <c r="E1842" s="218">
        <v>11</v>
      </c>
    </row>
    <row r="1843" spans="1:5" x14ac:dyDescent="0.35">
      <c r="A1843" s="3" t="str">
        <f>IF(D1843="","",(VLOOKUP($D1843,KEY!$B$5:$D$74,3,FALSE)))</f>
        <v>Texas</v>
      </c>
      <c r="B1843" s="221">
        <f t="shared" si="12"/>
        <v>45778</v>
      </c>
      <c r="C1843" s="221" t="str">
        <f>IFERROR(VLOOKUP($B1843,KEY!$AE$19:$AH$60,2,FALSE),"")</f>
        <v>2025-Q2</v>
      </c>
      <c r="D1843" s="222" t="s">
        <v>136</v>
      </c>
      <c r="E1843" s="218">
        <v>15</v>
      </c>
    </row>
    <row r="1844" spans="1:5" x14ac:dyDescent="0.35">
      <c r="A1844" s="3" t="str">
        <f>IF(D1844="","",(VLOOKUP($D1844,KEY!$B$5:$D$74,3,FALSE)))</f>
        <v>Arizona</v>
      </c>
      <c r="B1844" s="221">
        <f t="shared" si="12"/>
        <v>45778</v>
      </c>
      <c r="C1844" s="221" t="str">
        <f>IFERROR(VLOOKUP($B1844,KEY!$AE$19:$AH$60,2,FALSE),"")</f>
        <v>2025-Q2</v>
      </c>
      <c r="D1844" s="222" t="s">
        <v>137</v>
      </c>
      <c r="E1844" s="218">
        <v>8</v>
      </c>
    </row>
    <row r="1845" spans="1:5" x14ac:dyDescent="0.35">
      <c r="A1845" s="3" t="str">
        <f>IF(D1845="","",(VLOOKUP($D1845,KEY!$B$5:$D$74,3,FALSE)))</f>
        <v>Texas</v>
      </c>
      <c r="B1845" s="221">
        <f t="shared" si="12"/>
        <v>45778</v>
      </c>
      <c r="C1845" s="221" t="str">
        <f>IFERROR(VLOOKUP($B1845,KEY!$AE$19:$AH$60,2,FALSE),"")</f>
        <v>2025-Q2</v>
      </c>
      <c r="D1845" s="222" t="s">
        <v>138</v>
      </c>
      <c r="E1845" s="218">
        <v>10</v>
      </c>
    </row>
    <row r="1846" spans="1:5" x14ac:dyDescent="0.35">
      <c r="A1846" s="3" t="str">
        <f>IF(D1846="","",(VLOOKUP($D1846,KEY!$B$5:$D$74,3,FALSE)))</f>
        <v>Southern California</v>
      </c>
      <c r="B1846" s="221">
        <f t="shared" si="12"/>
        <v>45778</v>
      </c>
      <c r="C1846" s="221" t="str">
        <f>IFERROR(VLOOKUP($B1846,KEY!$AE$19:$AH$60,2,FALSE),"")</f>
        <v>2025-Q2</v>
      </c>
      <c r="D1846" s="222" t="s">
        <v>139</v>
      </c>
      <c r="E1846" s="218">
        <v>12</v>
      </c>
    </row>
    <row r="1847" spans="1:5" x14ac:dyDescent="0.35">
      <c r="A1847" s="3" t="str">
        <f>IF(D1847="","",(VLOOKUP($D1847,KEY!$B$5:$D$74,3,FALSE)))</f>
        <v>Orange County</v>
      </c>
      <c r="B1847" s="221">
        <f t="shared" si="12"/>
        <v>45778</v>
      </c>
      <c r="C1847" s="221" t="str">
        <f>IFERROR(VLOOKUP($B1847,KEY!$AE$19:$AH$60,2,FALSE),"")</f>
        <v>2025-Q2</v>
      </c>
      <c r="D1847" s="222" t="s">
        <v>140</v>
      </c>
      <c r="E1847" s="218">
        <v>4</v>
      </c>
    </row>
    <row r="1848" spans="1:5" x14ac:dyDescent="0.35">
      <c r="A1848" s="3" t="str">
        <f>IF(D1848="","",(VLOOKUP($D1848,KEY!$B$5:$D$74,3,FALSE)))</f>
        <v>Southern California</v>
      </c>
      <c r="B1848" s="221">
        <f t="shared" si="12"/>
        <v>45778</v>
      </c>
      <c r="C1848" s="221" t="str">
        <f>IFERROR(VLOOKUP($B1848,KEY!$AE$19:$AH$60,2,FALSE),"")</f>
        <v>2025-Q2</v>
      </c>
      <c r="D1848" s="222" t="s">
        <v>142</v>
      </c>
      <c r="E1848" s="218">
        <v>5</v>
      </c>
    </row>
    <row r="1849" spans="1:5" x14ac:dyDescent="0.35">
      <c r="A1849" s="3" t="str">
        <f>IF(D1849="","",(VLOOKUP($D1849,KEY!$B$5:$D$74,3,FALSE)))</f>
        <v>Arizona</v>
      </c>
      <c r="B1849" s="221">
        <f t="shared" si="12"/>
        <v>45778</v>
      </c>
      <c r="C1849" s="221" t="str">
        <f>IFERROR(VLOOKUP($B1849,KEY!$AE$19:$AH$60,2,FALSE),"")</f>
        <v>2025-Q2</v>
      </c>
      <c r="D1849" s="222" t="s">
        <v>143</v>
      </c>
      <c r="E1849" s="218">
        <v>8</v>
      </c>
    </row>
    <row r="1850" spans="1:5" x14ac:dyDescent="0.35">
      <c r="A1850" s="3" t="str">
        <f>IF(D1850="","",(VLOOKUP($D1850,KEY!$B$5:$D$74,3,FALSE)))</f>
        <v>Arizona</v>
      </c>
      <c r="B1850" s="221">
        <f t="shared" si="12"/>
        <v>45778</v>
      </c>
      <c r="C1850" s="221" t="str">
        <f>IFERROR(VLOOKUP($B1850,KEY!$AE$19:$AH$60,2,FALSE),"")</f>
        <v>2025-Q2</v>
      </c>
      <c r="D1850" s="222" t="s">
        <v>144</v>
      </c>
      <c r="E1850" s="218">
        <v>23</v>
      </c>
    </row>
    <row r="1851" spans="1:5" x14ac:dyDescent="0.35">
      <c r="A1851" s="3" t="str">
        <f>IF(D1851="","",(VLOOKUP($D1851,KEY!$B$5:$D$74,3,FALSE)))</f>
        <v>Southern California</v>
      </c>
      <c r="B1851" s="221">
        <f t="shared" si="12"/>
        <v>45778</v>
      </c>
      <c r="C1851" s="221" t="str">
        <f>IFERROR(VLOOKUP($B1851,KEY!$AE$19:$AH$60,2,FALSE),"")</f>
        <v>2025-Q2</v>
      </c>
      <c r="D1851" s="222" t="s">
        <v>145</v>
      </c>
      <c r="E1851" s="218">
        <v>17</v>
      </c>
    </row>
    <row r="1852" spans="1:5" x14ac:dyDescent="0.35">
      <c r="A1852" s="3" t="str">
        <f>IF(D1852="","",(VLOOKUP($D1852,KEY!$B$5:$D$74,3,FALSE)))</f>
        <v>Arizona</v>
      </c>
      <c r="B1852" s="221">
        <f t="shared" si="12"/>
        <v>45778</v>
      </c>
      <c r="C1852" s="221" t="str">
        <f>IFERROR(VLOOKUP($B1852,KEY!$AE$19:$AH$60,2,FALSE),"")</f>
        <v>2025-Q2</v>
      </c>
      <c r="D1852" s="222" t="s">
        <v>146</v>
      </c>
      <c r="E1852" s="218">
        <v>4</v>
      </c>
    </row>
    <row r="1853" spans="1:5" x14ac:dyDescent="0.35">
      <c r="A1853" s="3" t="str">
        <f>IF(D1853="","",(VLOOKUP($D1853,KEY!$B$5:$D$74,3,FALSE)))</f>
        <v>Texas</v>
      </c>
      <c r="B1853" s="221">
        <f t="shared" si="12"/>
        <v>45778</v>
      </c>
      <c r="C1853" s="221" t="str">
        <f>IFERROR(VLOOKUP($B1853,KEY!$AE$19:$AH$60,2,FALSE),"")</f>
        <v>2025-Q2</v>
      </c>
      <c r="D1853" s="222" t="s">
        <v>147</v>
      </c>
      <c r="E1853" s="218">
        <v>4</v>
      </c>
    </row>
    <row r="1854" spans="1:5" x14ac:dyDescent="0.35">
      <c r="A1854" s="3" t="str">
        <f>IF(D1854="","",(VLOOKUP($D1854,KEY!$B$5:$D$74,3,FALSE)))</f>
        <v>Northern California</v>
      </c>
      <c r="B1854" s="221">
        <f t="shared" si="12"/>
        <v>45778</v>
      </c>
      <c r="C1854" s="221" t="str">
        <f>IFERROR(VLOOKUP($B1854,KEY!$AE$19:$AH$60,2,FALSE),"")</f>
        <v>2025-Q2</v>
      </c>
      <c r="D1854" s="222" t="s">
        <v>148</v>
      </c>
      <c r="E1854" s="218">
        <v>4</v>
      </c>
    </row>
    <row r="1855" spans="1:5" x14ac:dyDescent="0.35">
      <c r="A1855" s="3" t="str">
        <f>IF(D1855="","",(VLOOKUP($D1855,KEY!$B$5:$D$74,3,FALSE)))</f>
        <v>Orange County</v>
      </c>
      <c r="B1855" s="221">
        <f t="shared" si="12"/>
        <v>45778</v>
      </c>
      <c r="C1855" s="221" t="str">
        <f>IFERROR(VLOOKUP($B1855,KEY!$AE$19:$AH$60,2,FALSE),"")</f>
        <v>2025-Q2</v>
      </c>
      <c r="D1855" s="222" t="s">
        <v>149</v>
      </c>
      <c r="E1855" s="218">
        <v>3</v>
      </c>
    </row>
    <row r="1856" spans="1:5" x14ac:dyDescent="0.35">
      <c r="A1856" s="3" t="str">
        <f>IF(D1856="","",(VLOOKUP($D1856,KEY!$B$5:$D$74,3,FALSE)))</f>
        <v>Southern California</v>
      </c>
      <c r="B1856" s="221">
        <f t="shared" si="12"/>
        <v>45778</v>
      </c>
      <c r="C1856" s="221" t="str">
        <f>IFERROR(VLOOKUP($B1856,KEY!$AE$19:$AH$60,2,FALSE),"")</f>
        <v>2025-Q2</v>
      </c>
      <c r="D1856" s="222" t="s">
        <v>150</v>
      </c>
      <c r="E1856" s="218">
        <v>3</v>
      </c>
    </row>
    <row r="1857" spans="1:5" x14ac:dyDescent="0.35">
      <c r="A1857" s="3" t="str">
        <f>IF(D1857="","",(VLOOKUP($D1857,KEY!$B$5:$D$74,3,FALSE)))</f>
        <v>Arizona</v>
      </c>
      <c r="B1857" s="221">
        <f t="shared" si="12"/>
        <v>45778</v>
      </c>
      <c r="C1857" s="221" t="str">
        <f>IFERROR(VLOOKUP($B1857,KEY!$AE$19:$AH$60,2,FALSE),"")</f>
        <v>2025-Q2</v>
      </c>
      <c r="D1857" s="222" t="s">
        <v>151</v>
      </c>
      <c r="E1857" s="218">
        <v>3</v>
      </c>
    </row>
    <row r="1858" spans="1:5" x14ac:dyDescent="0.35">
      <c r="A1858" s="3" t="str">
        <f>IF(D1858="","",(VLOOKUP($D1858,KEY!$B$5:$D$74,3,FALSE)))</f>
        <v>Michigan &amp; Minnesota</v>
      </c>
      <c r="B1858" s="221">
        <f t="shared" si="12"/>
        <v>45778</v>
      </c>
      <c r="C1858" s="221" t="str">
        <f>IFERROR(VLOOKUP($B1858,KEY!$AE$19:$AH$60,2,FALSE),"")</f>
        <v>2025-Q2</v>
      </c>
      <c r="D1858" s="222" t="s">
        <v>206</v>
      </c>
      <c r="E1858" s="218">
        <v>18</v>
      </c>
    </row>
    <row r="1859" spans="1:5" x14ac:dyDescent="0.35">
      <c r="A1859" s="3" t="str">
        <f>IF(D1859="","",(VLOOKUP($D1859,KEY!$B$5:$D$74,3,FALSE)))</f>
        <v>Michigan &amp; Minnesota</v>
      </c>
      <c r="B1859" s="221">
        <f t="shared" si="12"/>
        <v>45778</v>
      </c>
      <c r="C1859" s="221" t="str">
        <f>IFERROR(VLOOKUP($B1859,KEY!$AE$19:$AH$60,2,FALSE),"")</f>
        <v>2025-Q2</v>
      </c>
      <c r="D1859" s="222" t="s">
        <v>207</v>
      </c>
      <c r="E1859" s="218">
        <v>5</v>
      </c>
    </row>
    <row r="1860" spans="1:5" x14ac:dyDescent="0.35">
      <c r="A1860" s="3" t="str">
        <f>IF(D1860="","",(VLOOKUP($D1860,KEY!$B$5:$D$74,3,FALSE)))</f>
        <v>Indiana</v>
      </c>
      <c r="B1860" s="221">
        <f t="shared" si="12"/>
        <v>45778</v>
      </c>
      <c r="C1860" s="221" t="str">
        <f>IFERROR(VLOOKUP($B1860,KEY!$AE$19:$AH$60,2,FALSE),"")</f>
        <v>2025-Q2</v>
      </c>
      <c r="D1860" s="222" t="s">
        <v>208</v>
      </c>
      <c r="E1860" s="218">
        <v>11</v>
      </c>
    </row>
    <row r="1861" spans="1:5" x14ac:dyDescent="0.35">
      <c r="A1861" s="3" t="str">
        <f>IF(D1861="","",(VLOOKUP($D1861,KEY!$B$5:$D$74,3,FALSE)))</f>
        <v>Indiana</v>
      </c>
      <c r="B1861" s="221">
        <f t="shared" si="12"/>
        <v>45778</v>
      </c>
      <c r="C1861" s="221" t="str">
        <f>IFERROR(VLOOKUP($B1861,KEY!$AE$19:$AH$60,2,FALSE),"")</f>
        <v>2025-Q2</v>
      </c>
      <c r="D1861" s="222" t="s">
        <v>209</v>
      </c>
      <c r="E1861" s="218">
        <v>24</v>
      </c>
    </row>
    <row r="1862" spans="1:5" x14ac:dyDescent="0.35">
      <c r="A1862" s="3" t="str">
        <f>IF(D1862="","",(VLOOKUP($D1862,KEY!$B$5:$D$74,3,FALSE)))</f>
        <v>Northern California</v>
      </c>
      <c r="B1862" s="221">
        <f t="shared" si="12"/>
        <v>45778</v>
      </c>
      <c r="C1862" s="221" t="str">
        <f>IFERROR(VLOOKUP($B1862,KEY!$AE$19:$AH$60,2,FALSE),"")</f>
        <v>2025-Q2</v>
      </c>
      <c r="D1862" s="222" t="s">
        <v>152</v>
      </c>
      <c r="E1862" s="218">
        <v>13</v>
      </c>
    </row>
    <row r="1863" spans="1:5" x14ac:dyDescent="0.35">
      <c r="A1863" s="3" t="str">
        <f>IF(D1863="","",(VLOOKUP($D1863,KEY!$B$5:$D$74,3,FALSE)))</f>
        <v>Arizona</v>
      </c>
      <c r="B1863" s="221">
        <f t="shared" si="12"/>
        <v>45778</v>
      </c>
      <c r="C1863" s="221" t="str">
        <f>IFERROR(VLOOKUP($B1863,KEY!$AE$19:$AH$60,2,FALSE),"")</f>
        <v>2025-Q2</v>
      </c>
      <c r="D1863" s="222" t="s">
        <v>153</v>
      </c>
      <c r="E1863" s="218">
        <v>14</v>
      </c>
    </row>
    <row r="1864" spans="1:5" x14ac:dyDescent="0.35">
      <c r="A1864" s="3" t="str">
        <f>IF(D1864="","",(VLOOKUP($D1864,KEY!$B$5:$D$74,3,FALSE)))</f>
        <v>Northern California</v>
      </c>
      <c r="B1864" s="221">
        <f t="shared" si="12"/>
        <v>45778</v>
      </c>
      <c r="C1864" s="221" t="str">
        <f>IFERROR(VLOOKUP($B1864,KEY!$AE$19:$AH$60,2,FALSE),"")</f>
        <v>2025-Q2</v>
      </c>
      <c r="D1864" s="222" t="s">
        <v>154</v>
      </c>
      <c r="E1864" s="218">
        <v>9</v>
      </c>
    </row>
    <row r="1865" spans="1:5" x14ac:dyDescent="0.35">
      <c r="A1865" s="3" t="str">
        <f>IF(D1865="","",(VLOOKUP($D1865,KEY!$B$5:$D$74,3,FALSE)))</f>
        <v>Texas</v>
      </c>
      <c r="B1865" s="221">
        <f t="shared" si="12"/>
        <v>45778</v>
      </c>
      <c r="C1865" s="221" t="str">
        <f>IFERROR(VLOOKUP($B1865,KEY!$AE$19:$AH$60,2,FALSE),"")</f>
        <v>2025-Q2</v>
      </c>
      <c r="D1865" s="222" t="s">
        <v>155</v>
      </c>
      <c r="E1865" s="218">
        <v>28</v>
      </c>
    </row>
    <row r="1866" spans="1:5" x14ac:dyDescent="0.35">
      <c r="A1866" s="3" t="str">
        <f>IF(D1866="","",(VLOOKUP($D1866,KEY!$B$5:$D$74,3,FALSE)))</f>
        <v>Texas</v>
      </c>
      <c r="B1866" s="221">
        <f t="shared" si="12"/>
        <v>45778</v>
      </c>
      <c r="C1866" s="221" t="str">
        <f>IFERROR(VLOOKUP($B1866,KEY!$AE$19:$AH$60,2,FALSE),"")</f>
        <v>2025-Q2</v>
      </c>
      <c r="D1866" s="222" t="s">
        <v>156</v>
      </c>
      <c r="E1866" s="218">
        <v>18</v>
      </c>
    </row>
    <row r="1867" spans="1:5" x14ac:dyDescent="0.35">
      <c r="A1867" s="3" t="str">
        <f>IF(D1867="","",(VLOOKUP($D1867,KEY!$B$5:$D$74,3,FALSE)))</f>
        <v>Texas</v>
      </c>
      <c r="B1867" s="221">
        <f t="shared" si="12"/>
        <v>45778</v>
      </c>
      <c r="C1867" s="221" t="str">
        <f>IFERROR(VLOOKUP($B1867,KEY!$AE$19:$AH$60,2,FALSE),"")</f>
        <v>2025-Q2</v>
      </c>
      <c r="D1867" s="222" t="s">
        <v>157</v>
      </c>
      <c r="E1867" s="218">
        <v>34</v>
      </c>
    </row>
    <row r="1868" spans="1:5" x14ac:dyDescent="0.35">
      <c r="A1868" s="3" t="str">
        <f>IF(D1868="","",(VLOOKUP($D1868,KEY!$B$5:$D$74,3,FALSE)))</f>
        <v>Arizona</v>
      </c>
      <c r="B1868" s="221">
        <f t="shared" si="12"/>
        <v>45778</v>
      </c>
      <c r="C1868" s="221" t="str">
        <f>IFERROR(VLOOKUP($B1868,KEY!$AE$19:$AH$60,2,FALSE),"")</f>
        <v>2025-Q2</v>
      </c>
      <c r="D1868" s="222" t="s">
        <v>158</v>
      </c>
      <c r="E1868" s="218">
        <v>6</v>
      </c>
    </row>
    <row r="1869" spans="1:5" x14ac:dyDescent="0.35">
      <c r="A1869" s="3" t="str">
        <f>IF(D1869="","",(VLOOKUP($D1869,KEY!$B$5:$D$74,3,FALSE)))</f>
        <v>Orange County</v>
      </c>
      <c r="B1869" s="221">
        <f t="shared" si="12"/>
        <v>45778</v>
      </c>
      <c r="C1869" s="221" t="str">
        <f>IFERROR(VLOOKUP($B1869,KEY!$AE$19:$AH$60,2,FALSE),"")</f>
        <v>2025-Q2</v>
      </c>
      <c r="D1869" s="222" t="s">
        <v>159</v>
      </c>
      <c r="E1869" s="218">
        <v>9</v>
      </c>
    </row>
    <row r="1870" spans="1:5" x14ac:dyDescent="0.35">
      <c r="A1870" s="3" t="str">
        <f>IF(D1870="","",(VLOOKUP($D1870,KEY!$B$5:$D$74,3,FALSE)))</f>
        <v>Arizona</v>
      </c>
      <c r="B1870" s="221">
        <f t="shared" si="12"/>
        <v>45778</v>
      </c>
      <c r="C1870" s="221" t="str">
        <f>IFERROR(VLOOKUP($B1870,KEY!$AE$19:$AH$60,2,FALSE),"")</f>
        <v>2025-Q2</v>
      </c>
      <c r="D1870" s="222" t="s">
        <v>160</v>
      </c>
      <c r="E1870" s="218">
        <v>23</v>
      </c>
    </row>
    <row r="1871" spans="1:5" x14ac:dyDescent="0.35">
      <c r="A1871" s="3" t="str">
        <f>IF(D1871="","",(VLOOKUP($D1871,KEY!$B$5:$D$74,3,FALSE)))</f>
        <v>Northern California</v>
      </c>
      <c r="B1871" s="221">
        <f t="shared" si="12"/>
        <v>45778</v>
      </c>
      <c r="C1871" s="221" t="str">
        <f>IFERROR(VLOOKUP($B1871,KEY!$AE$19:$AH$60,2,FALSE),"")</f>
        <v>2025-Q2</v>
      </c>
      <c r="D1871" s="222" t="s">
        <v>161</v>
      </c>
      <c r="E1871" s="218">
        <v>21</v>
      </c>
    </row>
    <row r="1872" spans="1:5" x14ac:dyDescent="0.35">
      <c r="A1872" s="3" t="str">
        <f>IF(D1872="","",(VLOOKUP($D1872,KEY!$B$5:$D$74,3,FALSE)))</f>
        <v>Arizona</v>
      </c>
      <c r="B1872" s="221">
        <f t="shared" si="12"/>
        <v>45778</v>
      </c>
      <c r="C1872" s="221" t="str">
        <f>IFERROR(VLOOKUP($B1872,KEY!$AE$19:$AH$60,2,FALSE),"")</f>
        <v>2025-Q2</v>
      </c>
      <c r="D1872" s="222" t="s">
        <v>163</v>
      </c>
      <c r="E1872" s="218">
        <v>19</v>
      </c>
    </row>
    <row r="1873" spans="1:5" x14ac:dyDescent="0.35">
      <c r="A1873" s="3" t="str">
        <f>IF(D1873="","",(VLOOKUP($D1873,KEY!$B$5:$D$74,3,FALSE)))</f>
        <v>Arizona</v>
      </c>
      <c r="B1873" s="221">
        <f t="shared" si="12"/>
        <v>45778</v>
      </c>
      <c r="C1873" s="221" t="str">
        <f>IFERROR(VLOOKUP($B1873,KEY!$AE$19:$AH$60,2,FALSE),"")</f>
        <v>2025-Q2</v>
      </c>
      <c r="D1873" s="222" t="s">
        <v>164</v>
      </c>
      <c r="E1873" s="218">
        <v>6</v>
      </c>
    </row>
    <row r="1874" spans="1:5" x14ac:dyDescent="0.35">
      <c r="A1874" s="3" t="str">
        <f>IF(D1874="","",(VLOOKUP($D1874,KEY!$B$5:$D$74,3,FALSE)))</f>
        <v>Orange County</v>
      </c>
      <c r="B1874" s="221">
        <f t="shared" ref="B1874:B1878" si="13">B1873</f>
        <v>45778</v>
      </c>
      <c r="C1874" s="221" t="str">
        <f>IFERROR(VLOOKUP($B1874,KEY!$AE$19:$AH$60,2,FALSE),"")</f>
        <v>2025-Q2</v>
      </c>
      <c r="D1874" s="222" t="s">
        <v>165</v>
      </c>
      <c r="E1874" s="218">
        <v>5</v>
      </c>
    </row>
    <row r="1875" spans="1:5" x14ac:dyDescent="0.35">
      <c r="A1875" s="3" t="str">
        <f>IF(D1875="","",(VLOOKUP($D1875,KEY!$B$5:$D$74,3,FALSE)))</f>
        <v/>
      </c>
      <c r="B1875" s="221">
        <f t="shared" si="13"/>
        <v>45778</v>
      </c>
      <c r="C1875" s="221" t="str">
        <f>IFERROR(VLOOKUP($B1875,KEY!$AE$19:$AH$60,2,FALSE),"")</f>
        <v>2025-Q2</v>
      </c>
      <c r="D1875" s="222"/>
      <c r="E1875" s="218"/>
    </row>
    <row r="1876" spans="1:5" x14ac:dyDescent="0.35">
      <c r="A1876" s="3" t="str">
        <f>IF(D1876="","",(VLOOKUP($D1876,KEY!$B$5:$D$74,3,FALSE)))</f>
        <v/>
      </c>
      <c r="B1876" s="221">
        <f t="shared" si="13"/>
        <v>45778</v>
      </c>
      <c r="C1876" s="221" t="str">
        <f>IFERROR(VLOOKUP($B1876,KEY!$AE$19:$AH$60,2,FALSE),"")</f>
        <v>2025-Q2</v>
      </c>
      <c r="D1876" s="222"/>
      <c r="E1876" s="218"/>
    </row>
    <row r="1877" spans="1:5" x14ac:dyDescent="0.35">
      <c r="A1877" s="3" t="str">
        <f>IF(D1877="","",(VLOOKUP($D1877,KEY!$B$5:$D$74,3,FALSE)))</f>
        <v/>
      </c>
      <c r="B1877" s="221">
        <f t="shared" si="13"/>
        <v>45778</v>
      </c>
      <c r="C1877" s="221" t="str">
        <f>IFERROR(VLOOKUP($B1877,KEY!$AE$19:$AH$60,2,FALSE),"")</f>
        <v>2025-Q2</v>
      </c>
      <c r="D1877" s="222"/>
      <c r="E1877" s="218"/>
    </row>
    <row r="1878" spans="1:5" x14ac:dyDescent="0.35">
      <c r="A1878" s="3" t="str">
        <f>IF(D1878="","",(VLOOKUP($D1878,KEY!$B$5:$D$74,3,FALSE)))</f>
        <v/>
      </c>
      <c r="B1878" s="221">
        <f t="shared" si="13"/>
        <v>45778</v>
      </c>
      <c r="C1878" s="221" t="str">
        <f>IFERROR(VLOOKUP($B1878,KEY!$AE$19:$AH$60,2,FALSE),"")</f>
        <v>2025-Q2</v>
      </c>
      <c r="D1878" s="222"/>
      <c r="E1878" s="218"/>
    </row>
    <row r="1879" spans="1:5" x14ac:dyDescent="0.35">
      <c r="A1879" s="3" t="str">
        <f>IF(D1879="","",(VLOOKUP($D1879,KEY!$B$5:$D$74,3,FALSE)))</f>
        <v>Arizona</v>
      </c>
      <c r="B1879" s="221">
        <f>DATE(YEAR(B1878+31),MONTH(B1878+31),1)</f>
        <v>45809</v>
      </c>
      <c r="C1879" s="221" t="str">
        <f>IFERROR(VLOOKUP($B1879,KEY!$AE$19:$AH$60,2,FALSE),"")</f>
        <v>2025-Q2</v>
      </c>
      <c r="D1879" s="222" t="s">
        <v>111</v>
      </c>
      <c r="E1879" s="218">
        <v>8</v>
      </c>
    </row>
    <row r="1880" spans="1:5" x14ac:dyDescent="0.35">
      <c r="A1880" s="3" t="str">
        <f>IF(D1880="","",(VLOOKUP($D1880,KEY!$B$5:$D$74,3,FALSE)))</f>
        <v>Southern California</v>
      </c>
      <c r="B1880" s="221">
        <f t="shared" ref="B1880:B1943" si="14">B1879</f>
        <v>45809</v>
      </c>
      <c r="C1880" s="221" t="str">
        <f>IFERROR(VLOOKUP($B1880,KEY!$AE$19:$AH$60,2,FALSE),"")</f>
        <v>2025-Q2</v>
      </c>
      <c r="D1880" s="222" t="s">
        <v>112</v>
      </c>
      <c r="E1880" s="218">
        <v>4</v>
      </c>
    </row>
    <row r="1881" spans="1:5" x14ac:dyDescent="0.35">
      <c r="A1881" s="3" t="str">
        <f>IF(D1881="","",(VLOOKUP($D1881,KEY!$B$5:$D$74,3,FALSE)))</f>
        <v>Arizona</v>
      </c>
      <c r="B1881" s="221">
        <f t="shared" si="14"/>
        <v>45809</v>
      </c>
      <c r="C1881" s="221" t="str">
        <f>IFERROR(VLOOKUP($B1881,KEY!$AE$19:$AH$60,2,FALSE),"")</f>
        <v>2025-Q2</v>
      </c>
      <c r="D1881" s="222" t="s">
        <v>113</v>
      </c>
      <c r="E1881" s="218">
        <v>6</v>
      </c>
    </row>
    <row r="1882" spans="1:5" x14ac:dyDescent="0.35">
      <c r="A1882" s="3" t="str">
        <f>IF(D1882="","",(VLOOKUP($D1882,KEY!$B$5:$D$74,3,FALSE)))</f>
        <v>Southern California</v>
      </c>
      <c r="B1882" s="221">
        <f t="shared" si="14"/>
        <v>45809</v>
      </c>
      <c r="C1882" s="221" t="str">
        <f>IFERROR(VLOOKUP($B1882,KEY!$AE$19:$AH$60,2,FALSE),"")</f>
        <v>2025-Q2</v>
      </c>
      <c r="D1882" s="222" t="s">
        <v>114</v>
      </c>
      <c r="E1882" s="218">
        <v>4</v>
      </c>
    </row>
    <row r="1883" spans="1:5" x14ac:dyDescent="0.35">
      <c r="A1883" s="3" t="str">
        <f>IF(D1883="","",(VLOOKUP($D1883,KEY!$B$5:$D$74,3,FALSE)))</f>
        <v>Orange County</v>
      </c>
      <c r="B1883" s="221">
        <f t="shared" si="14"/>
        <v>45809</v>
      </c>
      <c r="C1883" s="221" t="str">
        <f>IFERROR(VLOOKUP($B1883,KEY!$AE$19:$AH$60,2,FALSE),"")</f>
        <v>2025-Q2</v>
      </c>
      <c r="D1883" s="222" t="s">
        <v>115</v>
      </c>
      <c r="E1883" s="218">
        <v>4</v>
      </c>
    </row>
    <row r="1884" spans="1:5" x14ac:dyDescent="0.35">
      <c r="A1884" s="3" t="str">
        <f>IF(D1884="","",(VLOOKUP($D1884,KEY!$B$5:$D$74,3,FALSE)))</f>
        <v>Arizona</v>
      </c>
      <c r="B1884" s="221">
        <f t="shared" si="14"/>
        <v>45809</v>
      </c>
      <c r="C1884" s="221" t="str">
        <f>IFERROR(VLOOKUP($B1884,KEY!$AE$19:$AH$60,2,FALSE),"")</f>
        <v>2025-Q2</v>
      </c>
      <c r="D1884" s="222" t="s">
        <v>116</v>
      </c>
      <c r="E1884" s="218">
        <v>11</v>
      </c>
    </row>
    <row r="1885" spans="1:5" x14ac:dyDescent="0.35">
      <c r="A1885" s="3" t="str">
        <f>IF(D1885="","",(VLOOKUP($D1885,KEY!$B$5:$D$74,3,FALSE)))</f>
        <v>Northern California</v>
      </c>
      <c r="B1885" s="221">
        <f t="shared" si="14"/>
        <v>45809</v>
      </c>
      <c r="C1885" s="221" t="str">
        <f>IFERROR(VLOOKUP($B1885,KEY!$AE$19:$AH$60,2,FALSE),"")</f>
        <v>2025-Q2</v>
      </c>
      <c r="D1885" s="222" t="s">
        <v>118</v>
      </c>
      <c r="E1885" s="218">
        <v>14</v>
      </c>
    </row>
    <row r="1886" spans="1:5" x14ac:dyDescent="0.35">
      <c r="A1886" s="3" t="str">
        <f>IF(D1886="","",(VLOOKUP($D1886,KEY!$B$5:$D$74,3,FALSE)))</f>
        <v>Orange County</v>
      </c>
      <c r="B1886" s="221">
        <f t="shared" si="14"/>
        <v>45809</v>
      </c>
      <c r="C1886" s="221" t="str">
        <f>IFERROR(VLOOKUP($B1886,KEY!$AE$19:$AH$60,2,FALSE),"")</f>
        <v>2025-Q2</v>
      </c>
      <c r="D1886" s="222" t="s">
        <v>117</v>
      </c>
      <c r="E1886" s="218">
        <v>4</v>
      </c>
    </row>
    <row r="1887" spans="1:5" x14ac:dyDescent="0.35">
      <c r="A1887" s="3" t="str">
        <f>IF(D1887="","",(VLOOKUP($D1887,KEY!$B$5:$D$74,3,FALSE)))</f>
        <v>Arizona</v>
      </c>
      <c r="B1887" s="221">
        <f t="shared" si="14"/>
        <v>45809</v>
      </c>
      <c r="C1887" s="221" t="str">
        <f>IFERROR(VLOOKUP($B1887,KEY!$AE$19:$AH$60,2,FALSE),"")</f>
        <v>2025-Q2</v>
      </c>
      <c r="D1887" s="222" t="s">
        <v>119</v>
      </c>
      <c r="E1887" s="218">
        <v>4</v>
      </c>
    </row>
    <row r="1888" spans="1:5" x14ac:dyDescent="0.35">
      <c r="A1888" s="3" t="str">
        <f>IF(D1888="","",(VLOOKUP($D1888,KEY!$B$5:$D$74,3,FALSE)))</f>
        <v/>
      </c>
      <c r="B1888" s="221">
        <f t="shared" si="14"/>
        <v>45809</v>
      </c>
      <c r="C1888" s="221" t="str">
        <f>IFERROR(VLOOKUP($B1888,KEY!$AE$19:$AH$60,2,FALSE),"")</f>
        <v>2025-Q2</v>
      </c>
      <c r="D1888" s="222"/>
      <c r="E1888" s="218"/>
    </row>
    <row r="1889" spans="1:5" x14ac:dyDescent="0.35">
      <c r="A1889" s="3" t="str">
        <f>IF(D1889="","",(VLOOKUP($D1889,KEY!$B$5:$D$74,3,FALSE)))</f>
        <v>Arizona</v>
      </c>
      <c r="B1889" s="221">
        <f t="shared" si="14"/>
        <v>45809</v>
      </c>
      <c r="C1889" s="221" t="str">
        <f>IFERROR(VLOOKUP($B1889,KEY!$AE$19:$AH$60,2,FALSE),"")</f>
        <v>2025-Q2</v>
      </c>
      <c r="D1889" s="222" t="s">
        <v>120</v>
      </c>
      <c r="E1889" s="218">
        <v>26</v>
      </c>
    </row>
    <row r="1890" spans="1:5" x14ac:dyDescent="0.35">
      <c r="A1890" s="3" t="str">
        <f>IF(D1890="","",(VLOOKUP($D1890,KEY!$B$5:$D$74,3,FALSE)))</f>
        <v>Texas</v>
      </c>
      <c r="B1890" s="221">
        <f t="shared" si="14"/>
        <v>45809</v>
      </c>
      <c r="C1890" s="221" t="str">
        <f>IFERROR(VLOOKUP($B1890,KEY!$AE$19:$AH$60,2,FALSE),"")</f>
        <v>2025-Q2</v>
      </c>
      <c r="D1890" s="222" t="s">
        <v>121</v>
      </c>
      <c r="E1890" s="218">
        <v>23</v>
      </c>
    </row>
    <row r="1891" spans="1:5" x14ac:dyDescent="0.35">
      <c r="A1891" s="3" t="str">
        <f>IF(D1891="","",(VLOOKUP($D1891,KEY!$B$5:$D$74,3,FALSE)))</f>
        <v>Michigan &amp; Minnesota</v>
      </c>
      <c r="B1891" s="221">
        <f t="shared" si="14"/>
        <v>45809</v>
      </c>
      <c r="C1891" s="221" t="str">
        <f>IFERROR(VLOOKUP($B1891,KEY!$AE$19:$AH$60,2,FALSE),"")</f>
        <v>2025-Q2</v>
      </c>
      <c r="D1891" s="222" t="s">
        <v>200</v>
      </c>
      <c r="E1891" s="218">
        <v>12</v>
      </c>
    </row>
    <row r="1892" spans="1:5" x14ac:dyDescent="0.35">
      <c r="A1892" s="3" t="str">
        <f>IF(D1892="","",(VLOOKUP($D1892,KEY!$B$5:$D$74,3,FALSE)))</f>
        <v>Southern California</v>
      </c>
      <c r="B1892" s="221">
        <f t="shared" si="14"/>
        <v>45809</v>
      </c>
      <c r="C1892" s="221" t="str">
        <f>IFERROR(VLOOKUP($B1892,KEY!$AE$19:$AH$60,2,FALSE),"")</f>
        <v>2025-Q2</v>
      </c>
      <c r="D1892" s="222" t="s">
        <v>122</v>
      </c>
      <c r="E1892" s="218">
        <v>10</v>
      </c>
    </row>
    <row r="1893" spans="1:5" x14ac:dyDescent="0.35">
      <c r="A1893" s="3" t="str">
        <f>IF(D1893="","",(VLOOKUP($D1893,KEY!$B$5:$D$74,3,FALSE)))</f>
        <v>Orange County</v>
      </c>
      <c r="B1893" s="221">
        <f t="shared" si="14"/>
        <v>45809</v>
      </c>
      <c r="C1893" s="221" t="str">
        <f>IFERROR(VLOOKUP($B1893,KEY!$AE$19:$AH$60,2,FALSE),"")</f>
        <v>2025-Q2</v>
      </c>
      <c r="D1893" s="222" t="s">
        <v>123</v>
      </c>
      <c r="E1893" s="218">
        <v>19</v>
      </c>
    </row>
    <row r="1894" spans="1:5" x14ac:dyDescent="0.35">
      <c r="A1894" s="3" t="str">
        <f>IF(D1894="","",(VLOOKUP($D1894,KEY!$B$5:$D$74,3,FALSE)))</f>
        <v>Southern California</v>
      </c>
      <c r="B1894" s="221">
        <f t="shared" si="14"/>
        <v>45809</v>
      </c>
      <c r="C1894" s="221" t="str">
        <f>IFERROR(VLOOKUP($B1894,KEY!$AE$19:$AH$60,2,FALSE),"")</f>
        <v>2025-Q2</v>
      </c>
      <c r="D1894" s="222" t="s">
        <v>124</v>
      </c>
      <c r="E1894" s="218">
        <v>22</v>
      </c>
    </row>
    <row r="1895" spans="1:5" x14ac:dyDescent="0.35">
      <c r="A1895" s="3" t="str">
        <f>IF(D1895="","",(VLOOKUP($D1895,KEY!$B$5:$D$74,3,FALSE)))</f>
        <v>Northern California</v>
      </c>
      <c r="B1895" s="221">
        <f t="shared" si="14"/>
        <v>45809</v>
      </c>
      <c r="C1895" s="221" t="str">
        <f>IFERROR(VLOOKUP($B1895,KEY!$AE$19:$AH$60,2,FALSE),"")</f>
        <v>2025-Q2</v>
      </c>
      <c r="D1895" s="222" t="s">
        <v>195</v>
      </c>
      <c r="E1895" s="218">
        <v>6</v>
      </c>
    </row>
    <row r="1896" spans="1:5" x14ac:dyDescent="0.35">
      <c r="A1896" s="3" t="str">
        <f>IF(D1896="","",(VLOOKUP($D1896,KEY!$B$5:$D$74,3,FALSE)))</f>
        <v>Northern California</v>
      </c>
      <c r="B1896" s="221">
        <f t="shared" si="14"/>
        <v>45809</v>
      </c>
      <c r="C1896" s="221" t="str">
        <f>IFERROR(VLOOKUP($B1896,KEY!$AE$19:$AH$60,2,FALSE),"")</f>
        <v>2025-Q2</v>
      </c>
      <c r="D1896" s="222" t="s">
        <v>125</v>
      </c>
      <c r="E1896" s="218">
        <v>23</v>
      </c>
    </row>
    <row r="1897" spans="1:5" x14ac:dyDescent="0.35">
      <c r="A1897" s="3" t="str">
        <f>IF(D1897="","",(VLOOKUP($D1897,KEY!$B$5:$D$74,3,FALSE)))</f>
        <v>Orange County</v>
      </c>
      <c r="B1897" s="221">
        <f t="shared" si="14"/>
        <v>45809</v>
      </c>
      <c r="C1897" s="221" t="str">
        <f>IFERROR(VLOOKUP($B1897,KEY!$AE$19:$AH$60,2,FALSE),"")</f>
        <v>2025-Q2</v>
      </c>
      <c r="D1897" s="222" t="s">
        <v>126</v>
      </c>
      <c r="E1897" s="218">
        <v>27</v>
      </c>
    </row>
    <row r="1898" spans="1:5" x14ac:dyDescent="0.35">
      <c r="A1898" s="3" t="str">
        <f>IF(D1898="","",(VLOOKUP($D1898,KEY!$B$5:$D$74,3,FALSE)))</f>
        <v>Orange County</v>
      </c>
      <c r="B1898" s="221">
        <f t="shared" si="14"/>
        <v>45809</v>
      </c>
      <c r="C1898" s="221" t="str">
        <f>IFERROR(VLOOKUP($B1898,KEY!$AE$19:$AH$60,2,FALSE),"")</f>
        <v>2025-Q2</v>
      </c>
      <c r="D1898" s="222" t="s">
        <v>127</v>
      </c>
      <c r="E1898" s="218">
        <v>3.5</v>
      </c>
    </row>
    <row r="1899" spans="1:5" x14ac:dyDescent="0.35">
      <c r="A1899" s="3" t="str">
        <f>IF(D1899="","",(VLOOKUP($D1899,KEY!$B$5:$D$74,3,FALSE)))</f>
        <v>Wisconsin</v>
      </c>
      <c r="B1899" s="221">
        <f t="shared" si="14"/>
        <v>45809</v>
      </c>
      <c r="C1899" s="221" t="str">
        <f>IFERROR(VLOOKUP($B1899,KEY!$AE$19:$AH$60,2,FALSE),"")</f>
        <v>2025-Q2</v>
      </c>
      <c r="D1899" s="222" t="s">
        <v>201</v>
      </c>
      <c r="E1899" s="218">
        <v>14</v>
      </c>
    </row>
    <row r="1900" spans="1:5" x14ac:dyDescent="0.35">
      <c r="A1900" s="3" t="e">
        <f>IF(D1900="","",(VLOOKUP($D1900,KEY!$B$5:$D$74,3,FALSE)))</f>
        <v>#N/A</v>
      </c>
      <c r="B1900" s="221">
        <f t="shared" si="14"/>
        <v>45809</v>
      </c>
      <c r="C1900" s="221" t="str">
        <f>IFERROR(VLOOKUP($B1900,KEY!$AE$19:$AH$60,2,FALSE),"")</f>
        <v>2025-Q2</v>
      </c>
      <c r="D1900" s="222" t="s">
        <v>202</v>
      </c>
      <c r="E1900" s="218">
        <v>3</v>
      </c>
    </row>
    <row r="1901" spans="1:5" x14ac:dyDescent="0.35">
      <c r="A1901" s="3" t="str">
        <f>IF(D1901="","",(VLOOKUP($D1901,KEY!$B$5:$D$74,3,FALSE)))</f>
        <v>Texas</v>
      </c>
      <c r="B1901" s="221">
        <f t="shared" si="14"/>
        <v>45809</v>
      </c>
      <c r="C1901" s="221" t="str">
        <f>IFERROR(VLOOKUP($B1901,KEY!$AE$19:$AH$60,2,FALSE),"")</f>
        <v>2025-Q2</v>
      </c>
      <c r="D1901" s="222" t="s">
        <v>198</v>
      </c>
      <c r="E1901" s="218">
        <v>8</v>
      </c>
    </row>
    <row r="1902" spans="1:5" x14ac:dyDescent="0.35">
      <c r="A1902" s="3" t="str">
        <f>IF(D1902="","",(VLOOKUP($D1902,KEY!$B$5:$D$74,3,FALSE)))</f>
        <v>Texas</v>
      </c>
      <c r="B1902" s="221">
        <f t="shared" si="14"/>
        <v>45809</v>
      </c>
      <c r="C1902" s="221" t="str">
        <f>IFERROR(VLOOKUP($B1902,KEY!$AE$19:$AH$60,2,FALSE),"")</f>
        <v>2025-Q2</v>
      </c>
      <c r="D1902" s="222" t="s">
        <v>128</v>
      </c>
      <c r="E1902" s="218">
        <v>17</v>
      </c>
    </row>
    <row r="1903" spans="1:5" x14ac:dyDescent="0.35">
      <c r="A1903" s="3" t="str">
        <f>IF(D1903="","",(VLOOKUP($D1903,KEY!$B$5:$D$74,3,FALSE)))</f>
        <v>Northern California</v>
      </c>
      <c r="B1903" s="221">
        <f t="shared" si="14"/>
        <v>45809</v>
      </c>
      <c r="C1903" s="221" t="str">
        <f>IFERROR(VLOOKUP($B1903,KEY!$AE$19:$AH$60,2,FALSE),"")</f>
        <v>2025-Q2</v>
      </c>
      <c r="D1903" s="222" t="s">
        <v>129</v>
      </c>
      <c r="E1903" s="218">
        <v>15</v>
      </c>
    </row>
    <row r="1904" spans="1:5" x14ac:dyDescent="0.35">
      <c r="A1904" s="3" t="str">
        <f>IF(D1904="","",(VLOOKUP($D1904,KEY!$B$5:$D$74,3,FALSE)))</f>
        <v>Southern California</v>
      </c>
      <c r="B1904" s="221">
        <f t="shared" si="14"/>
        <v>45809</v>
      </c>
      <c r="C1904" s="221" t="str">
        <f>IFERROR(VLOOKUP($B1904,KEY!$AE$19:$AH$60,2,FALSE),"")</f>
        <v>2025-Q2</v>
      </c>
      <c r="D1904" s="222" t="s">
        <v>130</v>
      </c>
      <c r="E1904" s="218">
        <v>13</v>
      </c>
    </row>
    <row r="1905" spans="1:5" x14ac:dyDescent="0.35">
      <c r="A1905" s="3" t="str">
        <f>IF(D1905="","",(VLOOKUP($D1905,KEY!$B$5:$D$74,3,FALSE)))</f>
        <v>Texas</v>
      </c>
      <c r="B1905" s="221">
        <f t="shared" si="14"/>
        <v>45809</v>
      </c>
      <c r="C1905" s="221" t="str">
        <f>IFERROR(VLOOKUP($B1905,KEY!$AE$19:$AH$60,2,FALSE),"")</f>
        <v>2025-Q2</v>
      </c>
      <c r="D1905" s="222" t="s">
        <v>210</v>
      </c>
      <c r="E1905" s="218">
        <v>6</v>
      </c>
    </row>
    <row r="1906" spans="1:5" x14ac:dyDescent="0.35">
      <c r="A1906" s="3" t="e">
        <f>IF(D1906="","",(VLOOKUP($D1906,KEY!$B$5:$D$74,3,FALSE)))</f>
        <v>#N/A</v>
      </c>
      <c r="B1906" s="221">
        <f t="shared" si="14"/>
        <v>45809</v>
      </c>
      <c r="C1906" s="221" t="str">
        <f>IFERROR(VLOOKUP($B1906,KEY!$AE$19:$AH$60,2,FALSE),"")</f>
        <v>2025-Q2</v>
      </c>
      <c r="D1906" s="222" t="s">
        <v>203</v>
      </c>
      <c r="E1906" s="218">
        <v>8</v>
      </c>
    </row>
    <row r="1907" spans="1:5" x14ac:dyDescent="0.35">
      <c r="A1907" s="3">
        <f>IF(D1907="","",(VLOOKUP($D1907,KEY!$B$5:$D$74,3,FALSE)))</f>
        <v>0</v>
      </c>
      <c r="B1907" s="221">
        <f t="shared" si="14"/>
        <v>45809</v>
      </c>
      <c r="C1907" s="221" t="str">
        <f>IFERROR(VLOOKUP($B1907,KEY!$AE$19:$AH$60,2,FALSE),"")</f>
        <v>2025-Q2</v>
      </c>
      <c r="D1907" s="222" t="s">
        <v>131</v>
      </c>
      <c r="E1907" s="218">
        <v>13</v>
      </c>
    </row>
    <row r="1908" spans="1:5" x14ac:dyDescent="0.35">
      <c r="A1908" s="3" t="e">
        <f>IF(D1908="","",(VLOOKUP($D1908,KEY!$B$5:$D$74,3,FALSE)))</f>
        <v>#N/A</v>
      </c>
      <c r="B1908" s="221">
        <f t="shared" si="14"/>
        <v>45809</v>
      </c>
      <c r="C1908" s="221" t="str">
        <f>IFERROR(VLOOKUP($B1908,KEY!$AE$19:$AH$60,2,FALSE),"")</f>
        <v>2025-Q2</v>
      </c>
      <c r="D1908" s="222" t="s">
        <v>134</v>
      </c>
      <c r="E1908" s="218">
        <v>5</v>
      </c>
    </row>
    <row r="1909" spans="1:5" x14ac:dyDescent="0.35">
      <c r="A1909" s="3" t="str">
        <f>IF(D1909="","",(VLOOKUP($D1909,KEY!$B$5:$D$74,3,FALSE)))</f>
        <v>Southern California</v>
      </c>
      <c r="B1909" s="221">
        <f t="shared" si="14"/>
        <v>45809</v>
      </c>
      <c r="C1909" s="221" t="str">
        <f>IFERROR(VLOOKUP($B1909,KEY!$AE$19:$AH$60,2,FALSE),"")</f>
        <v>2025-Q2</v>
      </c>
      <c r="D1909" s="222" t="s">
        <v>135</v>
      </c>
      <c r="E1909" s="218">
        <v>12</v>
      </c>
    </row>
    <row r="1910" spans="1:5" x14ac:dyDescent="0.35">
      <c r="A1910" s="3" t="str">
        <f>IF(D1910="","",(VLOOKUP($D1910,KEY!$B$5:$D$74,3,FALSE)))</f>
        <v>Arizona</v>
      </c>
      <c r="B1910" s="221">
        <f t="shared" si="14"/>
        <v>45809</v>
      </c>
      <c r="C1910" s="221" t="str">
        <f>IFERROR(VLOOKUP($B1910,KEY!$AE$19:$AH$60,2,FALSE),"")</f>
        <v>2025-Q2</v>
      </c>
      <c r="D1910" s="222" t="s">
        <v>204</v>
      </c>
      <c r="E1910" s="218">
        <v>1</v>
      </c>
    </row>
    <row r="1911" spans="1:5" x14ac:dyDescent="0.35">
      <c r="A1911" s="3" t="str">
        <f>IF(D1911="","",(VLOOKUP($D1911,KEY!$B$5:$D$74,3,FALSE)))</f>
        <v>Arizona</v>
      </c>
      <c r="B1911" s="221">
        <f t="shared" si="14"/>
        <v>45809</v>
      </c>
      <c r="C1911" s="221" t="str">
        <f>IFERROR(VLOOKUP($B1911,KEY!$AE$19:$AH$60,2,FALSE),"")</f>
        <v>2025-Q2</v>
      </c>
      <c r="D1911" s="222" t="s">
        <v>196</v>
      </c>
      <c r="E1911" s="218">
        <v>6</v>
      </c>
    </row>
    <row r="1912" spans="1:5" x14ac:dyDescent="0.35">
      <c r="A1912" s="3" t="str">
        <f>IF(D1912="","",(VLOOKUP($D1912,KEY!$B$5:$D$74,3,FALSE)))</f>
        <v>Arizona</v>
      </c>
      <c r="B1912" s="221">
        <f t="shared" si="14"/>
        <v>45809</v>
      </c>
      <c r="C1912" s="221" t="str">
        <f>IFERROR(VLOOKUP($B1912,KEY!$AE$19:$AH$60,2,FALSE),"")</f>
        <v>2025-Q2</v>
      </c>
      <c r="D1912" s="222" t="s">
        <v>197</v>
      </c>
      <c r="E1912" s="218">
        <v>12</v>
      </c>
    </row>
    <row r="1913" spans="1:5" x14ac:dyDescent="0.35">
      <c r="A1913" s="3" t="str">
        <f>IF(D1913="","",(VLOOKUP($D1913,KEY!$B$5:$D$74,3,FALSE)))</f>
        <v>Texas</v>
      </c>
      <c r="B1913" s="221">
        <f t="shared" si="14"/>
        <v>45809</v>
      </c>
      <c r="C1913" s="221" t="str">
        <f>IFERROR(VLOOKUP($B1913,KEY!$AE$19:$AH$60,2,FALSE),"")</f>
        <v>2025-Q2</v>
      </c>
      <c r="D1913" s="222" t="s">
        <v>136</v>
      </c>
      <c r="E1913" s="218">
        <v>15</v>
      </c>
    </row>
    <row r="1914" spans="1:5" x14ac:dyDescent="0.35">
      <c r="A1914" s="3" t="str">
        <f>IF(D1914="","",(VLOOKUP($D1914,KEY!$B$5:$D$74,3,FALSE)))</f>
        <v>Arizona</v>
      </c>
      <c r="B1914" s="221">
        <f t="shared" si="14"/>
        <v>45809</v>
      </c>
      <c r="C1914" s="221" t="str">
        <f>IFERROR(VLOOKUP($B1914,KEY!$AE$19:$AH$60,2,FALSE),"")</f>
        <v>2025-Q2</v>
      </c>
      <c r="D1914" s="222" t="s">
        <v>137</v>
      </c>
      <c r="E1914" s="218">
        <v>6</v>
      </c>
    </row>
    <row r="1915" spans="1:5" x14ac:dyDescent="0.35">
      <c r="A1915" s="3" t="str">
        <f>IF(D1915="","",(VLOOKUP($D1915,KEY!$B$5:$D$74,3,FALSE)))</f>
        <v>Texas</v>
      </c>
      <c r="B1915" s="221">
        <f t="shared" si="14"/>
        <v>45809</v>
      </c>
      <c r="C1915" s="221" t="str">
        <f>IFERROR(VLOOKUP($B1915,KEY!$AE$19:$AH$60,2,FALSE),"")</f>
        <v>2025-Q2</v>
      </c>
      <c r="D1915" s="222" t="s">
        <v>138</v>
      </c>
      <c r="E1915" s="218">
        <v>10</v>
      </c>
    </row>
    <row r="1916" spans="1:5" x14ac:dyDescent="0.35">
      <c r="A1916" s="3" t="str">
        <f>IF(D1916="","",(VLOOKUP($D1916,KEY!$B$5:$D$74,3,FALSE)))</f>
        <v>Southern California</v>
      </c>
      <c r="B1916" s="221">
        <f t="shared" si="14"/>
        <v>45809</v>
      </c>
      <c r="C1916" s="221" t="str">
        <f>IFERROR(VLOOKUP($B1916,KEY!$AE$19:$AH$60,2,FALSE),"")</f>
        <v>2025-Q2</v>
      </c>
      <c r="D1916" s="222" t="s">
        <v>139</v>
      </c>
      <c r="E1916" s="218">
        <v>12</v>
      </c>
    </row>
    <row r="1917" spans="1:5" x14ac:dyDescent="0.35">
      <c r="A1917" s="3" t="str">
        <f>IF(D1917="","",(VLOOKUP($D1917,KEY!$B$5:$D$74,3,FALSE)))</f>
        <v>Orange County</v>
      </c>
      <c r="B1917" s="221">
        <f t="shared" si="14"/>
        <v>45809</v>
      </c>
      <c r="C1917" s="221" t="str">
        <f>IFERROR(VLOOKUP($B1917,KEY!$AE$19:$AH$60,2,FALSE),"")</f>
        <v>2025-Q2</v>
      </c>
      <c r="D1917" s="222" t="s">
        <v>140</v>
      </c>
      <c r="E1917" s="218">
        <v>4</v>
      </c>
    </row>
    <row r="1918" spans="1:5" x14ac:dyDescent="0.35">
      <c r="A1918" s="3" t="str">
        <f>IF(D1918="","",(VLOOKUP($D1918,KEY!$B$5:$D$74,3,FALSE)))</f>
        <v>Southern California</v>
      </c>
      <c r="B1918" s="221">
        <f t="shared" si="14"/>
        <v>45809</v>
      </c>
      <c r="C1918" s="221" t="str">
        <f>IFERROR(VLOOKUP($B1918,KEY!$AE$19:$AH$60,2,FALSE),"")</f>
        <v>2025-Q2</v>
      </c>
      <c r="D1918" s="222" t="s">
        <v>142</v>
      </c>
      <c r="E1918" s="218">
        <v>5</v>
      </c>
    </row>
    <row r="1919" spans="1:5" x14ac:dyDescent="0.35">
      <c r="A1919" s="3" t="str">
        <f>IF(D1919="","",(VLOOKUP($D1919,KEY!$B$5:$D$74,3,FALSE)))</f>
        <v>Arizona</v>
      </c>
      <c r="B1919" s="221">
        <f t="shared" si="14"/>
        <v>45809</v>
      </c>
      <c r="C1919" s="221" t="str">
        <f>IFERROR(VLOOKUP($B1919,KEY!$AE$19:$AH$60,2,FALSE),"")</f>
        <v>2025-Q2</v>
      </c>
      <c r="D1919" s="222" t="s">
        <v>143</v>
      </c>
      <c r="E1919" s="218">
        <v>8</v>
      </c>
    </row>
    <row r="1920" spans="1:5" x14ac:dyDescent="0.35">
      <c r="A1920" s="3" t="str">
        <f>IF(D1920="","",(VLOOKUP($D1920,KEY!$B$5:$D$74,3,FALSE)))</f>
        <v>Arizona</v>
      </c>
      <c r="B1920" s="221">
        <f t="shared" si="14"/>
        <v>45809</v>
      </c>
      <c r="C1920" s="221" t="str">
        <f>IFERROR(VLOOKUP($B1920,KEY!$AE$19:$AH$60,2,FALSE),"")</f>
        <v>2025-Q2</v>
      </c>
      <c r="D1920" s="222" t="s">
        <v>144</v>
      </c>
      <c r="E1920" s="218">
        <v>20</v>
      </c>
    </row>
    <row r="1921" spans="1:5" x14ac:dyDescent="0.35">
      <c r="A1921" s="3" t="str">
        <f>IF(D1921="","",(VLOOKUP($D1921,KEY!$B$5:$D$74,3,FALSE)))</f>
        <v>Southern California</v>
      </c>
      <c r="B1921" s="221">
        <f t="shared" si="14"/>
        <v>45809</v>
      </c>
      <c r="C1921" s="221" t="str">
        <f>IFERROR(VLOOKUP($B1921,KEY!$AE$19:$AH$60,2,FALSE),"")</f>
        <v>2025-Q2</v>
      </c>
      <c r="D1921" s="222" t="s">
        <v>145</v>
      </c>
      <c r="E1921" s="218">
        <v>17</v>
      </c>
    </row>
    <row r="1922" spans="1:5" x14ac:dyDescent="0.35">
      <c r="A1922" s="3" t="str">
        <f>IF(D1922="","",(VLOOKUP($D1922,KEY!$B$5:$D$74,3,FALSE)))</f>
        <v>Arizona</v>
      </c>
      <c r="B1922" s="221">
        <f t="shared" si="14"/>
        <v>45809</v>
      </c>
      <c r="C1922" s="221" t="str">
        <f>IFERROR(VLOOKUP($B1922,KEY!$AE$19:$AH$60,2,FALSE),"")</f>
        <v>2025-Q2</v>
      </c>
      <c r="D1922" s="222" t="s">
        <v>146</v>
      </c>
      <c r="E1922" s="218">
        <v>4</v>
      </c>
    </row>
    <row r="1923" spans="1:5" x14ac:dyDescent="0.35">
      <c r="A1923" s="3" t="str">
        <f>IF(D1923="","",(VLOOKUP($D1923,KEY!$B$5:$D$74,3,FALSE)))</f>
        <v>Texas</v>
      </c>
      <c r="B1923" s="221">
        <f t="shared" si="14"/>
        <v>45809</v>
      </c>
      <c r="C1923" s="221" t="str">
        <f>IFERROR(VLOOKUP($B1923,KEY!$AE$19:$AH$60,2,FALSE),"")</f>
        <v>2025-Q2</v>
      </c>
      <c r="D1923" s="222" t="s">
        <v>147</v>
      </c>
      <c r="E1923" s="218">
        <v>4</v>
      </c>
    </row>
    <row r="1924" spans="1:5" x14ac:dyDescent="0.35">
      <c r="A1924" s="3" t="str">
        <f>IF(D1924="","",(VLOOKUP($D1924,KEY!$B$5:$D$74,3,FALSE)))</f>
        <v>Northern California</v>
      </c>
      <c r="B1924" s="221">
        <f t="shared" si="14"/>
        <v>45809</v>
      </c>
      <c r="C1924" s="221" t="str">
        <f>IFERROR(VLOOKUP($B1924,KEY!$AE$19:$AH$60,2,FALSE),"")</f>
        <v>2025-Q2</v>
      </c>
      <c r="D1924" s="222" t="s">
        <v>148</v>
      </c>
      <c r="E1924" s="218">
        <v>4</v>
      </c>
    </row>
    <row r="1925" spans="1:5" x14ac:dyDescent="0.35">
      <c r="A1925" s="3" t="str">
        <f>IF(D1925="","",(VLOOKUP($D1925,KEY!$B$5:$D$74,3,FALSE)))</f>
        <v>Orange County</v>
      </c>
      <c r="B1925" s="221">
        <f t="shared" si="14"/>
        <v>45809</v>
      </c>
      <c r="C1925" s="221" t="str">
        <f>IFERROR(VLOOKUP($B1925,KEY!$AE$19:$AH$60,2,FALSE),"")</f>
        <v>2025-Q2</v>
      </c>
      <c r="D1925" s="222" t="s">
        <v>149</v>
      </c>
      <c r="E1925" s="218">
        <v>3</v>
      </c>
    </row>
    <row r="1926" spans="1:5" x14ac:dyDescent="0.35">
      <c r="A1926" s="3" t="str">
        <f>IF(D1926="","",(VLOOKUP($D1926,KEY!$B$5:$D$74,3,FALSE)))</f>
        <v>Southern California</v>
      </c>
      <c r="B1926" s="221">
        <f t="shared" si="14"/>
        <v>45809</v>
      </c>
      <c r="C1926" s="221" t="str">
        <f>IFERROR(VLOOKUP($B1926,KEY!$AE$19:$AH$60,2,FALSE),"")</f>
        <v>2025-Q2</v>
      </c>
      <c r="D1926" s="222" t="s">
        <v>150</v>
      </c>
      <c r="E1926" s="218">
        <v>3</v>
      </c>
    </row>
    <row r="1927" spans="1:5" x14ac:dyDescent="0.35">
      <c r="A1927" s="3" t="str">
        <f>IF(D1927="","",(VLOOKUP($D1927,KEY!$B$5:$D$74,3,FALSE)))</f>
        <v>Arizona</v>
      </c>
      <c r="B1927" s="221">
        <f t="shared" si="14"/>
        <v>45809</v>
      </c>
      <c r="C1927" s="221" t="str">
        <f>IFERROR(VLOOKUP($B1927,KEY!$AE$19:$AH$60,2,FALSE),"")</f>
        <v>2025-Q2</v>
      </c>
      <c r="D1927" s="222" t="s">
        <v>151</v>
      </c>
      <c r="E1927" s="218">
        <v>4</v>
      </c>
    </row>
    <row r="1928" spans="1:5" x14ac:dyDescent="0.35">
      <c r="A1928" s="3" t="str">
        <f>IF(D1928="","",(VLOOKUP($D1928,KEY!$B$5:$D$74,3,FALSE)))</f>
        <v>Michigan &amp; Minnesota</v>
      </c>
      <c r="B1928" s="221">
        <f t="shared" si="14"/>
        <v>45809</v>
      </c>
      <c r="C1928" s="221" t="str">
        <f>IFERROR(VLOOKUP($B1928,KEY!$AE$19:$AH$60,2,FALSE),"")</f>
        <v>2025-Q2</v>
      </c>
      <c r="D1928" s="222" t="s">
        <v>206</v>
      </c>
      <c r="E1928" s="218">
        <v>18</v>
      </c>
    </row>
    <row r="1929" spans="1:5" x14ac:dyDescent="0.35">
      <c r="A1929" s="3" t="str">
        <f>IF(D1929="","",(VLOOKUP($D1929,KEY!$B$5:$D$74,3,FALSE)))</f>
        <v>Michigan &amp; Minnesota</v>
      </c>
      <c r="B1929" s="221">
        <f t="shared" si="14"/>
        <v>45809</v>
      </c>
      <c r="C1929" s="221" t="str">
        <f>IFERROR(VLOOKUP($B1929,KEY!$AE$19:$AH$60,2,FALSE),"")</f>
        <v>2025-Q2</v>
      </c>
      <c r="D1929" s="222" t="s">
        <v>207</v>
      </c>
      <c r="E1929" s="218">
        <v>5</v>
      </c>
    </row>
    <row r="1930" spans="1:5" x14ac:dyDescent="0.35">
      <c r="A1930" s="3" t="str">
        <f>IF(D1930="","",(VLOOKUP($D1930,KEY!$B$5:$D$74,3,FALSE)))</f>
        <v>Indiana</v>
      </c>
      <c r="B1930" s="221">
        <f t="shared" si="14"/>
        <v>45809</v>
      </c>
      <c r="C1930" s="221" t="str">
        <f>IFERROR(VLOOKUP($B1930,KEY!$AE$19:$AH$60,2,FALSE),"")</f>
        <v>2025-Q2</v>
      </c>
      <c r="D1930" s="222" t="s">
        <v>208</v>
      </c>
      <c r="E1930" s="218">
        <v>11</v>
      </c>
    </row>
    <row r="1931" spans="1:5" x14ac:dyDescent="0.35">
      <c r="A1931" s="3" t="str">
        <f>IF(D1931="","",(VLOOKUP($D1931,KEY!$B$5:$D$74,3,FALSE)))</f>
        <v>Indiana</v>
      </c>
      <c r="B1931" s="221">
        <f t="shared" si="14"/>
        <v>45809</v>
      </c>
      <c r="C1931" s="221" t="str">
        <f>IFERROR(VLOOKUP($B1931,KEY!$AE$19:$AH$60,2,FALSE),"")</f>
        <v>2025-Q2</v>
      </c>
      <c r="D1931" s="222" t="s">
        <v>209</v>
      </c>
      <c r="E1931" s="218">
        <v>27</v>
      </c>
    </row>
    <row r="1932" spans="1:5" x14ac:dyDescent="0.35">
      <c r="A1932" s="3" t="str">
        <f>IF(D1932="","",(VLOOKUP($D1932,KEY!$B$5:$D$74,3,FALSE)))</f>
        <v>Northern California</v>
      </c>
      <c r="B1932" s="221">
        <f t="shared" si="14"/>
        <v>45809</v>
      </c>
      <c r="C1932" s="221" t="str">
        <f>IFERROR(VLOOKUP($B1932,KEY!$AE$19:$AH$60,2,FALSE),"")</f>
        <v>2025-Q2</v>
      </c>
      <c r="D1932" s="222" t="s">
        <v>152</v>
      </c>
      <c r="E1932" s="218">
        <v>12</v>
      </c>
    </row>
    <row r="1933" spans="1:5" x14ac:dyDescent="0.35">
      <c r="A1933" s="3" t="str">
        <f>IF(D1933="","",(VLOOKUP($D1933,KEY!$B$5:$D$74,3,FALSE)))</f>
        <v>Arizona</v>
      </c>
      <c r="B1933" s="221">
        <f t="shared" si="14"/>
        <v>45809</v>
      </c>
      <c r="C1933" s="221" t="str">
        <f>IFERROR(VLOOKUP($B1933,KEY!$AE$19:$AH$60,2,FALSE),"")</f>
        <v>2025-Q2</v>
      </c>
      <c r="D1933" s="222" t="s">
        <v>153</v>
      </c>
      <c r="E1933" s="218">
        <v>14</v>
      </c>
    </row>
    <row r="1934" spans="1:5" x14ac:dyDescent="0.35">
      <c r="A1934" s="3" t="str">
        <f>IF(D1934="","",(VLOOKUP($D1934,KEY!$B$5:$D$74,3,FALSE)))</f>
        <v>Northern California</v>
      </c>
      <c r="B1934" s="221">
        <f t="shared" si="14"/>
        <v>45809</v>
      </c>
      <c r="C1934" s="221" t="str">
        <f>IFERROR(VLOOKUP($B1934,KEY!$AE$19:$AH$60,2,FALSE),"")</f>
        <v>2025-Q2</v>
      </c>
      <c r="D1934" s="222" t="s">
        <v>154</v>
      </c>
      <c r="E1934" s="218">
        <v>9</v>
      </c>
    </row>
    <row r="1935" spans="1:5" x14ac:dyDescent="0.35">
      <c r="A1935" s="3" t="str">
        <f>IF(D1935="","",(VLOOKUP($D1935,KEY!$B$5:$D$74,3,FALSE)))</f>
        <v>Texas</v>
      </c>
      <c r="B1935" s="221">
        <f t="shared" si="14"/>
        <v>45809</v>
      </c>
      <c r="C1935" s="221" t="str">
        <f>IFERROR(VLOOKUP($B1935,KEY!$AE$19:$AH$60,2,FALSE),"")</f>
        <v>2025-Q2</v>
      </c>
      <c r="D1935" s="222" t="s">
        <v>155</v>
      </c>
      <c r="E1935" s="218">
        <v>28</v>
      </c>
    </row>
    <row r="1936" spans="1:5" x14ac:dyDescent="0.35">
      <c r="A1936" s="3" t="str">
        <f>IF(D1936="","",(VLOOKUP($D1936,KEY!$B$5:$D$74,3,FALSE)))</f>
        <v>Texas</v>
      </c>
      <c r="B1936" s="221">
        <f t="shared" si="14"/>
        <v>45809</v>
      </c>
      <c r="C1936" s="221" t="str">
        <f>IFERROR(VLOOKUP($B1936,KEY!$AE$19:$AH$60,2,FALSE),"")</f>
        <v>2025-Q2</v>
      </c>
      <c r="D1936" s="222" t="s">
        <v>156</v>
      </c>
      <c r="E1936" s="218">
        <v>18</v>
      </c>
    </row>
    <row r="1937" spans="1:5" x14ac:dyDescent="0.35">
      <c r="A1937" s="3" t="str">
        <f>IF(D1937="","",(VLOOKUP($D1937,KEY!$B$5:$D$74,3,FALSE)))</f>
        <v>Texas</v>
      </c>
      <c r="B1937" s="221">
        <f t="shared" si="14"/>
        <v>45809</v>
      </c>
      <c r="C1937" s="221" t="str">
        <f>IFERROR(VLOOKUP($B1937,KEY!$AE$19:$AH$60,2,FALSE),"")</f>
        <v>2025-Q2</v>
      </c>
      <c r="D1937" s="222" t="s">
        <v>157</v>
      </c>
      <c r="E1937" s="218">
        <v>34</v>
      </c>
    </row>
    <row r="1938" spans="1:5" x14ac:dyDescent="0.35">
      <c r="A1938" s="3" t="str">
        <f>IF(D1938="","",(VLOOKUP($D1938,KEY!$B$5:$D$74,3,FALSE)))</f>
        <v>Arizona</v>
      </c>
      <c r="B1938" s="221">
        <f t="shared" si="14"/>
        <v>45809</v>
      </c>
      <c r="C1938" s="221" t="str">
        <f>IFERROR(VLOOKUP($B1938,KEY!$AE$19:$AH$60,2,FALSE),"")</f>
        <v>2025-Q2</v>
      </c>
      <c r="D1938" s="222" t="s">
        <v>158</v>
      </c>
      <c r="E1938" s="218">
        <v>6</v>
      </c>
    </row>
    <row r="1939" spans="1:5" x14ac:dyDescent="0.35">
      <c r="A1939" s="3" t="str">
        <f>IF(D1939="","",(VLOOKUP($D1939,KEY!$B$5:$D$74,3,FALSE)))</f>
        <v>Orange County</v>
      </c>
      <c r="B1939" s="221">
        <f t="shared" si="14"/>
        <v>45809</v>
      </c>
      <c r="C1939" s="221" t="str">
        <f>IFERROR(VLOOKUP($B1939,KEY!$AE$19:$AH$60,2,FALSE),"")</f>
        <v>2025-Q2</v>
      </c>
      <c r="D1939" s="222" t="s">
        <v>159</v>
      </c>
      <c r="E1939" s="218">
        <v>9</v>
      </c>
    </row>
    <row r="1940" spans="1:5" x14ac:dyDescent="0.35">
      <c r="A1940" s="3" t="str">
        <f>IF(D1940="","",(VLOOKUP($D1940,KEY!$B$5:$D$74,3,FALSE)))</f>
        <v>Arizona</v>
      </c>
      <c r="B1940" s="221">
        <f t="shared" si="14"/>
        <v>45809</v>
      </c>
      <c r="C1940" s="221" t="str">
        <f>IFERROR(VLOOKUP($B1940,KEY!$AE$19:$AH$60,2,FALSE),"")</f>
        <v>2025-Q2</v>
      </c>
      <c r="D1940" s="222" t="s">
        <v>160</v>
      </c>
      <c r="E1940" s="218">
        <v>22</v>
      </c>
    </row>
    <row r="1941" spans="1:5" x14ac:dyDescent="0.35">
      <c r="A1941" s="3" t="str">
        <f>IF(D1941="","",(VLOOKUP($D1941,KEY!$B$5:$D$74,3,FALSE)))</f>
        <v>Northern California</v>
      </c>
      <c r="B1941" s="221">
        <f t="shared" si="14"/>
        <v>45809</v>
      </c>
      <c r="C1941" s="221" t="str">
        <f>IFERROR(VLOOKUP($B1941,KEY!$AE$19:$AH$60,2,FALSE),"")</f>
        <v>2025-Q2</v>
      </c>
      <c r="D1941" s="222" t="s">
        <v>161</v>
      </c>
      <c r="E1941" s="218">
        <v>21</v>
      </c>
    </row>
    <row r="1942" spans="1:5" x14ac:dyDescent="0.35">
      <c r="A1942" s="3" t="str">
        <f>IF(D1942="","",(VLOOKUP($D1942,KEY!$B$5:$D$74,3,FALSE)))</f>
        <v>Arizona</v>
      </c>
      <c r="B1942" s="221">
        <f t="shared" si="14"/>
        <v>45809</v>
      </c>
      <c r="C1942" s="221" t="str">
        <f>IFERROR(VLOOKUP($B1942,KEY!$AE$19:$AH$60,2,FALSE),"")</f>
        <v>2025-Q2</v>
      </c>
      <c r="D1942" s="222" t="s">
        <v>163</v>
      </c>
      <c r="E1942" s="218">
        <v>18</v>
      </c>
    </row>
    <row r="1943" spans="1:5" x14ac:dyDescent="0.35">
      <c r="A1943" s="3" t="str">
        <f>IF(D1943="","",(VLOOKUP($D1943,KEY!$B$5:$D$74,3,FALSE)))</f>
        <v>Arizona</v>
      </c>
      <c r="B1943" s="221">
        <f t="shared" si="14"/>
        <v>45809</v>
      </c>
      <c r="C1943" s="221" t="str">
        <f>IFERROR(VLOOKUP($B1943,KEY!$AE$19:$AH$60,2,FALSE),"")</f>
        <v>2025-Q2</v>
      </c>
      <c r="D1943" s="222" t="s">
        <v>164</v>
      </c>
      <c r="E1943" s="218">
        <v>6</v>
      </c>
    </row>
    <row r="1944" spans="1:5" x14ac:dyDescent="0.35">
      <c r="A1944" s="3" t="str">
        <f>IF(D1944="","",(VLOOKUP($D1944,KEY!$B$5:$D$74,3,FALSE)))</f>
        <v>Orange County</v>
      </c>
      <c r="B1944" s="221">
        <f t="shared" ref="B1944:B1948" si="15">B1943</f>
        <v>45809</v>
      </c>
      <c r="C1944" s="221" t="str">
        <f>IFERROR(VLOOKUP($B1944,KEY!$AE$19:$AH$60,2,FALSE),"")</f>
        <v>2025-Q2</v>
      </c>
      <c r="D1944" s="222" t="s">
        <v>165</v>
      </c>
      <c r="E1944" s="218">
        <v>4</v>
      </c>
    </row>
    <row r="1945" spans="1:5" x14ac:dyDescent="0.35">
      <c r="A1945" s="3" t="str">
        <f>IF(D1945="","",(VLOOKUP($D1945,KEY!$B$5:$D$74,3,FALSE)))</f>
        <v/>
      </c>
      <c r="B1945" s="221">
        <f t="shared" si="15"/>
        <v>45809</v>
      </c>
      <c r="C1945" s="221" t="str">
        <f>IFERROR(VLOOKUP($B1945,KEY!$AE$19:$AH$60,2,FALSE),"")</f>
        <v>2025-Q2</v>
      </c>
      <c r="D1945" s="222"/>
      <c r="E1945" s="218"/>
    </row>
    <row r="1946" spans="1:5" x14ac:dyDescent="0.35">
      <c r="A1946" s="3" t="str">
        <f>IF(D1946="","",(VLOOKUP($D1946,KEY!$B$5:$D$74,3,FALSE)))</f>
        <v/>
      </c>
      <c r="B1946" s="221">
        <f t="shared" si="15"/>
        <v>45809</v>
      </c>
      <c r="C1946" s="221" t="str">
        <f>IFERROR(VLOOKUP($B1946,KEY!$AE$19:$AH$60,2,FALSE),"")</f>
        <v>2025-Q2</v>
      </c>
      <c r="D1946" s="222"/>
      <c r="E1946" s="218"/>
    </row>
    <row r="1947" spans="1:5" x14ac:dyDescent="0.35">
      <c r="A1947" s="3" t="str">
        <f>IF(D1947="","",(VLOOKUP($D1947,KEY!$B$5:$D$74,3,FALSE)))</f>
        <v/>
      </c>
      <c r="B1947" s="221">
        <f t="shared" si="15"/>
        <v>45809</v>
      </c>
      <c r="C1947" s="221" t="str">
        <f>IFERROR(VLOOKUP($B1947,KEY!$AE$19:$AH$60,2,FALSE),"")</f>
        <v>2025-Q2</v>
      </c>
      <c r="D1947" s="222"/>
      <c r="E1947" s="218"/>
    </row>
    <row r="1948" spans="1:5" x14ac:dyDescent="0.35">
      <c r="A1948" s="3" t="str">
        <f>IF(D1948="","",(VLOOKUP($D1948,KEY!$B$5:$D$74,3,FALSE)))</f>
        <v/>
      </c>
      <c r="B1948" s="402">
        <f t="shared" si="15"/>
        <v>45809</v>
      </c>
      <c r="C1948" s="402" t="str">
        <f>IFERROR(VLOOKUP($B1948,KEY!$AE$19:$AH$60,2,FALSE),"")</f>
        <v>2025-Q2</v>
      </c>
      <c r="D1948" s="403"/>
      <c r="E1948" s="404"/>
    </row>
    <row r="1949" spans="1:5" x14ac:dyDescent="0.35">
      <c r="A1949" s="3" t="str">
        <f>IF(D1949="","",(VLOOKUP($D1949,KEY!$B$5:$D$74,3,FALSE)))</f>
        <v>Arizona</v>
      </c>
      <c r="B1949" s="221">
        <f>DATE(YEAR(B1948+31),MONTH(B1948+31),1)</f>
        <v>45839</v>
      </c>
      <c r="C1949" s="221" t="str">
        <f>IFERROR(VLOOKUP($B1949,KEY!$AE$19:$AH$60,2,FALSE),"")</f>
        <v>2025-Q3</v>
      </c>
      <c r="D1949" s="222" t="s">
        <v>111</v>
      </c>
      <c r="E1949" s="218">
        <v>8</v>
      </c>
    </row>
    <row r="1950" spans="1:5" x14ac:dyDescent="0.35">
      <c r="A1950" s="3" t="str">
        <f>IF(D1950="","",(VLOOKUP($D1950,KEY!$B$5:$D$74,3,FALSE)))</f>
        <v>Southern California</v>
      </c>
      <c r="B1950" s="221">
        <f t="shared" ref="B1950:B2013" si="16">B1949</f>
        <v>45839</v>
      </c>
      <c r="C1950" s="221" t="str">
        <f>IFERROR(VLOOKUP($B1950,KEY!$AE$19:$AH$60,2,FALSE),"")</f>
        <v>2025-Q3</v>
      </c>
      <c r="D1950" s="222" t="s">
        <v>112</v>
      </c>
      <c r="E1950" s="218">
        <v>4</v>
      </c>
    </row>
    <row r="1951" spans="1:5" x14ac:dyDescent="0.35">
      <c r="A1951" s="3" t="str">
        <f>IF(D1951="","",(VLOOKUP($D1951,KEY!$B$5:$D$74,3,FALSE)))</f>
        <v>Arizona</v>
      </c>
      <c r="B1951" s="221">
        <f t="shared" si="16"/>
        <v>45839</v>
      </c>
      <c r="C1951" s="221" t="str">
        <f>IFERROR(VLOOKUP($B1951,KEY!$AE$19:$AH$60,2,FALSE),"")</f>
        <v>2025-Q3</v>
      </c>
      <c r="D1951" s="222" t="s">
        <v>113</v>
      </c>
      <c r="E1951" s="218">
        <v>6</v>
      </c>
    </row>
    <row r="1952" spans="1:5" x14ac:dyDescent="0.35">
      <c r="A1952" s="3" t="str">
        <f>IF(D1952="","",(VLOOKUP($D1952,KEY!$B$5:$D$74,3,FALSE)))</f>
        <v>Southern California</v>
      </c>
      <c r="B1952" s="221">
        <f t="shared" si="16"/>
        <v>45839</v>
      </c>
      <c r="C1952" s="221" t="str">
        <f>IFERROR(VLOOKUP($B1952,KEY!$AE$19:$AH$60,2,FALSE),"")</f>
        <v>2025-Q3</v>
      </c>
      <c r="D1952" s="222" t="s">
        <v>114</v>
      </c>
      <c r="E1952" s="218">
        <v>4</v>
      </c>
    </row>
    <row r="1953" spans="1:5" x14ac:dyDescent="0.35">
      <c r="A1953" s="3" t="str">
        <f>IF(D1953="","",(VLOOKUP($D1953,KEY!$B$5:$D$74,3,FALSE)))</f>
        <v>Orange County</v>
      </c>
      <c r="B1953" s="221">
        <f t="shared" si="16"/>
        <v>45839</v>
      </c>
      <c r="C1953" s="221" t="str">
        <f>IFERROR(VLOOKUP($B1953,KEY!$AE$19:$AH$60,2,FALSE),"")</f>
        <v>2025-Q3</v>
      </c>
      <c r="D1953" s="222" t="s">
        <v>115</v>
      </c>
      <c r="E1953" s="218">
        <v>4</v>
      </c>
    </row>
    <row r="1954" spans="1:5" x14ac:dyDescent="0.35">
      <c r="A1954" s="3" t="str">
        <f>IF(D1954="","",(VLOOKUP($D1954,KEY!$B$5:$D$74,3,FALSE)))</f>
        <v>Arizona</v>
      </c>
      <c r="B1954" s="221">
        <f t="shared" si="16"/>
        <v>45839</v>
      </c>
      <c r="C1954" s="221" t="str">
        <f>IFERROR(VLOOKUP($B1954,KEY!$AE$19:$AH$60,2,FALSE),"")</f>
        <v>2025-Q3</v>
      </c>
      <c r="D1954" s="222" t="s">
        <v>116</v>
      </c>
      <c r="E1954" s="218">
        <v>11</v>
      </c>
    </row>
    <row r="1955" spans="1:5" x14ac:dyDescent="0.35">
      <c r="A1955" s="3" t="str">
        <f>IF(D1955="","",(VLOOKUP($D1955,KEY!$B$5:$D$74,3,FALSE)))</f>
        <v>Northern California</v>
      </c>
      <c r="B1955" s="221">
        <f t="shared" si="16"/>
        <v>45839</v>
      </c>
      <c r="C1955" s="221" t="str">
        <f>IFERROR(VLOOKUP($B1955,KEY!$AE$19:$AH$60,2,FALSE),"")</f>
        <v>2025-Q3</v>
      </c>
      <c r="D1955" s="222" t="s">
        <v>118</v>
      </c>
      <c r="E1955" s="218">
        <v>13</v>
      </c>
    </row>
    <row r="1956" spans="1:5" x14ac:dyDescent="0.35">
      <c r="A1956" s="3" t="str">
        <f>IF(D1956="","",(VLOOKUP($D1956,KEY!$B$5:$D$74,3,FALSE)))</f>
        <v>Orange County</v>
      </c>
      <c r="B1956" s="221">
        <f t="shared" si="16"/>
        <v>45839</v>
      </c>
      <c r="C1956" s="221" t="str">
        <f>IFERROR(VLOOKUP($B1956,KEY!$AE$19:$AH$60,2,FALSE),"")</f>
        <v>2025-Q3</v>
      </c>
      <c r="D1956" s="222" t="s">
        <v>117</v>
      </c>
      <c r="E1956" s="218">
        <v>7</v>
      </c>
    </row>
    <row r="1957" spans="1:5" x14ac:dyDescent="0.35">
      <c r="A1957" s="3" t="str">
        <f>IF(D1957="","",(VLOOKUP($D1957,KEY!$B$5:$D$74,3,FALSE)))</f>
        <v>Arizona</v>
      </c>
      <c r="B1957" s="221">
        <f t="shared" si="16"/>
        <v>45839</v>
      </c>
      <c r="C1957" s="221" t="str">
        <f>IFERROR(VLOOKUP($B1957,KEY!$AE$19:$AH$60,2,FALSE),"")</f>
        <v>2025-Q3</v>
      </c>
      <c r="D1957" s="222" t="s">
        <v>119</v>
      </c>
      <c r="E1957" s="218">
        <v>4</v>
      </c>
    </row>
    <row r="1958" spans="1:5" x14ac:dyDescent="0.35">
      <c r="A1958" s="3" t="str">
        <f>IF(D1958="","",(VLOOKUP($D1958,KEY!$B$5:$D$74,3,FALSE)))</f>
        <v/>
      </c>
      <c r="B1958" s="221">
        <f t="shared" si="16"/>
        <v>45839</v>
      </c>
      <c r="C1958" s="221" t="str">
        <f>IFERROR(VLOOKUP($B1958,KEY!$AE$19:$AH$60,2,FALSE),"")</f>
        <v>2025-Q3</v>
      </c>
      <c r="D1958" s="222"/>
      <c r="E1958" s="218"/>
    </row>
    <row r="1959" spans="1:5" x14ac:dyDescent="0.35">
      <c r="A1959" s="3" t="str">
        <f>IF(D1959="","",(VLOOKUP($D1959,KEY!$B$5:$D$74,3,FALSE)))</f>
        <v>Arizona</v>
      </c>
      <c r="B1959" s="221">
        <f t="shared" si="16"/>
        <v>45839</v>
      </c>
      <c r="C1959" s="221" t="str">
        <f>IFERROR(VLOOKUP($B1959,KEY!$AE$19:$AH$60,2,FALSE),"")</f>
        <v>2025-Q3</v>
      </c>
      <c r="D1959" s="222" t="s">
        <v>120</v>
      </c>
      <c r="E1959" s="218">
        <v>24</v>
      </c>
    </row>
    <row r="1960" spans="1:5" x14ac:dyDescent="0.35">
      <c r="A1960" s="3" t="str">
        <f>IF(D1960="","",(VLOOKUP($D1960,KEY!$B$5:$D$74,3,FALSE)))</f>
        <v>Texas</v>
      </c>
      <c r="B1960" s="221">
        <f t="shared" si="16"/>
        <v>45839</v>
      </c>
      <c r="C1960" s="221" t="str">
        <f>IFERROR(VLOOKUP($B1960,KEY!$AE$19:$AH$60,2,FALSE),"")</f>
        <v>2025-Q3</v>
      </c>
      <c r="D1960" s="222" t="s">
        <v>121</v>
      </c>
      <c r="E1960" s="218">
        <v>23</v>
      </c>
    </row>
    <row r="1961" spans="1:5" x14ac:dyDescent="0.35">
      <c r="A1961" s="3" t="str">
        <f>IF(D1961="","",(VLOOKUP($D1961,KEY!$B$5:$D$74,3,FALSE)))</f>
        <v>Michigan &amp; Minnesota</v>
      </c>
      <c r="B1961" s="221">
        <f t="shared" si="16"/>
        <v>45839</v>
      </c>
      <c r="C1961" s="221" t="str">
        <f>IFERROR(VLOOKUP($B1961,KEY!$AE$19:$AH$60,2,FALSE),"")</f>
        <v>2025-Q3</v>
      </c>
      <c r="D1961" s="222" t="s">
        <v>200</v>
      </c>
      <c r="E1961" s="218">
        <v>11</v>
      </c>
    </row>
    <row r="1962" spans="1:5" x14ac:dyDescent="0.35">
      <c r="A1962" s="3" t="str">
        <f>IF(D1962="","",(VLOOKUP($D1962,KEY!$B$5:$D$74,3,FALSE)))</f>
        <v>Southern California</v>
      </c>
      <c r="B1962" s="221">
        <f t="shared" si="16"/>
        <v>45839</v>
      </c>
      <c r="C1962" s="221" t="str">
        <f>IFERROR(VLOOKUP($B1962,KEY!$AE$19:$AH$60,2,FALSE),"")</f>
        <v>2025-Q3</v>
      </c>
      <c r="D1962" s="222" t="s">
        <v>122</v>
      </c>
      <c r="E1962" s="218">
        <v>10</v>
      </c>
    </row>
    <row r="1963" spans="1:5" x14ac:dyDescent="0.35">
      <c r="A1963" s="3" t="str">
        <f>IF(D1963="","",(VLOOKUP($D1963,KEY!$B$5:$D$74,3,FALSE)))</f>
        <v>Orange County</v>
      </c>
      <c r="B1963" s="221">
        <f t="shared" si="16"/>
        <v>45839</v>
      </c>
      <c r="C1963" s="221" t="str">
        <f>IFERROR(VLOOKUP($B1963,KEY!$AE$19:$AH$60,2,FALSE),"")</f>
        <v>2025-Q3</v>
      </c>
      <c r="D1963" s="222" t="s">
        <v>123</v>
      </c>
      <c r="E1963" s="218">
        <v>19</v>
      </c>
    </row>
    <row r="1964" spans="1:5" x14ac:dyDescent="0.35">
      <c r="A1964" s="3" t="str">
        <f>IF(D1964="","",(VLOOKUP($D1964,KEY!$B$5:$D$74,3,FALSE)))</f>
        <v>Southern California</v>
      </c>
      <c r="B1964" s="221">
        <f t="shared" si="16"/>
        <v>45839</v>
      </c>
      <c r="C1964" s="221" t="str">
        <f>IFERROR(VLOOKUP($B1964,KEY!$AE$19:$AH$60,2,FALSE),"")</f>
        <v>2025-Q3</v>
      </c>
      <c r="D1964" s="222" t="s">
        <v>124</v>
      </c>
      <c r="E1964" s="218">
        <v>21</v>
      </c>
    </row>
    <row r="1965" spans="1:5" x14ac:dyDescent="0.35">
      <c r="A1965" s="3" t="str">
        <f>IF(D1965="","",(VLOOKUP($D1965,KEY!$B$5:$D$74,3,FALSE)))</f>
        <v>Northern California</v>
      </c>
      <c r="B1965" s="221">
        <f t="shared" si="16"/>
        <v>45839</v>
      </c>
      <c r="C1965" s="221" t="str">
        <f>IFERROR(VLOOKUP($B1965,KEY!$AE$19:$AH$60,2,FALSE),"")</f>
        <v>2025-Q3</v>
      </c>
      <c r="D1965" s="222" t="s">
        <v>195</v>
      </c>
      <c r="E1965" s="218">
        <v>5</v>
      </c>
    </row>
    <row r="1966" spans="1:5" x14ac:dyDescent="0.35">
      <c r="A1966" s="3" t="str">
        <f>IF(D1966="","",(VLOOKUP($D1966,KEY!$B$5:$D$74,3,FALSE)))</f>
        <v>Northern California</v>
      </c>
      <c r="B1966" s="221">
        <f t="shared" si="16"/>
        <v>45839</v>
      </c>
      <c r="C1966" s="221" t="str">
        <f>IFERROR(VLOOKUP($B1966,KEY!$AE$19:$AH$60,2,FALSE),"")</f>
        <v>2025-Q3</v>
      </c>
      <c r="D1966" s="222" t="s">
        <v>125</v>
      </c>
      <c r="E1966" s="218">
        <v>22</v>
      </c>
    </row>
    <row r="1967" spans="1:5" x14ac:dyDescent="0.35">
      <c r="A1967" s="3" t="str">
        <f>IF(D1967="","",(VLOOKUP($D1967,KEY!$B$5:$D$74,3,FALSE)))</f>
        <v>Orange County</v>
      </c>
      <c r="B1967" s="221">
        <f t="shared" si="16"/>
        <v>45839</v>
      </c>
      <c r="C1967" s="221" t="str">
        <f>IFERROR(VLOOKUP($B1967,KEY!$AE$19:$AH$60,2,FALSE),"")</f>
        <v>2025-Q3</v>
      </c>
      <c r="D1967" s="222" t="s">
        <v>126</v>
      </c>
      <c r="E1967" s="218">
        <v>27</v>
      </c>
    </row>
    <row r="1968" spans="1:5" x14ac:dyDescent="0.35">
      <c r="A1968" s="3" t="str">
        <f>IF(D1968="","",(VLOOKUP($D1968,KEY!$B$5:$D$74,3,FALSE)))</f>
        <v>Orange County</v>
      </c>
      <c r="B1968" s="221">
        <f t="shared" si="16"/>
        <v>45839</v>
      </c>
      <c r="C1968" s="221" t="str">
        <f>IFERROR(VLOOKUP($B1968,KEY!$AE$19:$AH$60,2,FALSE),"")</f>
        <v>2025-Q3</v>
      </c>
      <c r="D1968" s="222" t="s">
        <v>127</v>
      </c>
      <c r="E1968" s="218">
        <v>3.5</v>
      </c>
    </row>
    <row r="1969" spans="1:5" x14ac:dyDescent="0.35">
      <c r="A1969" s="3" t="str">
        <f>IF(D1969="","",(VLOOKUP($D1969,KEY!$B$5:$D$74,3,FALSE)))</f>
        <v>Wisconsin</v>
      </c>
      <c r="B1969" s="221">
        <f t="shared" si="16"/>
        <v>45839</v>
      </c>
      <c r="C1969" s="221" t="str">
        <f>IFERROR(VLOOKUP($B1969,KEY!$AE$19:$AH$60,2,FALSE),"")</f>
        <v>2025-Q3</v>
      </c>
      <c r="D1969" s="222" t="s">
        <v>201</v>
      </c>
      <c r="E1969" s="218">
        <v>14</v>
      </c>
    </row>
    <row r="1970" spans="1:5" x14ac:dyDescent="0.35">
      <c r="A1970" s="3" t="e">
        <f>IF(D1970="","",(VLOOKUP($D1970,KEY!$B$5:$D$74,3,FALSE)))</f>
        <v>#N/A</v>
      </c>
      <c r="B1970" s="221">
        <f t="shared" si="16"/>
        <v>45839</v>
      </c>
      <c r="C1970" s="221" t="str">
        <f>IFERROR(VLOOKUP($B1970,KEY!$AE$19:$AH$60,2,FALSE),"")</f>
        <v>2025-Q3</v>
      </c>
      <c r="D1970" s="222" t="s">
        <v>202</v>
      </c>
      <c r="E1970" s="218">
        <v>3</v>
      </c>
    </row>
    <row r="1971" spans="1:5" x14ac:dyDescent="0.35">
      <c r="A1971" s="3" t="str">
        <f>IF(D1971="","",(VLOOKUP($D1971,KEY!$B$5:$D$74,3,FALSE)))</f>
        <v>Texas</v>
      </c>
      <c r="B1971" s="221">
        <f t="shared" si="16"/>
        <v>45839</v>
      </c>
      <c r="C1971" s="221" t="str">
        <f>IFERROR(VLOOKUP($B1971,KEY!$AE$19:$AH$60,2,FALSE),"")</f>
        <v>2025-Q3</v>
      </c>
      <c r="D1971" s="222" t="s">
        <v>198</v>
      </c>
      <c r="E1971" s="218">
        <v>8</v>
      </c>
    </row>
    <row r="1972" spans="1:5" x14ac:dyDescent="0.35">
      <c r="A1972" s="3" t="str">
        <f>IF(D1972="","",(VLOOKUP($D1972,KEY!$B$5:$D$74,3,FALSE)))</f>
        <v>Texas</v>
      </c>
      <c r="B1972" s="221">
        <f t="shared" si="16"/>
        <v>45839</v>
      </c>
      <c r="C1972" s="221" t="str">
        <f>IFERROR(VLOOKUP($B1972,KEY!$AE$19:$AH$60,2,FALSE),"")</f>
        <v>2025-Q3</v>
      </c>
      <c r="D1972" s="222" t="s">
        <v>128</v>
      </c>
      <c r="E1972" s="218">
        <v>16</v>
      </c>
    </row>
    <row r="1973" spans="1:5" x14ac:dyDescent="0.35">
      <c r="A1973" s="3" t="str">
        <f>IF(D1973="","",(VLOOKUP($D1973,KEY!$B$5:$D$74,3,FALSE)))</f>
        <v>Northern California</v>
      </c>
      <c r="B1973" s="221">
        <f t="shared" si="16"/>
        <v>45839</v>
      </c>
      <c r="C1973" s="221" t="str">
        <f>IFERROR(VLOOKUP($B1973,KEY!$AE$19:$AH$60,2,FALSE),"")</f>
        <v>2025-Q3</v>
      </c>
      <c r="D1973" s="222" t="s">
        <v>129</v>
      </c>
      <c r="E1973" s="218">
        <v>16</v>
      </c>
    </row>
    <row r="1974" spans="1:5" x14ac:dyDescent="0.35">
      <c r="A1974" s="3" t="str">
        <f>IF(D1974="","",(VLOOKUP($D1974,KEY!$B$5:$D$74,3,FALSE)))</f>
        <v>Southern California</v>
      </c>
      <c r="B1974" s="221">
        <f t="shared" si="16"/>
        <v>45839</v>
      </c>
      <c r="C1974" s="221" t="str">
        <f>IFERROR(VLOOKUP($B1974,KEY!$AE$19:$AH$60,2,FALSE),"")</f>
        <v>2025-Q3</v>
      </c>
      <c r="D1974" s="222" t="s">
        <v>130</v>
      </c>
      <c r="E1974" s="218">
        <v>12</v>
      </c>
    </row>
    <row r="1975" spans="1:5" x14ac:dyDescent="0.35">
      <c r="A1975" s="3" t="str">
        <f>IF(D1975="","",(VLOOKUP($D1975,KEY!$B$5:$D$74,3,FALSE)))</f>
        <v>Texas</v>
      </c>
      <c r="B1975" s="221">
        <f t="shared" si="16"/>
        <v>45839</v>
      </c>
      <c r="C1975" s="221" t="str">
        <f>IFERROR(VLOOKUP($B1975,KEY!$AE$19:$AH$60,2,FALSE),"")</f>
        <v>2025-Q3</v>
      </c>
      <c r="D1975" s="222" t="s">
        <v>210</v>
      </c>
      <c r="E1975" s="218">
        <v>7</v>
      </c>
    </row>
    <row r="1976" spans="1:5" x14ac:dyDescent="0.35">
      <c r="A1976" s="3" t="e">
        <f>IF(D1976="","",(VLOOKUP($D1976,KEY!$B$5:$D$74,3,FALSE)))</f>
        <v>#N/A</v>
      </c>
      <c r="B1976" s="221">
        <f t="shared" si="16"/>
        <v>45839</v>
      </c>
      <c r="C1976" s="221" t="str">
        <f>IFERROR(VLOOKUP($B1976,KEY!$AE$19:$AH$60,2,FALSE),"")</f>
        <v>2025-Q3</v>
      </c>
      <c r="D1976" s="222" t="s">
        <v>203</v>
      </c>
      <c r="E1976" s="218">
        <v>8</v>
      </c>
    </row>
    <row r="1977" spans="1:5" x14ac:dyDescent="0.35">
      <c r="A1977" s="3">
        <f>IF(D1977="","",(VLOOKUP($D1977,KEY!$B$5:$D$74,3,FALSE)))</f>
        <v>0</v>
      </c>
      <c r="B1977" s="221">
        <f t="shared" si="16"/>
        <v>45839</v>
      </c>
      <c r="C1977" s="221" t="str">
        <f>IFERROR(VLOOKUP($B1977,KEY!$AE$19:$AH$60,2,FALSE),"")</f>
        <v>2025-Q3</v>
      </c>
      <c r="D1977" s="222" t="s">
        <v>131</v>
      </c>
      <c r="E1977" s="218">
        <v>13</v>
      </c>
    </row>
    <row r="1978" spans="1:5" x14ac:dyDescent="0.35">
      <c r="A1978" s="3" t="e">
        <f>IF(D1978="","",(VLOOKUP($D1978,KEY!$B$5:$D$74,3,FALSE)))</f>
        <v>#N/A</v>
      </c>
      <c r="B1978" s="221">
        <f t="shared" si="16"/>
        <v>45839</v>
      </c>
      <c r="C1978" s="221" t="str">
        <f>IFERROR(VLOOKUP($B1978,KEY!$AE$19:$AH$60,2,FALSE),"")</f>
        <v>2025-Q3</v>
      </c>
      <c r="D1978" s="222" t="s">
        <v>134</v>
      </c>
      <c r="E1978" s="218">
        <v>5</v>
      </c>
    </row>
    <row r="1979" spans="1:5" x14ac:dyDescent="0.35">
      <c r="A1979" s="3" t="str">
        <f>IF(D1979="","",(VLOOKUP($D1979,KEY!$B$5:$D$74,3,FALSE)))</f>
        <v>Southern California</v>
      </c>
      <c r="B1979" s="221">
        <f t="shared" si="16"/>
        <v>45839</v>
      </c>
      <c r="C1979" s="221" t="str">
        <f>IFERROR(VLOOKUP($B1979,KEY!$AE$19:$AH$60,2,FALSE),"")</f>
        <v>2025-Q3</v>
      </c>
      <c r="D1979" s="222" t="s">
        <v>135</v>
      </c>
      <c r="E1979" s="218">
        <v>15</v>
      </c>
    </row>
    <row r="1980" spans="1:5" x14ac:dyDescent="0.35">
      <c r="A1980" s="3" t="str">
        <f>IF(D1980="","",(VLOOKUP($D1980,KEY!$B$5:$D$74,3,FALSE)))</f>
        <v>Arizona</v>
      </c>
      <c r="B1980" s="221">
        <f t="shared" si="16"/>
        <v>45839</v>
      </c>
      <c r="C1980" s="221" t="str">
        <f>IFERROR(VLOOKUP($B1980,KEY!$AE$19:$AH$60,2,FALSE),"")</f>
        <v>2025-Q3</v>
      </c>
      <c r="D1980" s="222" t="s">
        <v>204</v>
      </c>
      <c r="E1980" s="218">
        <v>1</v>
      </c>
    </row>
    <row r="1981" spans="1:5" x14ac:dyDescent="0.35">
      <c r="A1981" s="3" t="str">
        <f>IF(D1981="","",(VLOOKUP($D1981,KEY!$B$5:$D$74,3,FALSE)))</f>
        <v>Arizona</v>
      </c>
      <c r="B1981" s="221">
        <f t="shared" si="16"/>
        <v>45839</v>
      </c>
      <c r="C1981" s="221" t="str">
        <f>IFERROR(VLOOKUP($B1981,KEY!$AE$19:$AH$60,2,FALSE),"")</f>
        <v>2025-Q3</v>
      </c>
      <c r="D1981" s="222" t="s">
        <v>196</v>
      </c>
      <c r="E1981" s="218">
        <v>6</v>
      </c>
    </row>
    <row r="1982" spans="1:5" x14ac:dyDescent="0.35">
      <c r="A1982" s="3" t="str">
        <f>IF(D1982="","",(VLOOKUP($D1982,KEY!$B$5:$D$74,3,FALSE)))</f>
        <v>Arizona</v>
      </c>
      <c r="B1982" s="221">
        <f t="shared" si="16"/>
        <v>45839</v>
      </c>
      <c r="C1982" s="221" t="str">
        <f>IFERROR(VLOOKUP($B1982,KEY!$AE$19:$AH$60,2,FALSE),"")</f>
        <v>2025-Q3</v>
      </c>
      <c r="D1982" s="222" t="s">
        <v>197</v>
      </c>
      <c r="E1982" s="218">
        <v>12</v>
      </c>
    </row>
    <row r="1983" spans="1:5" x14ac:dyDescent="0.35">
      <c r="A1983" s="3" t="str">
        <f>IF(D1983="","",(VLOOKUP($D1983,KEY!$B$5:$D$74,3,FALSE)))</f>
        <v>Texas</v>
      </c>
      <c r="B1983" s="221">
        <f t="shared" si="16"/>
        <v>45839</v>
      </c>
      <c r="C1983" s="221" t="str">
        <f>IFERROR(VLOOKUP($B1983,KEY!$AE$19:$AH$60,2,FALSE),"")</f>
        <v>2025-Q3</v>
      </c>
      <c r="D1983" s="222" t="s">
        <v>136</v>
      </c>
      <c r="E1983" s="218">
        <v>16</v>
      </c>
    </row>
    <row r="1984" spans="1:5" x14ac:dyDescent="0.35">
      <c r="A1984" s="3" t="str">
        <f>IF(D1984="","",(VLOOKUP($D1984,KEY!$B$5:$D$74,3,FALSE)))</f>
        <v>Arizona</v>
      </c>
      <c r="B1984" s="221">
        <f t="shared" si="16"/>
        <v>45839</v>
      </c>
      <c r="C1984" s="221" t="str">
        <f>IFERROR(VLOOKUP($B1984,KEY!$AE$19:$AH$60,2,FALSE),"")</f>
        <v>2025-Q3</v>
      </c>
      <c r="D1984" s="222" t="s">
        <v>137</v>
      </c>
      <c r="E1984" s="218">
        <v>6</v>
      </c>
    </row>
    <row r="1985" spans="1:5" x14ac:dyDescent="0.35">
      <c r="A1985" s="3" t="str">
        <f>IF(D1985="","",(VLOOKUP($D1985,KEY!$B$5:$D$74,3,FALSE)))</f>
        <v>Texas</v>
      </c>
      <c r="B1985" s="221">
        <f t="shared" si="16"/>
        <v>45839</v>
      </c>
      <c r="C1985" s="221" t="str">
        <f>IFERROR(VLOOKUP($B1985,KEY!$AE$19:$AH$60,2,FALSE),"")</f>
        <v>2025-Q3</v>
      </c>
      <c r="D1985" s="222" t="s">
        <v>138</v>
      </c>
      <c r="E1985" s="218">
        <v>10</v>
      </c>
    </row>
    <row r="1986" spans="1:5" x14ac:dyDescent="0.35">
      <c r="A1986" s="3" t="str">
        <f>IF(D1986="","",(VLOOKUP($D1986,KEY!$B$5:$D$74,3,FALSE)))</f>
        <v>Southern California</v>
      </c>
      <c r="B1986" s="221">
        <f t="shared" si="16"/>
        <v>45839</v>
      </c>
      <c r="C1986" s="221" t="str">
        <f>IFERROR(VLOOKUP($B1986,KEY!$AE$19:$AH$60,2,FALSE),"")</f>
        <v>2025-Q3</v>
      </c>
      <c r="D1986" s="222" t="s">
        <v>139</v>
      </c>
      <c r="E1986" s="218">
        <v>12</v>
      </c>
    </row>
    <row r="1987" spans="1:5" x14ac:dyDescent="0.35">
      <c r="A1987" s="3" t="str">
        <f>IF(D1987="","",(VLOOKUP($D1987,KEY!$B$5:$D$74,3,FALSE)))</f>
        <v>Orange County</v>
      </c>
      <c r="B1987" s="221">
        <f t="shared" si="16"/>
        <v>45839</v>
      </c>
      <c r="C1987" s="221" t="str">
        <f>IFERROR(VLOOKUP($B1987,KEY!$AE$19:$AH$60,2,FALSE),"")</f>
        <v>2025-Q3</v>
      </c>
      <c r="D1987" s="222" t="s">
        <v>140</v>
      </c>
      <c r="E1987" s="218">
        <v>4</v>
      </c>
    </row>
    <row r="1988" spans="1:5" x14ac:dyDescent="0.35">
      <c r="A1988" s="3" t="str">
        <f>IF(D1988="","",(VLOOKUP($D1988,KEY!$B$5:$D$74,3,FALSE)))</f>
        <v>Southern California</v>
      </c>
      <c r="B1988" s="221">
        <f t="shared" si="16"/>
        <v>45839</v>
      </c>
      <c r="C1988" s="221" t="str">
        <f>IFERROR(VLOOKUP($B1988,KEY!$AE$19:$AH$60,2,FALSE),"")</f>
        <v>2025-Q3</v>
      </c>
      <c r="D1988" s="222" t="s">
        <v>142</v>
      </c>
      <c r="E1988" s="218">
        <v>6</v>
      </c>
    </row>
    <row r="1989" spans="1:5" x14ac:dyDescent="0.35">
      <c r="A1989" s="3" t="str">
        <f>IF(D1989="","",(VLOOKUP($D1989,KEY!$B$5:$D$74,3,FALSE)))</f>
        <v>Arizona</v>
      </c>
      <c r="B1989" s="221">
        <f t="shared" si="16"/>
        <v>45839</v>
      </c>
      <c r="C1989" s="221" t="str">
        <f>IFERROR(VLOOKUP($B1989,KEY!$AE$19:$AH$60,2,FALSE),"")</f>
        <v>2025-Q3</v>
      </c>
      <c r="D1989" s="222" t="s">
        <v>143</v>
      </c>
      <c r="E1989" s="218">
        <v>8</v>
      </c>
    </row>
    <row r="1990" spans="1:5" x14ac:dyDescent="0.35">
      <c r="A1990" s="3" t="str">
        <f>IF(D1990="","",(VLOOKUP($D1990,KEY!$B$5:$D$74,3,FALSE)))</f>
        <v>Arizona</v>
      </c>
      <c r="B1990" s="221">
        <f t="shared" si="16"/>
        <v>45839</v>
      </c>
      <c r="C1990" s="221" t="str">
        <f>IFERROR(VLOOKUP($B1990,KEY!$AE$19:$AH$60,2,FALSE),"")</f>
        <v>2025-Q3</v>
      </c>
      <c r="D1990" s="222" t="s">
        <v>144</v>
      </c>
      <c r="E1990" s="218">
        <v>20</v>
      </c>
    </row>
    <row r="1991" spans="1:5" x14ac:dyDescent="0.35">
      <c r="A1991" s="3" t="str">
        <f>IF(D1991="","",(VLOOKUP($D1991,KEY!$B$5:$D$74,3,FALSE)))</f>
        <v>Southern California</v>
      </c>
      <c r="B1991" s="221">
        <f t="shared" si="16"/>
        <v>45839</v>
      </c>
      <c r="C1991" s="221" t="str">
        <f>IFERROR(VLOOKUP($B1991,KEY!$AE$19:$AH$60,2,FALSE),"")</f>
        <v>2025-Q3</v>
      </c>
      <c r="D1991" s="222" t="s">
        <v>145</v>
      </c>
      <c r="E1991" s="218">
        <v>17</v>
      </c>
    </row>
    <row r="1992" spans="1:5" x14ac:dyDescent="0.35">
      <c r="A1992" s="3" t="str">
        <f>IF(D1992="","",(VLOOKUP($D1992,KEY!$B$5:$D$74,3,FALSE)))</f>
        <v>Arizona</v>
      </c>
      <c r="B1992" s="221">
        <f t="shared" si="16"/>
        <v>45839</v>
      </c>
      <c r="C1992" s="221" t="str">
        <f>IFERROR(VLOOKUP($B1992,KEY!$AE$19:$AH$60,2,FALSE),"")</f>
        <v>2025-Q3</v>
      </c>
      <c r="D1992" s="222" t="s">
        <v>146</v>
      </c>
      <c r="E1992" s="218">
        <v>4</v>
      </c>
    </row>
    <row r="1993" spans="1:5" x14ac:dyDescent="0.35">
      <c r="A1993" s="3" t="str">
        <f>IF(D1993="","",(VLOOKUP($D1993,KEY!$B$5:$D$74,3,FALSE)))</f>
        <v>Texas</v>
      </c>
      <c r="B1993" s="221">
        <f t="shared" si="16"/>
        <v>45839</v>
      </c>
      <c r="C1993" s="221" t="str">
        <f>IFERROR(VLOOKUP($B1993,KEY!$AE$19:$AH$60,2,FALSE),"")</f>
        <v>2025-Q3</v>
      </c>
      <c r="D1993" s="222" t="s">
        <v>147</v>
      </c>
      <c r="E1993" s="218">
        <v>4</v>
      </c>
    </row>
    <row r="1994" spans="1:5" x14ac:dyDescent="0.35">
      <c r="A1994" s="3" t="str">
        <f>IF(D1994="","",(VLOOKUP($D1994,KEY!$B$5:$D$74,3,FALSE)))</f>
        <v>Northern California</v>
      </c>
      <c r="B1994" s="221">
        <f t="shared" si="16"/>
        <v>45839</v>
      </c>
      <c r="C1994" s="221" t="str">
        <f>IFERROR(VLOOKUP($B1994,KEY!$AE$19:$AH$60,2,FALSE),"")</f>
        <v>2025-Q3</v>
      </c>
      <c r="D1994" s="222" t="s">
        <v>148</v>
      </c>
      <c r="E1994" s="218">
        <v>4</v>
      </c>
    </row>
    <row r="1995" spans="1:5" x14ac:dyDescent="0.35">
      <c r="A1995" s="3" t="str">
        <f>IF(D1995="","",(VLOOKUP($D1995,KEY!$B$5:$D$74,3,FALSE)))</f>
        <v>Orange County</v>
      </c>
      <c r="B1995" s="221">
        <f t="shared" si="16"/>
        <v>45839</v>
      </c>
      <c r="C1995" s="221" t="str">
        <f>IFERROR(VLOOKUP($B1995,KEY!$AE$19:$AH$60,2,FALSE),"")</f>
        <v>2025-Q3</v>
      </c>
      <c r="D1995" s="222" t="s">
        <v>149</v>
      </c>
      <c r="E1995" s="218">
        <v>3</v>
      </c>
    </row>
    <row r="1996" spans="1:5" x14ac:dyDescent="0.35">
      <c r="A1996" s="3" t="str">
        <f>IF(D1996="","",(VLOOKUP($D1996,KEY!$B$5:$D$74,3,FALSE)))</f>
        <v>Southern California</v>
      </c>
      <c r="B1996" s="221">
        <f t="shared" si="16"/>
        <v>45839</v>
      </c>
      <c r="C1996" s="221" t="str">
        <f>IFERROR(VLOOKUP($B1996,KEY!$AE$19:$AH$60,2,FALSE),"")</f>
        <v>2025-Q3</v>
      </c>
      <c r="D1996" s="222" t="s">
        <v>150</v>
      </c>
      <c r="E1996" s="218">
        <v>3</v>
      </c>
    </row>
    <row r="1997" spans="1:5" x14ac:dyDescent="0.35">
      <c r="A1997" s="3" t="str">
        <f>IF(D1997="","",(VLOOKUP($D1997,KEY!$B$5:$D$74,3,FALSE)))</f>
        <v>Arizona</v>
      </c>
      <c r="B1997" s="221">
        <f t="shared" si="16"/>
        <v>45839</v>
      </c>
      <c r="C1997" s="221" t="str">
        <f>IFERROR(VLOOKUP($B1997,KEY!$AE$19:$AH$60,2,FALSE),"")</f>
        <v>2025-Q3</v>
      </c>
      <c r="D1997" s="222" t="s">
        <v>151</v>
      </c>
      <c r="E1997" s="218">
        <v>4</v>
      </c>
    </row>
    <row r="1998" spans="1:5" x14ac:dyDescent="0.35">
      <c r="A1998" s="3" t="str">
        <f>IF(D1998="","",(VLOOKUP($D1998,KEY!$B$5:$D$74,3,FALSE)))</f>
        <v>Michigan &amp; Minnesota</v>
      </c>
      <c r="B1998" s="221">
        <f t="shared" si="16"/>
        <v>45839</v>
      </c>
      <c r="C1998" s="221" t="str">
        <f>IFERROR(VLOOKUP($B1998,KEY!$AE$19:$AH$60,2,FALSE),"")</f>
        <v>2025-Q3</v>
      </c>
      <c r="D1998" s="222" t="s">
        <v>206</v>
      </c>
      <c r="E1998" s="218">
        <v>19</v>
      </c>
    </row>
    <row r="1999" spans="1:5" x14ac:dyDescent="0.35">
      <c r="A1999" s="3" t="str">
        <f>IF(D1999="","",(VLOOKUP($D1999,KEY!$B$5:$D$74,3,FALSE)))</f>
        <v>Michigan &amp; Minnesota</v>
      </c>
      <c r="B1999" s="221">
        <f t="shared" si="16"/>
        <v>45839</v>
      </c>
      <c r="C1999" s="221" t="str">
        <f>IFERROR(VLOOKUP($B1999,KEY!$AE$19:$AH$60,2,FALSE),"")</f>
        <v>2025-Q3</v>
      </c>
      <c r="D1999" s="222" t="s">
        <v>207</v>
      </c>
      <c r="E1999" s="218">
        <v>5</v>
      </c>
    </row>
    <row r="2000" spans="1:5" x14ac:dyDescent="0.35">
      <c r="A2000" s="3" t="str">
        <f>IF(D2000="","",(VLOOKUP($D2000,KEY!$B$5:$D$74,3,FALSE)))</f>
        <v>Indiana</v>
      </c>
      <c r="B2000" s="221">
        <f t="shared" si="16"/>
        <v>45839</v>
      </c>
      <c r="C2000" s="221" t="str">
        <f>IFERROR(VLOOKUP($B2000,KEY!$AE$19:$AH$60,2,FALSE),"")</f>
        <v>2025-Q3</v>
      </c>
      <c r="D2000" s="222" t="s">
        <v>208</v>
      </c>
      <c r="E2000" s="218">
        <v>11</v>
      </c>
    </row>
    <row r="2001" spans="1:5" x14ac:dyDescent="0.35">
      <c r="A2001" s="3" t="str">
        <f>IF(D2001="","",(VLOOKUP($D2001,KEY!$B$5:$D$74,3,FALSE)))</f>
        <v>Indiana</v>
      </c>
      <c r="B2001" s="221">
        <f t="shared" si="16"/>
        <v>45839</v>
      </c>
      <c r="C2001" s="221" t="str">
        <f>IFERROR(VLOOKUP($B2001,KEY!$AE$19:$AH$60,2,FALSE),"")</f>
        <v>2025-Q3</v>
      </c>
      <c r="D2001" s="222" t="s">
        <v>209</v>
      </c>
      <c r="E2001" s="218">
        <v>26</v>
      </c>
    </row>
    <row r="2002" spans="1:5" x14ac:dyDescent="0.35">
      <c r="A2002" s="3" t="str">
        <f>IF(D2002="","",(VLOOKUP($D2002,KEY!$B$5:$D$74,3,FALSE)))</f>
        <v>Northern California</v>
      </c>
      <c r="B2002" s="221">
        <f t="shared" si="16"/>
        <v>45839</v>
      </c>
      <c r="C2002" s="221" t="str">
        <f>IFERROR(VLOOKUP($B2002,KEY!$AE$19:$AH$60,2,FALSE),"")</f>
        <v>2025-Q3</v>
      </c>
      <c r="D2002" s="222" t="s">
        <v>152</v>
      </c>
      <c r="E2002" s="218">
        <v>12</v>
      </c>
    </row>
    <row r="2003" spans="1:5" x14ac:dyDescent="0.35">
      <c r="A2003" s="3" t="str">
        <f>IF(D2003="","",(VLOOKUP($D2003,KEY!$B$5:$D$74,3,FALSE)))</f>
        <v>Arizona</v>
      </c>
      <c r="B2003" s="221">
        <f t="shared" si="16"/>
        <v>45839</v>
      </c>
      <c r="C2003" s="221" t="str">
        <f>IFERROR(VLOOKUP($B2003,KEY!$AE$19:$AH$60,2,FALSE),"")</f>
        <v>2025-Q3</v>
      </c>
      <c r="D2003" s="222" t="s">
        <v>153</v>
      </c>
      <c r="E2003" s="218">
        <v>14</v>
      </c>
    </row>
    <row r="2004" spans="1:5" x14ac:dyDescent="0.35">
      <c r="A2004" s="3" t="str">
        <f>IF(D2004="","",(VLOOKUP($D2004,KEY!$B$5:$D$74,3,FALSE)))</f>
        <v>Northern California</v>
      </c>
      <c r="B2004" s="221">
        <f t="shared" si="16"/>
        <v>45839</v>
      </c>
      <c r="C2004" s="221" t="str">
        <f>IFERROR(VLOOKUP($B2004,KEY!$AE$19:$AH$60,2,FALSE),"")</f>
        <v>2025-Q3</v>
      </c>
      <c r="D2004" s="222" t="s">
        <v>154</v>
      </c>
      <c r="E2004" s="218">
        <v>10</v>
      </c>
    </row>
    <row r="2005" spans="1:5" x14ac:dyDescent="0.35">
      <c r="A2005" s="3" t="str">
        <f>IF(D2005="","",(VLOOKUP($D2005,KEY!$B$5:$D$74,3,FALSE)))</f>
        <v>Texas</v>
      </c>
      <c r="B2005" s="221">
        <f t="shared" si="16"/>
        <v>45839</v>
      </c>
      <c r="C2005" s="221" t="str">
        <f>IFERROR(VLOOKUP($B2005,KEY!$AE$19:$AH$60,2,FALSE),"")</f>
        <v>2025-Q3</v>
      </c>
      <c r="D2005" s="222" t="s">
        <v>155</v>
      </c>
      <c r="E2005" s="218">
        <v>24</v>
      </c>
    </row>
    <row r="2006" spans="1:5" x14ac:dyDescent="0.35">
      <c r="A2006" s="3" t="str">
        <f>IF(D2006="","",(VLOOKUP($D2006,KEY!$B$5:$D$74,3,FALSE)))</f>
        <v>Texas</v>
      </c>
      <c r="B2006" s="221">
        <f t="shared" si="16"/>
        <v>45839</v>
      </c>
      <c r="C2006" s="221" t="str">
        <f>IFERROR(VLOOKUP($B2006,KEY!$AE$19:$AH$60,2,FALSE),"")</f>
        <v>2025-Q3</v>
      </c>
      <c r="D2006" s="222" t="s">
        <v>156</v>
      </c>
      <c r="E2006" s="218">
        <v>17</v>
      </c>
    </row>
    <row r="2007" spans="1:5" x14ac:dyDescent="0.35">
      <c r="A2007" s="3" t="str">
        <f>IF(D2007="","",(VLOOKUP($D2007,KEY!$B$5:$D$74,3,FALSE)))</f>
        <v>Texas</v>
      </c>
      <c r="B2007" s="221">
        <f t="shared" si="16"/>
        <v>45839</v>
      </c>
      <c r="C2007" s="221" t="str">
        <f>IFERROR(VLOOKUP($B2007,KEY!$AE$19:$AH$60,2,FALSE),"")</f>
        <v>2025-Q3</v>
      </c>
      <c r="D2007" s="222" t="s">
        <v>157</v>
      </c>
      <c r="E2007" s="218">
        <v>36</v>
      </c>
    </row>
    <row r="2008" spans="1:5" x14ac:dyDescent="0.35">
      <c r="A2008" s="3" t="str">
        <f>IF(D2008="","",(VLOOKUP($D2008,KEY!$B$5:$D$74,3,FALSE)))</f>
        <v>Arizona</v>
      </c>
      <c r="B2008" s="221">
        <f t="shared" si="16"/>
        <v>45839</v>
      </c>
      <c r="C2008" s="221" t="str">
        <f>IFERROR(VLOOKUP($B2008,KEY!$AE$19:$AH$60,2,FALSE),"")</f>
        <v>2025-Q3</v>
      </c>
      <c r="D2008" s="222" t="s">
        <v>158</v>
      </c>
      <c r="E2008" s="218">
        <v>6</v>
      </c>
    </row>
    <row r="2009" spans="1:5" x14ac:dyDescent="0.35">
      <c r="A2009" s="3" t="str">
        <f>IF(D2009="","",(VLOOKUP($D2009,KEY!$B$5:$D$74,3,FALSE)))</f>
        <v>Orange County</v>
      </c>
      <c r="B2009" s="221">
        <f t="shared" si="16"/>
        <v>45839</v>
      </c>
      <c r="C2009" s="221" t="str">
        <f>IFERROR(VLOOKUP($B2009,KEY!$AE$19:$AH$60,2,FALSE),"")</f>
        <v>2025-Q3</v>
      </c>
      <c r="D2009" s="222" t="s">
        <v>159</v>
      </c>
      <c r="E2009" s="218">
        <v>9</v>
      </c>
    </row>
    <row r="2010" spans="1:5" x14ac:dyDescent="0.35">
      <c r="A2010" s="3" t="str">
        <f>IF(D2010="","",(VLOOKUP($D2010,KEY!$B$5:$D$74,3,FALSE)))</f>
        <v>Arizona</v>
      </c>
      <c r="B2010" s="221">
        <f t="shared" si="16"/>
        <v>45839</v>
      </c>
      <c r="C2010" s="221" t="str">
        <f>IFERROR(VLOOKUP($B2010,KEY!$AE$19:$AH$60,2,FALSE),"")</f>
        <v>2025-Q3</v>
      </c>
      <c r="D2010" s="222" t="s">
        <v>160</v>
      </c>
      <c r="E2010" s="218">
        <v>22</v>
      </c>
    </row>
    <row r="2011" spans="1:5" x14ac:dyDescent="0.35">
      <c r="A2011" s="3" t="str">
        <f>IF(D2011="","",(VLOOKUP($D2011,KEY!$B$5:$D$74,3,FALSE)))</f>
        <v>Northern California</v>
      </c>
      <c r="B2011" s="221">
        <f t="shared" si="16"/>
        <v>45839</v>
      </c>
      <c r="C2011" s="221" t="str">
        <f>IFERROR(VLOOKUP($B2011,KEY!$AE$19:$AH$60,2,FALSE),"")</f>
        <v>2025-Q3</v>
      </c>
      <c r="D2011" s="222" t="s">
        <v>161</v>
      </c>
      <c r="E2011" s="218">
        <v>22</v>
      </c>
    </row>
    <row r="2012" spans="1:5" x14ac:dyDescent="0.35">
      <c r="A2012" s="3" t="str">
        <f>IF(D2012="","",(VLOOKUP($D2012,KEY!$B$5:$D$74,3,FALSE)))</f>
        <v>Arizona</v>
      </c>
      <c r="B2012" s="221">
        <f t="shared" si="16"/>
        <v>45839</v>
      </c>
      <c r="C2012" s="221" t="str">
        <f>IFERROR(VLOOKUP($B2012,KEY!$AE$19:$AH$60,2,FALSE),"")</f>
        <v>2025-Q3</v>
      </c>
      <c r="D2012" s="222" t="s">
        <v>163</v>
      </c>
      <c r="E2012" s="218">
        <v>18</v>
      </c>
    </row>
    <row r="2013" spans="1:5" x14ac:dyDescent="0.35">
      <c r="A2013" s="3" t="str">
        <f>IF(D2013="","",(VLOOKUP($D2013,KEY!$B$5:$D$74,3,FALSE)))</f>
        <v>Arizona</v>
      </c>
      <c r="B2013" s="221">
        <f t="shared" si="16"/>
        <v>45839</v>
      </c>
      <c r="C2013" s="221" t="str">
        <f>IFERROR(VLOOKUP($B2013,KEY!$AE$19:$AH$60,2,FALSE),"")</f>
        <v>2025-Q3</v>
      </c>
      <c r="D2013" s="222" t="s">
        <v>164</v>
      </c>
      <c r="E2013" s="218">
        <v>6</v>
      </c>
    </row>
    <row r="2014" spans="1:5" x14ac:dyDescent="0.35">
      <c r="A2014" s="3" t="str">
        <f>IF(D2014="","",(VLOOKUP($D2014,KEY!$B$5:$D$74,3,FALSE)))</f>
        <v>Orange County</v>
      </c>
      <c r="B2014" s="221">
        <f t="shared" ref="B2014:B2018" si="17">B2013</f>
        <v>45839</v>
      </c>
      <c r="C2014" s="221" t="str">
        <f>IFERROR(VLOOKUP($B2014,KEY!$AE$19:$AH$60,2,FALSE),"")</f>
        <v>2025-Q3</v>
      </c>
      <c r="D2014" s="222" t="s">
        <v>165</v>
      </c>
      <c r="E2014" s="218">
        <v>4</v>
      </c>
    </row>
    <row r="2015" spans="1:5" x14ac:dyDescent="0.35">
      <c r="A2015" s="3" t="str">
        <f>IF(D2015="","",(VLOOKUP($D2015,KEY!$B$5:$D$74,3,FALSE)))</f>
        <v/>
      </c>
      <c r="B2015" s="221">
        <f t="shared" si="17"/>
        <v>45839</v>
      </c>
      <c r="C2015" s="221" t="str">
        <f>IFERROR(VLOOKUP($B2015,KEY!$AE$19:$AH$60,2,FALSE),"")</f>
        <v>2025-Q3</v>
      </c>
      <c r="D2015" s="222"/>
      <c r="E2015" s="218"/>
    </row>
    <row r="2016" spans="1:5" x14ac:dyDescent="0.35">
      <c r="A2016" s="3" t="str">
        <f>IF(D2016="","",(VLOOKUP($D2016,KEY!$B$5:$D$74,3,FALSE)))</f>
        <v/>
      </c>
      <c r="B2016" s="221">
        <f t="shared" si="17"/>
        <v>45839</v>
      </c>
      <c r="C2016" s="221" t="str">
        <f>IFERROR(VLOOKUP($B2016,KEY!$AE$19:$AH$60,2,FALSE),"")</f>
        <v>2025-Q3</v>
      </c>
      <c r="D2016" s="222"/>
      <c r="E2016" s="218"/>
    </row>
    <row r="2017" spans="1:5" x14ac:dyDescent="0.35">
      <c r="A2017" s="3" t="str">
        <f>IF(D2017="","",(VLOOKUP($D2017,KEY!$B$5:$D$74,3,FALSE)))</f>
        <v/>
      </c>
      <c r="B2017" s="221">
        <f t="shared" si="17"/>
        <v>45839</v>
      </c>
      <c r="C2017" s="221" t="str">
        <f>IFERROR(VLOOKUP($B2017,KEY!$AE$19:$AH$60,2,FALSE),"")</f>
        <v>2025-Q3</v>
      </c>
      <c r="D2017" s="222"/>
      <c r="E2017" s="218"/>
    </row>
    <row r="2018" spans="1:5" x14ac:dyDescent="0.35">
      <c r="A2018" s="3" t="str">
        <f>IF(D2018="","",(VLOOKUP($D2018,KEY!$B$5:$D$74,3,FALSE)))</f>
        <v/>
      </c>
      <c r="B2018" s="402">
        <f t="shared" si="17"/>
        <v>45839</v>
      </c>
      <c r="C2018" s="402" t="str">
        <f>IFERROR(VLOOKUP($B2018,KEY!$AE$19:$AH$60,2,FALSE),"")</f>
        <v>2025-Q3</v>
      </c>
      <c r="D2018" s="403"/>
      <c r="E2018" s="404"/>
    </row>
    <row r="2019" spans="1:5" x14ac:dyDescent="0.35">
      <c r="A2019" s="3" t="str">
        <f>IF(D2019="","",(VLOOKUP($D2019,KEY!$B$5:$D$74,3,FALSE)))</f>
        <v>Arizona</v>
      </c>
      <c r="B2019" s="221">
        <f>DATE(YEAR(B2018+31),MONTH(B2018+31),1)</f>
        <v>45870</v>
      </c>
      <c r="C2019" s="221" t="str">
        <f>IFERROR(VLOOKUP($B2019,KEY!$AE$19:$AH$60,2,FALSE),"")</f>
        <v>2025-Q3</v>
      </c>
      <c r="D2019" s="222" t="s">
        <v>111</v>
      </c>
      <c r="E2019" s="218">
        <v>8</v>
      </c>
    </row>
    <row r="2020" spans="1:5" x14ac:dyDescent="0.35">
      <c r="A2020" s="3" t="str">
        <f>IF(D2020="","",(VLOOKUP($D2020,KEY!$B$5:$D$74,3,FALSE)))</f>
        <v>Southern California</v>
      </c>
      <c r="B2020" s="221">
        <f t="shared" ref="B2020:B2083" si="18">B2019</f>
        <v>45870</v>
      </c>
      <c r="C2020" s="221" t="str">
        <f>IFERROR(VLOOKUP($B2020,KEY!$AE$19:$AH$60,2,FALSE),"")</f>
        <v>2025-Q3</v>
      </c>
      <c r="D2020" s="222" t="s">
        <v>112</v>
      </c>
      <c r="E2020" s="218">
        <v>4</v>
      </c>
    </row>
    <row r="2021" spans="1:5" x14ac:dyDescent="0.35">
      <c r="A2021" s="3" t="str">
        <f>IF(D2021="","",(VLOOKUP($D2021,KEY!$B$5:$D$74,3,FALSE)))</f>
        <v>Arizona</v>
      </c>
      <c r="B2021" s="221">
        <f t="shared" si="18"/>
        <v>45870</v>
      </c>
      <c r="C2021" s="221" t="str">
        <f>IFERROR(VLOOKUP($B2021,KEY!$AE$19:$AH$60,2,FALSE),"")</f>
        <v>2025-Q3</v>
      </c>
      <c r="D2021" s="222" t="s">
        <v>113</v>
      </c>
      <c r="E2021" s="218">
        <v>6</v>
      </c>
    </row>
    <row r="2022" spans="1:5" x14ac:dyDescent="0.35">
      <c r="A2022" s="3" t="str">
        <f>IF(D2022="","",(VLOOKUP($D2022,KEY!$B$5:$D$74,3,FALSE)))</f>
        <v>Southern California</v>
      </c>
      <c r="B2022" s="221">
        <f t="shared" si="18"/>
        <v>45870</v>
      </c>
      <c r="C2022" s="221" t="str">
        <f>IFERROR(VLOOKUP($B2022,KEY!$AE$19:$AH$60,2,FALSE),"")</f>
        <v>2025-Q3</v>
      </c>
      <c r="D2022" s="222" t="s">
        <v>114</v>
      </c>
      <c r="E2022" s="218">
        <v>4</v>
      </c>
    </row>
    <row r="2023" spans="1:5" x14ac:dyDescent="0.35">
      <c r="A2023" s="3" t="str">
        <f>IF(D2023="","",(VLOOKUP($D2023,KEY!$B$5:$D$74,3,FALSE)))</f>
        <v>Orange County</v>
      </c>
      <c r="B2023" s="221">
        <f t="shared" si="18"/>
        <v>45870</v>
      </c>
      <c r="C2023" s="221" t="str">
        <f>IFERROR(VLOOKUP($B2023,KEY!$AE$19:$AH$60,2,FALSE),"")</f>
        <v>2025-Q3</v>
      </c>
      <c r="D2023" s="222" t="s">
        <v>115</v>
      </c>
      <c r="E2023" s="218">
        <v>4</v>
      </c>
    </row>
    <row r="2024" spans="1:5" x14ac:dyDescent="0.35">
      <c r="A2024" s="3" t="str">
        <f>IF(D2024="","",(VLOOKUP($D2024,KEY!$B$5:$D$74,3,FALSE)))</f>
        <v>Arizona</v>
      </c>
      <c r="B2024" s="221">
        <f t="shared" si="18"/>
        <v>45870</v>
      </c>
      <c r="C2024" s="221" t="str">
        <f>IFERROR(VLOOKUP($B2024,KEY!$AE$19:$AH$60,2,FALSE),"")</f>
        <v>2025-Q3</v>
      </c>
      <c r="D2024" s="222" t="s">
        <v>116</v>
      </c>
      <c r="E2024" s="218">
        <v>11</v>
      </c>
    </row>
    <row r="2025" spans="1:5" x14ac:dyDescent="0.35">
      <c r="A2025" s="3" t="str">
        <f>IF(D2025="","",(VLOOKUP($D2025,KEY!$B$5:$D$74,3,FALSE)))</f>
        <v>Northern California</v>
      </c>
      <c r="B2025" s="221">
        <f t="shared" si="18"/>
        <v>45870</v>
      </c>
      <c r="C2025" s="221" t="str">
        <f>IFERROR(VLOOKUP($B2025,KEY!$AE$19:$AH$60,2,FALSE),"")</f>
        <v>2025-Q3</v>
      </c>
      <c r="D2025" s="222" t="s">
        <v>118</v>
      </c>
      <c r="E2025" s="218">
        <v>13</v>
      </c>
    </row>
    <row r="2026" spans="1:5" x14ac:dyDescent="0.35">
      <c r="A2026" s="3" t="str">
        <f>IF(D2026="","",(VLOOKUP($D2026,KEY!$B$5:$D$74,3,FALSE)))</f>
        <v>Orange County</v>
      </c>
      <c r="B2026" s="221">
        <f t="shared" si="18"/>
        <v>45870</v>
      </c>
      <c r="C2026" s="221" t="str">
        <f>IFERROR(VLOOKUP($B2026,KEY!$AE$19:$AH$60,2,FALSE),"")</f>
        <v>2025-Q3</v>
      </c>
      <c r="D2026" s="222" t="s">
        <v>117</v>
      </c>
      <c r="E2026" s="218">
        <v>6</v>
      </c>
    </row>
    <row r="2027" spans="1:5" x14ac:dyDescent="0.35">
      <c r="A2027" s="3" t="str">
        <f>IF(D2027="","",(VLOOKUP($D2027,KEY!$B$5:$D$74,3,FALSE)))</f>
        <v>Arizona</v>
      </c>
      <c r="B2027" s="221">
        <f t="shared" si="18"/>
        <v>45870</v>
      </c>
      <c r="C2027" s="221" t="str">
        <f>IFERROR(VLOOKUP($B2027,KEY!$AE$19:$AH$60,2,FALSE),"")</f>
        <v>2025-Q3</v>
      </c>
      <c r="D2027" s="222" t="s">
        <v>119</v>
      </c>
      <c r="E2027" s="218">
        <v>4</v>
      </c>
    </row>
    <row r="2028" spans="1:5" x14ac:dyDescent="0.35">
      <c r="A2028" s="3" t="str">
        <f>IF(D2028="","",(VLOOKUP($D2028,KEY!$B$5:$D$74,3,FALSE)))</f>
        <v/>
      </c>
      <c r="B2028" s="221">
        <f t="shared" si="18"/>
        <v>45870</v>
      </c>
      <c r="C2028" s="221" t="str">
        <f>IFERROR(VLOOKUP($B2028,KEY!$AE$19:$AH$60,2,FALSE),"")</f>
        <v>2025-Q3</v>
      </c>
      <c r="D2028" s="222"/>
      <c r="E2028" s="218"/>
    </row>
    <row r="2029" spans="1:5" x14ac:dyDescent="0.35">
      <c r="A2029" s="3" t="str">
        <f>IF(D2029="","",(VLOOKUP($D2029,KEY!$B$5:$D$74,3,FALSE)))</f>
        <v>Arizona</v>
      </c>
      <c r="B2029" s="221">
        <f t="shared" si="18"/>
        <v>45870</v>
      </c>
      <c r="C2029" s="221" t="str">
        <f>IFERROR(VLOOKUP($B2029,KEY!$AE$19:$AH$60,2,FALSE),"")</f>
        <v>2025-Q3</v>
      </c>
      <c r="D2029" s="222" t="s">
        <v>120</v>
      </c>
      <c r="E2029" s="218">
        <v>24</v>
      </c>
    </row>
    <row r="2030" spans="1:5" x14ac:dyDescent="0.35">
      <c r="A2030" s="3" t="str">
        <f>IF(D2030="","",(VLOOKUP($D2030,KEY!$B$5:$D$74,3,FALSE)))</f>
        <v>Texas</v>
      </c>
      <c r="B2030" s="221">
        <f t="shared" si="18"/>
        <v>45870</v>
      </c>
      <c r="C2030" s="221" t="str">
        <f>IFERROR(VLOOKUP($B2030,KEY!$AE$19:$AH$60,2,FALSE),"")</f>
        <v>2025-Q3</v>
      </c>
      <c r="D2030" s="222" t="s">
        <v>121</v>
      </c>
      <c r="E2030" s="218">
        <v>23</v>
      </c>
    </row>
    <row r="2031" spans="1:5" x14ac:dyDescent="0.35">
      <c r="A2031" s="3" t="str">
        <f>IF(D2031="","",(VLOOKUP($D2031,KEY!$B$5:$D$74,3,FALSE)))</f>
        <v>Michigan &amp; Minnesota</v>
      </c>
      <c r="B2031" s="221">
        <f t="shared" si="18"/>
        <v>45870</v>
      </c>
      <c r="C2031" s="221" t="str">
        <f>IFERROR(VLOOKUP($B2031,KEY!$AE$19:$AH$60,2,FALSE),"")</f>
        <v>2025-Q3</v>
      </c>
      <c r="D2031" s="222" t="s">
        <v>200</v>
      </c>
      <c r="E2031" s="218">
        <v>11</v>
      </c>
    </row>
    <row r="2032" spans="1:5" x14ac:dyDescent="0.35">
      <c r="A2032" s="3" t="str">
        <f>IF(D2032="","",(VLOOKUP($D2032,KEY!$B$5:$D$74,3,FALSE)))</f>
        <v>Southern California</v>
      </c>
      <c r="B2032" s="221">
        <f t="shared" si="18"/>
        <v>45870</v>
      </c>
      <c r="C2032" s="221" t="str">
        <f>IFERROR(VLOOKUP($B2032,KEY!$AE$19:$AH$60,2,FALSE),"")</f>
        <v>2025-Q3</v>
      </c>
      <c r="D2032" s="222" t="s">
        <v>122</v>
      </c>
      <c r="E2032" s="218">
        <v>9</v>
      </c>
    </row>
    <row r="2033" spans="1:5" x14ac:dyDescent="0.35">
      <c r="A2033" s="3" t="str">
        <f>IF(D2033="","",(VLOOKUP($D2033,KEY!$B$5:$D$74,3,FALSE)))</f>
        <v>Orange County</v>
      </c>
      <c r="B2033" s="221">
        <f t="shared" si="18"/>
        <v>45870</v>
      </c>
      <c r="C2033" s="221" t="str">
        <f>IFERROR(VLOOKUP($B2033,KEY!$AE$19:$AH$60,2,FALSE),"")</f>
        <v>2025-Q3</v>
      </c>
      <c r="D2033" s="222" t="s">
        <v>123</v>
      </c>
      <c r="E2033" s="218">
        <v>19</v>
      </c>
    </row>
    <row r="2034" spans="1:5" x14ac:dyDescent="0.35">
      <c r="A2034" s="3" t="str">
        <f>IF(D2034="","",(VLOOKUP($D2034,KEY!$B$5:$D$74,3,FALSE)))</f>
        <v>Southern California</v>
      </c>
      <c r="B2034" s="221">
        <f t="shared" si="18"/>
        <v>45870</v>
      </c>
      <c r="C2034" s="221" t="str">
        <f>IFERROR(VLOOKUP($B2034,KEY!$AE$19:$AH$60,2,FALSE),"")</f>
        <v>2025-Q3</v>
      </c>
      <c r="D2034" s="222" t="s">
        <v>124</v>
      </c>
      <c r="E2034" s="218">
        <v>21</v>
      </c>
    </row>
    <row r="2035" spans="1:5" x14ac:dyDescent="0.35">
      <c r="A2035" s="3" t="str">
        <f>IF(D2035="","",(VLOOKUP($D2035,KEY!$B$5:$D$74,3,FALSE)))</f>
        <v>Northern California</v>
      </c>
      <c r="B2035" s="221">
        <f t="shared" si="18"/>
        <v>45870</v>
      </c>
      <c r="C2035" s="221" t="str">
        <f>IFERROR(VLOOKUP($B2035,KEY!$AE$19:$AH$60,2,FALSE),"")</f>
        <v>2025-Q3</v>
      </c>
      <c r="D2035" s="222" t="s">
        <v>195</v>
      </c>
      <c r="E2035" s="218">
        <v>5</v>
      </c>
    </row>
    <row r="2036" spans="1:5" x14ac:dyDescent="0.35">
      <c r="A2036" s="3" t="str">
        <f>IF(D2036="","",(VLOOKUP($D2036,KEY!$B$5:$D$74,3,FALSE)))</f>
        <v>Northern California</v>
      </c>
      <c r="B2036" s="221">
        <f t="shared" si="18"/>
        <v>45870</v>
      </c>
      <c r="C2036" s="221" t="str">
        <f>IFERROR(VLOOKUP($B2036,KEY!$AE$19:$AH$60,2,FALSE),"")</f>
        <v>2025-Q3</v>
      </c>
      <c r="D2036" s="222" t="s">
        <v>125</v>
      </c>
      <c r="E2036" s="218">
        <v>22</v>
      </c>
    </row>
    <row r="2037" spans="1:5" x14ac:dyDescent="0.35">
      <c r="A2037" s="3" t="str">
        <f>IF(D2037="","",(VLOOKUP($D2037,KEY!$B$5:$D$74,3,FALSE)))</f>
        <v>Orange County</v>
      </c>
      <c r="B2037" s="221">
        <f t="shared" si="18"/>
        <v>45870</v>
      </c>
      <c r="C2037" s="221" t="str">
        <f>IFERROR(VLOOKUP($B2037,KEY!$AE$19:$AH$60,2,FALSE),"")</f>
        <v>2025-Q3</v>
      </c>
      <c r="D2037" s="222" t="s">
        <v>126</v>
      </c>
      <c r="E2037" s="218">
        <v>28</v>
      </c>
    </row>
    <row r="2038" spans="1:5" x14ac:dyDescent="0.35">
      <c r="A2038" s="3" t="str">
        <f>IF(D2038="","",(VLOOKUP($D2038,KEY!$B$5:$D$74,3,FALSE)))</f>
        <v>Orange County</v>
      </c>
      <c r="B2038" s="221">
        <f t="shared" si="18"/>
        <v>45870</v>
      </c>
      <c r="C2038" s="221" t="str">
        <f>IFERROR(VLOOKUP($B2038,KEY!$AE$19:$AH$60,2,FALSE),"")</f>
        <v>2025-Q3</v>
      </c>
      <c r="D2038" s="222" t="s">
        <v>127</v>
      </c>
      <c r="E2038" s="218">
        <v>2.5</v>
      </c>
    </row>
    <row r="2039" spans="1:5" x14ac:dyDescent="0.35">
      <c r="A2039" s="3" t="str">
        <f>IF(D2039="","",(VLOOKUP($D2039,KEY!$B$5:$D$74,3,FALSE)))</f>
        <v>Wisconsin</v>
      </c>
      <c r="B2039" s="221">
        <f t="shared" si="18"/>
        <v>45870</v>
      </c>
      <c r="C2039" s="221" t="str">
        <f>IFERROR(VLOOKUP($B2039,KEY!$AE$19:$AH$60,2,FALSE),"")</f>
        <v>2025-Q3</v>
      </c>
      <c r="D2039" s="222" t="s">
        <v>201</v>
      </c>
      <c r="E2039" s="218">
        <v>14</v>
      </c>
    </row>
    <row r="2040" spans="1:5" x14ac:dyDescent="0.35">
      <c r="A2040" s="3" t="e">
        <f>IF(D2040="","",(VLOOKUP($D2040,KEY!$B$5:$D$74,3,FALSE)))</f>
        <v>#N/A</v>
      </c>
      <c r="B2040" s="221">
        <f t="shared" si="18"/>
        <v>45870</v>
      </c>
      <c r="C2040" s="221" t="str">
        <f>IFERROR(VLOOKUP($B2040,KEY!$AE$19:$AH$60,2,FALSE),"")</f>
        <v>2025-Q3</v>
      </c>
      <c r="D2040" s="222" t="s">
        <v>202</v>
      </c>
      <c r="E2040" s="218">
        <v>3</v>
      </c>
    </row>
    <row r="2041" spans="1:5" x14ac:dyDescent="0.35">
      <c r="A2041" s="3" t="str">
        <f>IF(D2041="","",(VLOOKUP($D2041,KEY!$B$5:$D$74,3,FALSE)))</f>
        <v>Texas</v>
      </c>
      <c r="B2041" s="221">
        <f t="shared" si="18"/>
        <v>45870</v>
      </c>
      <c r="C2041" s="221" t="str">
        <f>IFERROR(VLOOKUP($B2041,KEY!$AE$19:$AH$60,2,FALSE),"")</f>
        <v>2025-Q3</v>
      </c>
      <c r="D2041" s="222" t="s">
        <v>198</v>
      </c>
      <c r="E2041" s="218">
        <v>7</v>
      </c>
    </row>
    <row r="2042" spans="1:5" x14ac:dyDescent="0.35">
      <c r="A2042" s="3" t="str">
        <f>IF(D2042="","",(VLOOKUP($D2042,KEY!$B$5:$D$74,3,FALSE)))</f>
        <v>Texas</v>
      </c>
      <c r="B2042" s="221">
        <f t="shared" si="18"/>
        <v>45870</v>
      </c>
      <c r="C2042" s="221" t="str">
        <f>IFERROR(VLOOKUP($B2042,KEY!$AE$19:$AH$60,2,FALSE),"")</f>
        <v>2025-Q3</v>
      </c>
      <c r="D2042" s="222" t="s">
        <v>128</v>
      </c>
      <c r="E2042" s="218">
        <v>13</v>
      </c>
    </row>
    <row r="2043" spans="1:5" x14ac:dyDescent="0.35">
      <c r="A2043" s="3" t="str">
        <f>IF(D2043="","",(VLOOKUP($D2043,KEY!$B$5:$D$74,3,FALSE)))</f>
        <v>Northern California</v>
      </c>
      <c r="B2043" s="221">
        <f t="shared" si="18"/>
        <v>45870</v>
      </c>
      <c r="C2043" s="221" t="str">
        <f>IFERROR(VLOOKUP($B2043,KEY!$AE$19:$AH$60,2,FALSE),"")</f>
        <v>2025-Q3</v>
      </c>
      <c r="D2043" s="222" t="s">
        <v>129</v>
      </c>
      <c r="E2043" s="218">
        <v>16</v>
      </c>
    </row>
    <row r="2044" spans="1:5" x14ac:dyDescent="0.35">
      <c r="A2044" s="3" t="str">
        <f>IF(D2044="","",(VLOOKUP($D2044,KEY!$B$5:$D$74,3,FALSE)))</f>
        <v>Southern California</v>
      </c>
      <c r="B2044" s="221">
        <f t="shared" si="18"/>
        <v>45870</v>
      </c>
      <c r="C2044" s="221" t="str">
        <f>IFERROR(VLOOKUP($B2044,KEY!$AE$19:$AH$60,2,FALSE),"")</f>
        <v>2025-Q3</v>
      </c>
      <c r="D2044" s="222" t="s">
        <v>130</v>
      </c>
      <c r="E2044" s="218">
        <v>11</v>
      </c>
    </row>
    <row r="2045" spans="1:5" x14ac:dyDescent="0.35">
      <c r="A2045" s="3" t="str">
        <f>IF(D2045="","",(VLOOKUP($D2045,KEY!$B$5:$D$74,3,FALSE)))</f>
        <v>Texas</v>
      </c>
      <c r="B2045" s="221">
        <f t="shared" si="18"/>
        <v>45870</v>
      </c>
      <c r="C2045" s="221" t="str">
        <f>IFERROR(VLOOKUP($B2045,KEY!$AE$19:$AH$60,2,FALSE),"")</f>
        <v>2025-Q3</v>
      </c>
      <c r="D2045" s="222" t="s">
        <v>210</v>
      </c>
      <c r="E2045" s="218">
        <v>9</v>
      </c>
    </row>
    <row r="2046" spans="1:5" x14ac:dyDescent="0.35">
      <c r="A2046" s="3" t="e">
        <f>IF(D2046="","",(VLOOKUP($D2046,KEY!$B$5:$D$74,3,FALSE)))</f>
        <v>#N/A</v>
      </c>
      <c r="B2046" s="221">
        <f t="shared" si="18"/>
        <v>45870</v>
      </c>
      <c r="C2046" s="221" t="str">
        <f>IFERROR(VLOOKUP($B2046,KEY!$AE$19:$AH$60,2,FALSE),"")</f>
        <v>2025-Q3</v>
      </c>
      <c r="D2046" s="222" t="s">
        <v>203</v>
      </c>
      <c r="E2046" s="218">
        <v>9</v>
      </c>
    </row>
    <row r="2047" spans="1:5" x14ac:dyDescent="0.35">
      <c r="A2047" s="3">
        <f>IF(D2047="","",(VLOOKUP($D2047,KEY!$B$5:$D$74,3,FALSE)))</f>
        <v>0</v>
      </c>
      <c r="B2047" s="221">
        <f t="shared" si="18"/>
        <v>45870</v>
      </c>
      <c r="C2047" s="221" t="str">
        <f>IFERROR(VLOOKUP($B2047,KEY!$AE$19:$AH$60,2,FALSE),"")</f>
        <v>2025-Q3</v>
      </c>
      <c r="D2047" s="222" t="s">
        <v>131</v>
      </c>
      <c r="E2047" s="218">
        <v>10</v>
      </c>
    </row>
    <row r="2048" spans="1:5" x14ac:dyDescent="0.35">
      <c r="A2048" s="3" t="e">
        <f>IF(D2048="","",(VLOOKUP($D2048,KEY!$B$5:$D$74,3,FALSE)))</f>
        <v>#N/A</v>
      </c>
      <c r="B2048" s="221">
        <f t="shared" si="18"/>
        <v>45870</v>
      </c>
      <c r="C2048" s="221" t="str">
        <f>IFERROR(VLOOKUP($B2048,KEY!$AE$19:$AH$60,2,FALSE),"")</f>
        <v>2025-Q3</v>
      </c>
      <c r="D2048" s="222" t="s">
        <v>134</v>
      </c>
      <c r="E2048" s="218">
        <v>5</v>
      </c>
    </row>
    <row r="2049" spans="1:5" x14ac:dyDescent="0.35">
      <c r="A2049" s="3" t="str">
        <f>IF(D2049="","",(VLOOKUP($D2049,KEY!$B$5:$D$74,3,FALSE)))</f>
        <v>Southern California</v>
      </c>
      <c r="B2049" s="221">
        <f t="shared" si="18"/>
        <v>45870</v>
      </c>
      <c r="C2049" s="221" t="str">
        <f>IFERROR(VLOOKUP($B2049,KEY!$AE$19:$AH$60,2,FALSE),"")</f>
        <v>2025-Q3</v>
      </c>
      <c r="D2049" s="222" t="s">
        <v>135</v>
      </c>
      <c r="E2049" s="218">
        <v>15</v>
      </c>
    </row>
    <row r="2050" spans="1:5" x14ac:dyDescent="0.35">
      <c r="A2050" s="3" t="str">
        <f>IF(D2050="","",(VLOOKUP($D2050,KEY!$B$5:$D$74,3,FALSE)))</f>
        <v>Arizona</v>
      </c>
      <c r="B2050" s="221">
        <f t="shared" si="18"/>
        <v>45870</v>
      </c>
      <c r="C2050" s="221" t="str">
        <f>IFERROR(VLOOKUP($B2050,KEY!$AE$19:$AH$60,2,FALSE),"")</f>
        <v>2025-Q3</v>
      </c>
      <c r="D2050" s="222" t="s">
        <v>204</v>
      </c>
      <c r="E2050" s="218">
        <v>1</v>
      </c>
    </row>
    <row r="2051" spans="1:5" x14ac:dyDescent="0.35">
      <c r="A2051" s="3" t="str">
        <f>IF(D2051="","",(VLOOKUP($D2051,KEY!$B$5:$D$74,3,FALSE)))</f>
        <v>Arizona</v>
      </c>
      <c r="B2051" s="221">
        <f t="shared" si="18"/>
        <v>45870</v>
      </c>
      <c r="C2051" s="221" t="str">
        <f>IFERROR(VLOOKUP($B2051,KEY!$AE$19:$AH$60,2,FALSE),"")</f>
        <v>2025-Q3</v>
      </c>
      <c r="D2051" s="222" t="s">
        <v>196</v>
      </c>
      <c r="E2051" s="218">
        <v>5</v>
      </c>
    </row>
    <row r="2052" spans="1:5" x14ac:dyDescent="0.35">
      <c r="A2052" s="3" t="str">
        <f>IF(D2052="","",(VLOOKUP($D2052,KEY!$B$5:$D$74,3,FALSE)))</f>
        <v>Arizona</v>
      </c>
      <c r="B2052" s="221">
        <f t="shared" si="18"/>
        <v>45870</v>
      </c>
      <c r="C2052" s="221" t="str">
        <f>IFERROR(VLOOKUP($B2052,KEY!$AE$19:$AH$60,2,FALSE),"")</f>
        <v>2025-Q3</v>
      </c>
      <c r="D2052" s="222" t="s">
        <v>197</v>
      </c>
      <c r="E2052" s="218">
        <v>12</v>
      </c>
    </row>
    <row r="2053" spans="1:5" x14ac:dyDescent="0.35">
      <c r="A2053" s="3" t="str">
        <f>IF(D2053="","",(VLOOKUP($D2053,KEY!$B$5:$D$74,3,FALSE)))</f>
        <v>Texas</v>
      </c>
      <c r="B2053" s="221">
        <f t="shared" si="18"/>
        <v>45870</v>
      </c>
      <c r="C2053" s="221" t="str">
        <f>IFERROR(VLOOKUP($B2053,KEY!$AE$19:$AH$60,2,FALSE),"")</f>
        <v>2025-Q3</v>
      </c>
      <c r="D2053" s="222" t="s">
        <v>136</v>
      </c>
      <c r="E2053" s="218">
        <v>16</v>
      </c>
    </row>
    <row r="2054" spans="1:5" x14ac:dyDescent="0.35">
      <c r="A2054" s="3" t="str">
        <f>IF(D2054="","",(VLOOKUP($D2054,KEY!$B$5:$D$74,3,FALSE)))</f>
        <v>Arizona</v>
      </c>
      <c r="B2054" s="221">
        <f t="shared" si="18"/>
        <v>45870</v>
      </c>
      <c r="C2054" s="221" t="str">
        <f>IFERROR(VLOOKUP($B2054,KEY!$AE$19:$AH$60,2,FALSE),"")</f>
        <v>2025-Q3</v>
      </c>
      <c r="D2054" s="222" t="s">
        <v>137</v>
      </c>
      <c r="E2054" s="218">
        <v>8</v>
      </c>
    </row>
    <row r="2055" spans="1:5" x14ac:dyDescent="0.35">
      <c r="A2055" s="3" t="str">
        <f>IF(D2055="","",(VLOOKUP($D2055,KEY!$B$5:$D$74,3,FALSE)))</f>
        <v>Texas</v>
      </c>
      <c r="B2055" s="221">
        <f t="shared" si="18"/>
        <v>45870</v>
      </c>
      <c r="C2055" s="221" t="str">
        <f>IFERROR(VLOOKUP($B2055,KEY!$AE$19:$AH$60,2,FALSE),"")</f>
        <v>2025-Q3</v>
      </c>
      <c r="D2055" s="222" t="s">
        <v>138</v>
      </c>
      <c r="E2055" s="218">
        <v>10</v>
      </c>
    </row>
    <row r="2056" spans="1:5" x14ac:dyDescent="0.35">
      <c r="A2056" s="3" t="str">
        <f>IF(D2056="","",(VLOOKUP($D2056,KEY!$B$5:$D$74,3,FALSE)))</f>
        <v>Southern California</v>
      </c>
      <c r="B2056" s="221">
        <f t="shared" si="18"/>
        <v>45870</v>
      </c>
      <c r="C2056" s="221" t="str">
        <f>IFERROR(VLOOKUP($B2056,KEY!$AE$19:$AH$60,2,FALSE),"")</f>
        <v>2025-Q3</v>
      </c>
      <c r="D2056" s="222" t="s">
        <v>139</v>
      </c>
      <c r="E2056" s="218">
        <v>14</v>
      </c>
    </row>
    <row r="2057" spans="1:5" x14ac:dyDescent="0.35">
      <c r="A2057" s="3" t="str">
        <f>IF(D2057="","",(VLOOKUP($D2057,KEY!$B$5:$D$74,3,FALSE)))</f>
        <v>Orange County</v>
      </c>
      <c r="B2057" s="221">
        <f t="shared" si="18"/>
        <v>45870</v>
      </c>
      <c r="C2057" s="221" t="str">
        <f>IFERROR(VLOOKUP($B2057,KEY!$AE$19:$AH$60,2,FALSE),"")</f>
        <v>2025-Q3</v>
      </c>
      <c r="D2057" s="222" t="s">
        <v>140</v>
      </c>
      <c r="E2057" s="218">
        <v>4</v>
      </c>
    </row>
    <row r="2058" spans="1:5" x14ac:dyDescent="0.35">
      <c r="A2058" s="3" t="str">
        <f>IF(D2058="","",(VLOOKUP($D2058,KEY!$B$5:$D$74,3,FALSE)))</f>
        <v>Southern California</v>
      </c>
      <c r="B2058" s="221">
        <f t="shared" si="18"/>
        <v>45870</v>
      </c>
      <c r="C2058" s="221" t="str">
        <f>IFERROR(VLOOKUP($B2058,KEY!$AE$19:$AH$60,2,FALSE),"")</f>
        <v>2025-Q3</v>
      </c>
      <c r="D2058" s="222" t="s">
        <v>142</v>
      </c>
      <c r="E2058" s="218">
        <v>6</v>
      </c>
    </row>
    <row r="2059" spans="1:5" x14ac:dyDescent="0.35">
      <c r="A2059" s="3" t="str">
        <f>IF(D2059="","",(VLOOKUP($D2059,KEY!$B$5:$D$74,3,FALSE)))</f>
        <v>Arizona</v>
      </c>
      <c r="B2059" s="221">
        <f t="shared" si="18"/>
        <v>45870</v>
      </c>
      <c r="C2059" s="221" t="str">
        <f>IFERROR(VLOOKUP($B2059,KEY!$AE$19:$AH$60,2,FALSE),"")</f>
        <v>2025-Q3</v>
      </c>
      <c r="D2059" s="222" t="s">
        <v>143</v>
      </c>
      <c r="E2059" s="218">
        <v>9</v>
      </c>
    </row>
    <row r="2060" spans="1:5" x14ac:dyDescent="0.35">
      <c r="A2060" s="3" t="str">
        <f>IF(D2060="","",(VLOOKUP($D2060,KEY!$B$5:$D$74,3,FALSE)))</f>
        <v>Arizona</v>
      </c>
      <c r="B2060" s="221">
        <f t="shared" si="18"/>
        <v>45870</v>
      </c>
      <c r="C2060" s="221" t="str">
        <f>IFERROR(VLOOKUP($B2060,KEY!$AE$19:$AH$60,2,FALSE),"")</f>
        <v>2025-Q3</v>
      </c>
      <c r="D2060" s="222" t="s">
        <v>144</v>
      </c>
      <c r="E2060" s="218">
        <v>19</v>
      </c>
    </row>
    <row r="2061" spans="1:5" x14ac:dyDescent="0.35">
      <c r="A2061" s="3" t="str">
        <f>IF(D2061="","",(VLOOKUP($D2061,KEY!$B$5:$D$74,3,FALSE)))</f>
        <v>Southern California</v>
      </c>
      <c r="B2061" s="221">
        <f t="shared" si="18"/>
        <v>45870</v>
      </c>
      <c r="C2061" s="221" t="str">
        <f>IFERROR(VLOOKUP($B2061,KEY!$AE$19:$AH$60,2,FALSE),"")</f>
        <v>2025-Q3</v>
      </c>
      <c r="D2061" s="222" t="s">
        <v>145</v>
      </c>
      <c r="E2061" s="218">
        <v>17</v>
      </c>
    </row>
    <row r="2062" spans="1:5" x14ac:dyDescent="0.35">
      <c r="A2062" s="3" t="str">
        <f>IF(D2062="","",(VLOOKUP($D2062,KEY!$B$5:$D$74,3,FALSE)))</f>
        <v>Arizona</v>
      </c>
      <c r="B2062" s="221">
        <f t="shared" si="18"/>
        <v>45870</v>
      </c>
      <c r="C2062" s="221" t="str">
        <f>IFERROR(VLOOKUP($B2062,KEY!$AE$19:$AH$60,2,FALSE),"")</f>
        <v>2025-Q3</v>
      </c>
      <c r="D2062" s="222" t="s">
        <v>146</v>
      </c>
      <c r="E2062" s="218">
        <v>4</v>
      </c>
    </row>
    <row r="2063" spans="1:5" x14ac:dyDescent="0.35">
      <c r="A2063" s="3" t="str">
        <f>IF(D2063="","",(VLOOKUP($D2063,KEY!$B$5:$D$74,3,FALSE)))</f>
        <v>Texas</v>
      </c>
      <c r="B2063" s="221">
        <f t="shared" si="18"/>
        <v>45870</v>
      </c>
      <c r="C2063" s="221" t="str">
        <f>IFERROR(VLOOKUP($B2063,KEY!$AE$19:$AH$60,2,FALSE),"")</f>
        <v>2025-Q3</v>
      </c>
      <c r="D2063" s="222" t="s">
        <v>147</v>
      </c>
      <c r="E2063" s="218">
        <v>4</v>
      </c>
    </row>
    <row r="2064" spans="1:5" x14ac:dyDescent="0.35">
      <c r="A2064" s="3" t="str">
        <f>IF(D2064="","",(VLOOKUP($D2064,KEY!$B$5:$D$74,3,FALSE)))</f>
        <v>Northern California</v>
      </c>
      <c r="B2064" s="221">
        <f t="shared" si="18"/>
        <v>45870</v>
      </c>
      <c r="C2064" s="221" t="str">
        <f>IFERROR(VLOOKUP($B2064,KEY!$AE$19:$AH$60,2,FALSE),"")</f>
        <v>2025-Q3</v>
      </c>
      <c r="D2064" s="222" t="s">
        <v>148</v>
      </c>
      <c r="E2064" s="218">
        <v>4</v>
      </c>
    </row>
    <row r="2065" spans="1:5" x14ac:dyDescent="0.35">
      <c r="A2065" s="3" t="str">
        <f>IF(D2065="","",(VLOOKUP($D2065,KEY!$B$5:$D$74,3,FALSE)))</f>
        <v>Orange County</v>
      </c>
      <c r="B2065" s="221">
        <f t="shared" si="18"/>
        <v>45870</v>
      </c>
      <c r="C2065" s="221" t="str">
        <f>IFERROR(VLOOKUP($B2065,KEY!$AE$19:$AH$60,2,FALSE),"")</f>
        <v>2025-Q3</v>
      </c>
      <c r="D2065" s="222" t="s">
        <v>149</v>
      </c>
      <c r="E2065" s="218">
        <v>3</v>
      </c>
    </row>
    <row r="2066" spans="1:5" x14ac:dyDescent="0.35">
      <c r="A2066" s="3" t="str">
        <f>IF(D2066="","",(VLOOKUP($D2066,KEY!$B$5:$D$74,3,FALSE)))</f>
        <v>Southern California</v>
      </c>
      <c r="B2066" s="221">
        <f t="shared" si="18"/>
        <v>45870</v>
      </c>
      <c r="C2066" s="221" t="str">
        <f>IFERROR(VLOOKUP($B2066,KEY!$AE$19:$AH$60,2,FALSE),"")</f>
        <v>2025-Q3</v>
      </c>
      <c r="D2066" s="222" t="s">
        <v>150</v>
      </c>
      <c r="E2066" s="218">
        <v>4</v>
      </c>
    </row>
    <row r="2067" spans="1:5" x14ac:dyDescent="0.35">
      <c r="A2067" s="3" t="str">
        <f>IF(D2067="","",(VLOOKUP($D2067,KEY!$B$5:$D$74,3,FALSE)))</f>
        <v>Arizona</v>
      </c>
      <c r="B2067" s="221">
        <f t="shared" si="18"/>
        <v>45870</v>
      </c>
      <c r="C2067" s="221" t="str">
        <f>IFERROR(VLOOKUP($B2067,KEY!$AE$19:$AH$60,2,FALSE),"")</f>
        <v>2025-Q3</v>
      </c>
      <c r="D2067" s="222" t="s">
        <v>151</v>
      </c>
      <c r="E2067" s="218">
        <v>4</v>
      </c>
    </row>
    <row r="2068" spans="1:5" x14ac:dyDescent="0.35">
      <c r="A2068" s="3" t="str">
        <f>IF(D2068="","",(VLOOKUP($D2068,KEY!$B$5:$D$74,3,FALSE)))</f>
        <v>Michigan &amp; Minnesota</v>
      </c>
      <c r="B2068" s="221">
        <f t="shared" si="18"/>
        <v>45870</v>
      </c>
      <c r="C2068" s="221" t="str">
        <f>IFERROR(VLOOKUP($B2068,KEY!$AE$19:$AH$60,2,FALSE),"")</f>
        <v>2025-Q3</v>
      </c>
      <c r="D2068" s="222" t="s">
        <v>206</v>
      </c>
      <c r="E2068" s="218">
        <v>19</v>
      </c>
    </row>
    <row r="2069" spans="1:5" x14ac:dyDescent="0.35">
      <c r="A2069" s="3" t="str">
        <f>IF(D2069="","",(VLOOKUP($D2069,KEY!$B$5:$D$74,3,FALSE)))</f>
        <v>Michigan &amp; Minnesota</v>
      </c>
      <c r="B2069" s="221">
        <f t="shared" si="18"/>
        <v>45870</v>
      </c>
      <c r="C2069" s="221" t="str">
        <f>IFERROR(VLOOKUP($B2069,KEY!$AE$19:$AH$60,2,FALSE),"")</f>
        <v>2025-Q3</v>
      </c>
      <c r="D2069" s="222" t="s">
        <v>207</v>
      </c>
      <c r="E2069" s="218">
        <v>6</v>
      </c>
    </row>
    <row r="2070" spans="1:5" x14ac:dyDescent="0.35">
      <c r="A2070" s="3" t="str">
        <f>IF(D2070="","",(VLOOKUP($D2070,KEY!$B$5:$D$74,3,FALSE)))</f>
        <v>Indiana</v>
      </c>
      <c r="B2070" s="221">
        <f t="shared" si="18"/>
        <v>45870</v>
      </c>
      <c r="C2070" s="221" t="str">
        <f>IFERROR(VLOOKUP($B2070,KEY!$AE$19:$AH$60,2,FALSE),"")</f>
        <v>2025-Q3</v>
      </c>
      <c r="D2070" s="222" t="s">
        <v>208</v>
      </c>
      <c r="E2070" s="218">
        <v>11</v>
      </c>
    </row>
    <row r="2071" spans="1:5" x14ac:dyDescent="0.35">
      <c r="A2071" s="3" t="str">
        <f>IF(D2071="","",(VLOOKUP($D2071,KEY!$B$5:$D$74,3,FALSE)))</f>
        <v>Indiana</v>
      </c>
      <c r="B2071" s="221">
        <f t="shared" si="18"/>
        <v>45870</v>
      </c>
      <c r="C2071" s="221" t="str">
        <f>IFERROR(VLOOKUP($B2071,KEY!$AE$19:$AH$60,2,FALSE),"")</f>
        <v>2025-Q3</v>
      </c>
      <c r="D2071" s="222" t="s">
        <v>209</v>
      </c>
      <c r="E2071" s="218">
        <v>26</v>
      </c>
    </row>
    <row r="2072" spans="1:5" x14ac:dyDescent="0.35">
      <c r="A2072" s="3" t="str">
        <f>IF(D2072="","",(VLOOKUP($D2072,KEY!$B$5:$D$74,3,FALSE)))</f>
        <v>Northern California</v>
      </c>
      <c r="B2072" s="221">
        <f t="shared" si="18"/>
        <v>45870</v>
      </c>
      <c r="C2072" s="221" t="str">
        <f>IFERROR(VLOOKUP($B2072,KEY!$AE$19:$AH$60,2,FALSE),"")</f>
        <v>2025-Q3</v>
      </c>
      <c r="D2072" s="222" t="s">
        <v>152</v>
      </c>
      <c r="E2072" s="218">
        <v>13</v>
      </c>
    </row>
    <row r="2073" spans="1:5" x14ac:dyDescent="0.35">
      <c r="A2073" s="3" t="str">
        <f>IF(D2073="","",(VLOOKUP($D2073,KEY!$B$5:$D$74,3,FALSE)))</f>
        <v>Arizona</v>
      </c>
      <c r="B2073" s="221">
        <f t="shared" si="18"/>
        <v>45870</v>
      </c>
      <c r="C2073" s="221" t="str">
        <f>IFERROR(VLOOKUP($B2073,KEY!$AE$19:$AH$60,2,FALSE),"")</f>
        <v>2025-Q3</v>
      </c>
      <c r="D2073" s="222" t="s">
        <v>153</v>
      </c>
      <c r="E2073" s="218">
        <v>14</v>
      </c>
    </row>
    <row r="2074" spans="1:5" x14ac:dyDescent="0.35">
      <c r="A2074" s="3" t="str">
        <f>IF(D2074="","",(VLOOKUP($D2074,KEY!$B$5:$D$74,3,FALSE)))</f>
        <v>Northern California</v>
      </c>
      <c r="B2074" s="221">
        <f t="shared" si="18"/>
        <v>45870</v>
      </c>
      <c r="C2074" s="221" t="str">
        <f>IFERROR(VLOOKUP($B2074,KEY!$AE$19:$AH$60,2,FALSE),"")</f>
        <v>2025-Q3</v>
      </c>
      <c r="D2074" s="222" t="s">
        <v>154</v>
      </c>
      <c r="E2074" s="218">
        <v>9</v>
      </c>
    </row>
    <row r="2075" spans="1:5" x14ac:dyDescent="0.35">
      <c r="A2075" s="3" t="str">
        <f>IF(D2075="","",(VLOOKUP($D2075,KEY!$B$5:$D$74,3,FALSE)))</f>
        <v>Texas</v>
      </c>
      <c r="B2075" s="221">
        <f t="shared" si="18"/>
        <v>45870</v>
      </c>
      <c r="C2075" s="221" t="str">
        <f>IFERROR(VLOOKUP($B2075,KEY!$AE$19:$AH$60,2,FALSE),"")</f>
        <v>2025-Q3</v>
      </c>
      <c r="D2075" s="222" t="s">
        <v>155</v>
      </c>
      <c r="E2075" s="218">
        <v>22</v>
      </c>
    </row>
    <row r="2076" spans="1:5" x14ac:dyDescent="0.35">
      <c r="A2076" s="3" t="str">
        <f>IF(D2076="","",(VLOOKUP($D2076,KEY!$B$5:$D$74,3,FALSE)))</f>
        <v>Texas</v>
      </c>
      <c r="B2076" s="221">
        <f t="shared" si="18"/>
        <v>45870</v>
      </c>
      <c r="C2076" s="221" t="str">
        <f>IFERROR(VLOOKUP($B2076,KEY!$AE$19:$AH$60,2,FALSE),"")</f>
        <v>2025-Q3</v>
      </c>
      <c r="D2076" s="222" t="s">
        <v>156</v>
      </c>
      <c r="E2076" s="218">
        <v>15</v>
      </c>
    </row>
    <row r="2077" spans="1:5" x14ac:dyDescent="0.35">
      <c r="A2077" s="3" t="str">
        <f>IF(D2077="","",(VLOOKUP($D2077,KEY!$B$5:$D$74,3,FALSE)))</f>
        <v>Texas</v>
      </c>
      <c r="B2077" s="221">
        <f t="shared" si="18"/>
        <v>45870</v>
      </c>
      <c r="C2077" s="221" t="str">
        <f>IFERROR(VLOOKUP($B2077,KEY!$AE$19:$AH$60,2,FALSE),"")</f>
        <v>2025-Q3</v>
      </c>
      <c r="D2077" s="222" t="s">
        <v>157</v>
      </c>
      <c r="E2077" s="218">
        <v>36</v>
      </c>
    </row>
    <row r="2078" spans="1:5" x14ac:dyDescent="0.35">
      <c r="A2078" s="3" t="str">
        <f>IF(D2078="","",(VLOOKUP($D2078,KEY!$B$5:$D$74,3,FALSE)))</f>
        <v>Arizona</v>
      </c>
      <c r="B2078" s="221">
        <f t="shared" si="18"/>
        <v>45870</v>
      </c>
      <c r="C2078" s="221" t="str">
        <f>IFERROR(VLOOKUP($B2078,KEY!$AE$19:$AH$60,2,FALSE),"")</f>
        <v>2025-Q3</v>
      </c>
      <c r="D2078" s="222" t="s">
        <v>158</v>
      </c>
      <c r="E2078" s="218">
        <v>6</v>
      </c>
    </row>
    <row r="2079" spans="1:5" x14ac:dyDescent="0.35">
      <c r="A2079" s="3" t="str">
        <f>IF(D2079="","",(VLOOKUP($D2079,KEY!$B$5:$D$74,3,FALSE)))</f>
        <v>Orange County</v>
      </c>
      <c r="B2079" s="221">
        <f t="shared" si="18"/>
        <v>45870</v>
      </c>
      <c r="C2079" s="221" t="str">
        <f>IFERROR(VLOOKUP($B2079,KEY!$AE$19:$AH$60,2,FALSE),"")</f>
        <v>2025-Q3</v>
      </c>
      <c r="D2079" s="222" t="s">
        <v>159</v>
      </c>
      <c r="E2079" s="218">
        <v>8</v>
      </c>
    </row>
    <row r="2080" spans="1:5" x14ac:dyDescent="0.35">
      <c r="A2080" s="3" t="str">
        <f>IF(D2080="","",(VLOOKUP($D2080,KEY!$B$5:$D$74,3,FALSE)))</f>
        <v>Arizona</v>
      </c>
      <c r="B2080" s="221">
        <f t="shared" si="18"/>
        <v>45870</v>
      </c>
      <c r="C2080" s="221" t="str">
        <f>IFERROR(VLOOKUP($B2080,KEY!$AE$19:$AH$60,2,FALSE),"")</f>
        <v>2025-Q3</v>
      </c>
      <c r="D2080" s="222" t="s">
        <v>160</v>
      </c>
      <c r="E2080" s="218">
        <v>22</v>
      </c>
    </row>
    <row r="2081" spans="1:5" x14ac:dyDescent="0.35">
      <c r="A2081" s="3" t="str">
        <f>IF(D2081="","",(VLOOKUP($D2081,KEY!$B$5:$D$74,3,FALSE)))</f>
        <v>Northern California</v>
      </c>
      <c r="B2081" s="221">
        <f t="shared" si="18"/>
        <v>45870</v>
      </c>
      <c r="C2081" s="221" t="str">
        <f>IFERROR(VLOOKUP($B2081,KEY!$AE$19:$AH$60,2,FALSE),"")</f>
        <v>2025-Q3</v>
      </c>
      <c r="D2081" s="222" t="s">
        <v>161</v>
      </c>
      <c r="E2081" s="218">
        <v>20</v>
      </c>
    </row>
    <row r="2082" spans="1:5" x14ac:dyDescent="0.35">
      <c r="A2082" s="3" t="str">
        <f>IF(D2082="","",(VLOOKUP($D2082,KEY!$B$5:$D$74,3,FALSE)))</f>
        <v>Arizona</v>
      </c>
      <c r="B2082" s="221">
        <f t="shared" si="18"/>
        <v>45870</v>
      </c>
      <c r="C2082" s="221" t="str">
        <f>IFERROR(VLOOKUP($B2082,KEY!$AE$19:$AH$60,2,FALSE),"")</f>
        <v>2025-Q3</v>
      </c>
      <c r="D2082" s="222" t="s">
        <v>163</v>
      </c>
      <c r="E2082" s="218">
        <v>19</v>
      </c>
    </row>
    <row r="2083" spans="1:5" x14ac:dyDescent="0.35">
      <c r="A2083" s="3" t="str">
        <f>IF(D2083="","",(VLOOKUP($D2083,KEY!$B$5:$D$74,3,FALSE)))</f>
        <v>Arizona</v>
      </c>
      <c r="B2083" s="221">
        <f t="shared" si="18"/>
        <v>45870</v>
      </c>
      <c r="C2083" s="221" t="str">
        <f>IFERROR(VLOOKUP($B2083,KEY!$AE$19:$AH$60,2,FALSE),"")</f>
        <v>2025-Q3</v>
      </c>
      <c r="D2083" s="222" t="s">
        <v>164</v>
      </c>
      <c r="E2083" s="218">
        <v>7</v>
      </c>
    </row>
    <row r="2084" spans="1:5" x14ac:dyDescent="0.35">
      <c r="A2084" s="3" t="str">
        <f>IF(D2084="","",(VLOOKUP($D2084,KEY!$B$5:$D$74,3,FALSE)))</f>
        <v>Orange County</v>
      </c>
      <c r="B2084" s="221">
        <f t="shared" ref="B2084:B2088" si="19">B2083</f>
        <v>45870</v>
      </c>
      <c r="C2084" s="221" t="str">
        <f>IFERROR(VLOOKUP($B2084,KEY!$AE$19:$AH$60,2,FALSE),"")</f>
        <v>2025-Q3</v>
      </c>
      <c r="D2084" s="222" t="s">
        <v>165</v>
      </c>
      <c r="E2084" s="218">
        <v>5</v>
      </c>
    </row>
    <row r="2085" spans="1:5" x14ac:dyDescent="0.35">
      <c r="A2085" s="3" t="str">
        <f>IF(D2085="","",(VLOOKUP($D2085,KEY!$B$5:$D$74,3,FALSE)))</f>
        <v/>
      </c>
      <c r="B2085" s="221">
        <f t="shared" si="19"/>
        <v>45870</v>
      </c>
      <c r="C2085" s="221" t="str">
        <f>IFERROR(VLOOKUP($B2085,KEY!$AE$19:$AH$60,2,FALSE),"")</f>
        <v>2025-Q3</v>
      </c>
      <c r="D2085" s="222"/>
      <c r="E2085" s="218"/>
    </row>
    <row r="2086" spans="1:5" x14ac:dyDescent="0.35">
      <c r="A2086" s="3" t="str">
        <f>IF(D2086="","",(VLOOKUP($D2086,KEY!$B$5:$D$74,3,FALSE)))</f>
        <v/>
      </c>
      <c r="B2086" s="221">
        <f t="shared" si="19"/>
        <v>45870</v>
      </c>
      <c r="C2086" s="221" t="str">
        <f>IFERROR(VLOOKUP($B2086,KEY!$AE$19:$AH$60,2,FALSE),"")</f>
        <v>2025-Q3</v>
      </c>
      <c r="D2086" s="222"/>
      <c r="E2086" s="218"/>
    </row>
    <row r="2087" spans="1:5" x14ac:dyDescent="0.35">
      <c r="A2087" s="3" t="str">
        <f>IF(D2087="","",(VLOOKUP($D2087,KEY!$B$5:$D$74,3,FALSE)))</f>
        <v/>
      </c>
      <c r="B2087" s="221">
        <f t="shared" si="19"/>
        <v>45870</v>
      </c>
      <c r="C2087" s="221" t="str">
        <f>IFERROR(VLOOKUP($B2087,KEY!$AE$19:$AH$60,2,FALSE),"")</f>
        <v>2025-Q3</v>
      </c>
      <c r="D2087" s="222"/>
      <c r="E2087" s="218"/>
    </row>
    <row r="2088" spans="1:5" x14ac:dyDescent="0.35">
      <c r="A2088" s="3" t="str">
        <f>IF(D2088="","",(VLOOKUP($D2088,KEY!$B$5:$D$74,3,FALSE)))</f>
        <v/>
      </c>
      <c r="B2088" s="402">
        <f t="shared" si="19"/>
        <v>45870</v>
      </c>
      <c r="C2088" s="402" t="str">
        <f>IFERROR(VLOOKUP($B2088,KEY!$AE$19:$AH$60,2,FALSE),"")</f>
        <v>2025-Q3</v>
      </c>
      <c r="D2088" s="403"/>
      <c r="E2088" s="404"/>
    </row>
    <row r="2089" spans="1:5" x14ac:dyDescent="0.35">
      <c r="A2089" s="3" t="str">
        <f>IF(D2089="","",(VLOOKUP($D2089,KEY!$B$5:$D$74,3,FALSE)))</f>
        <v>Arizona</v>
      </c>
      <c r="B2089" s="221">
        <f>DATE(YEAR(B2088+31),MONTH(B2088+31),1)</f>
        <v>45901</v>
      </c>
      <c r="C2089" s="221" t="str">
        <f>IFERROR(VLOOKUP($B2089,KEY!$AE$19:$AH$60,2,FALSE),"")</f>
        <v>2025-Q3</v>
      </c>
      <c r="D2089" s="222" t="s">
        <v>111</v>
      </c>
      <c r="E2089" s="218">
        <v>8</v>
      </c>
    </row>
    <row r="2090" spans="1:5" x14ac:dyDescent="0.35">
      <c r="A2090" s="3" t="str">
        <f>IF(D2090="","",(VLOOKUP($D2090,KEY!$B$5:$D$74,3,FALSE)))</f>
        <v>Southern California</v>
      </c>
      <c r="B2090" s="221">
        <f t="shared" ref="B2090:B2153" si="20">B2089</f>
        <v>45901</v>
      </c>
      <c r="C2090" s="221" t="str">
        <f>IFERROR(VLOOKUP($B2090,KEY!$AE$19:$AH$60,2,FALSE),"")</f>
        <v>2025-Q3</v>
      </c>
      <c r="D2090" s="222" t="s">
        <v>112</v>
      </c>
      <c r="E2090" s="218">
        <v>4</v>
      </c>
    </row>
    <row r="2091" spans="1:5" x14ac:dyDescent="0.35">
      <c r="A2091" s="3" t="str">
        <f>IF(D2091="","",(VLOOKUP($D2091,KEY!$B$5:$D$74,3,FALSE)))</f>
        <v>Arizona</v>
      </c>
      <c r="B2091" s="221">
        <f t="shared" si="20"/>
        <v>45901</v>
      </c>
      <c r="C2091" s="221" t="str">
        <f>IFERROR(VLOOKUP($B2091,KEY!$AE$19:$AH$60,2,FALSE),"")</f>
        <v>2025-Q3</v>
      </c>
      <c r="D2091" s="222" t="s">
        <v>113</v>
      </c>
      <c r="E2091" s="218">
        <v>6</v>
      </c>
    </row>
    <row r="2092" spans="1:5" x14ac:dyDescent="0.35">
      <c r="A2092" s="3" t="str">
        <f>IF(D2092="","",(VLOOKUP($D2092,KEY!$B$5:$D$74,3,FALSE)))</f>
        <v>Southern California</v>
      </c>
      <c r="B2092" s="221">
        <f t="shared" si="20"/>
        <v>45901</v>
      </c>
      <c r="C2092" s="221" t="str">
        <f>IFERROR(VLOOKUP($B2092,KEY!$AE$19:$AH$60,2,FALSE),"")</f>
        <v>2025-Q3</v>
      </c>
      <c r="D2092" s="222" t="s">
        <v>114</v>
      </c>
      <c r="E2092" s="218">
        <v>5</v>
      </c>
    </row>
    <row r="2093" spans="1:5" x14ac:dyDescent="0.35">
      <c r="A2093" s="3" t="str">
        <f>IF(D2093="","",(VLOOKUP($D2093,KEY!$B$5:$D$74,3,FALSE)))</f>
        <v>Orange County</v>
      </c>
      <c r="B2093" s="221">
        <f t="shared" si="20"/>
        <v>45901</v>
      </c>
      <c r="C2093" s="221" t="str">
        <f>IFERROR(VLOOKUP($B2093,KEY!$AE$19:$AH$60,2,FALSE),"")</f>
        <v>2025-Q3</v>
      </c>
      <c r="D2093" s="222" t="s">
        <v>115</v>
      </c>
      <c r="E2093" s="218">
        <v>5</v>
      </c>
    </row>
    <row r="2094" spans="1:5" x14ac:dyDescent="0.35">
      <c r="A2094" s="3" t="str">
        <f>IF(D2094="","",(VLOOKUP($D2094,KEY!$B$5:$D$74,3,FALSE)))</f>
        <v>Arizona</v>
      </c>
      <c r="B2094" s="221">
        <f t="shared" si="20"/>
        <v>45901</v>
      </c>
      <c r="C2094" s="221" t="str">
        <f>IFERROR(VLOOKUP($B2094,KEY!$AE$19:$AH$60,2,FALSE),"")</f>
        <v>2025-Q3</v>
      </c>
      <c r="D2094" s="222" t="s">
        <v>116</v>
      </c>
      <c r="E2094" s="218">
        <v>10</v>
      </c>
    </row>
    <row r="2095" spans="1:5" x14ac:dyDescent="0.35">
      <c r="A2095" s="3" t="str">
        <f>IF(D2095="","",(VLOOKUP($D2095,KEY!$B$5:$D$74,3,FALSE)))</f>
        <v>Northern California</v>
      </c>
      <c r="B2095" s="221">
        <f t="shared" si="20"/>
        <v>45901</v>
      </c>
      <c r="C2095" s="221" t="str">
        <f>IFERROR(VLOOKUP($B2095,KEY!$AE$19:$AH$60,2,FALSE),"")</f>
        <v>2025-Q3</v>
      </c>
      <c r="D2095" s="222" t="s">
        <v>118</v>
      </c>
      <c r="E2095" s="218">
        <v>11</v>
      </c>
    </row>
    <row r="2096" spans="1:5" x14ac:dyDescent="0.35">
      <c r="A2096" s="3" t="str">
        <f>IF(D2096="","",(VLOOKUP($D2096,KEY!$B$5:$D$74,3,FALSE)))</f>
        <v>Orange County</v>
      </c>
      <c r="B2096" s="221">
        <f t="shared" si="20"/>
        <v>45901</v>
      </c>
      <c r="C2096" s="221" t="str">
        <f>IFERROR(VLOOKUP($B2096,KEY!$AE$19:$AH$60,2,FALSE),"")</f>
        <v>2025-Q3</v>
      </c>
      <c r="D2096" s="222" t="s">
        <v>117</v>
      </c>
      <c r="E2096" s="218">
        <v>6</v>
      </c>
    </row>
    <row r="2097" spans="1:5" x14ac:dyDescent="0.35">
      <c r="A2097" s="3" t="str">
        <f>IF(D2097="","",(VLOOKUP($D2097,KEY!$B$5:$D$74,3,FALSE)))</f>
        <v>Arizona</v>
      </c>
      <c r="B2097" s="221">
        <f t="shared" si="20"/>
        <v>45901</v>
      </c>
      <c r="C2097" s="221" t="str">
        <f>IFERROR(VLOOKUP($B2097,KEY!$AE$19:$AH$60,2,FALSE),"")</f>
        <v>2025-Q3</v>
      </c>
      <c r="D2097" s="222" t="s">
        <v>119</v>
      </c>
      <c r="E2097" s="218">
        <v>4</v>
      </c>
    </row>
    <row r="2098" spans="1:5" x14ac:dyDescent="0.35">
      <c r="A2098" s="3" t="str">
        <f>IF(D2098="","",(VLOOKUP($D2098,KEY!$B$5:$D$74,3,FALSE)))</f>
        <v/>
      </c>
      <c r="B2098" s="221">
        <f t="shared" si="20"/>
        <v>45901</v>
      </c>
      <c r="C2098" s="221" t="str">
        <f>IFERROR(VLOOKUP($B2098,KEY!$AE$19:$AH$60,2,FALSE),"")</f>
        <v>2025-Q3</v>
      </c>
      <c r="D2098" s="222"/>
      <c r="E2098" s="218"/>
    </row>
    <row r="2099" spans="1:5" x14ac:dyDescent="0.35">
      <c r="A2099" s="3" t="str">
        <f>IF(D2099="","",(VLOOKUP($D2099,KEY!$B$5:$D$74,3,FALSE)))</f>
        <v>Arizona</v>
      </c>
      <c r="B2099" s="221">
        <f t="shared" si="20"/>
        <v>45901</v>
      </c>
      <c r="C2099" s="221" t="str">
        <f>IFERROR(VLOOKUP($B2099,KEY!$AE$19:$AH$60,2,FALSE),"")</f>
        <v>2025-Q3</v>
      </c>
      <c r="D2099" s="222" t="s">
        <v>120</v>
      </c>
      <c r="E2099" s="218">
        <v>24</v>
      </c>
    </row>
    <row r="2100" spans="1:5" x14ac:dyDescent="0.35">
      <c r="A2100" s="3" t="str">
        <f>IF(D2100="","",(VLOOKUP($D2100,KEY!$B$5:$D$74,3,FALSE)))</f>
        <v>Texas</v>
      </c>
      <c r="B2100" s="221">
        <f t="shared" si="20"/>
        <v>45901</v>
      </c>
      <c r="C2100" s="221" t="str">
        <f>IFERROR(VLOOKUP($B2100,KEY!$AE$19:$AH$60,2,FALSE),"")</f>
        <v>2025-Q3</v>
      </c>
      <c r="D2100" s="222" t="s">
        <v>121</v>
      </c>
      <c r="E2100" s="218">
        <v>23</v>
      </c>
    </row>
    <row r="2101" spans="1:5" x14ac:dyDescent="0.35">
      <c r="A2101" s="3" t="str">
        <f>IF(D2101="","",(VLOOKUP($D2101,KEY!$B$5:$D$74,3,FALSE)))</f>
        <v>Michigan &amp; Minnesota</v>
      </c>
      <c r="B2101" s="221">
        <f t="shared" si="20"/>
        <v>45901</v>
      </c>
      <c r="C2101" s="221" t="str">
        <f>IFERROR(VLOOKUP($B2101,KEY!$AE$19:$AH$60,2,FALSE),"")</f>
        <v>2025-Q3</v>
      </c>
      <c r="D2101" s="222" t="s">
        <v>200</v>
      </c>
      <c r="E2101" s="218">
        <v>11</v>
      </c>
    </row>
    <row r="2102" spans="1:5" x14ac:dyDescent="0.35">
      <c r="A2102" s="3" t="str">
        <f>IF(D2102="","",(VLOOKUP($D2102,KEY!$B$5:$D$74,3,FALSE)))</f>
        <v>Southern California</v>
      </c>
      <c r="B2102" s="221">
        <f t="shared" si="20"/>
        <v>45901</v>
      </c>
      <c r="C2102" s="221" t="str">
        <f>IFERROR(VLOOKUP($B2102,KEY!$AE$19:$AH$60,2,FALSE),"")</f>
        <v>2025-Q3</v>
      </c>
      <c r="D2102" s="222" t="s">
        <v>122</v>
      </c>
      <c r="E2102" s="218">
        <v>8</v>
      </c>
    </row>
    <row r="2103" spans="1:5" x14ac:dyDescent="0.35">
      <c r="A2103" s="3" t="str">
        <f>IF(D2103="","",(VLOOKUP($D2103,KEY!$B$5:$D$74,3,FALSE)))</f>
        <v>Orange County</v>
      </c>
      <c r="B2103" s="221">
        <f t="shared" si="20"/>
        <v>45901</v>
      </c>
      <c r="C2103" s="221" t="str">
        <f>IFERROR(VLOOKUP($B2103,KEY!$AE$19:$AH$60,2,FALSE),"")</f>
        <v>2025-Q3</v>
      </c>
      <c r="D2103" s="222" t="s">
        <v>123</v>
      </c>
      <c r="E2103" s="218">
        <v>17</v>
      </c>
    </row>
    <row r="2104" spans="1:5" x14ac:dyDescent="0.35">
      <c r="A2104" s="3" t="str">
        <f>IF(D2104="","",(VLOOKUP($D2104,KEY!$B$5:$D$74,3,FALSE)))</f>
        <v>Southern California</v>
      </c>
      <c r="B2104" s="221">
        <f t="shared" si="20"/>
        <v>45901</v>
      </c>
      <c r="C2104" s="221" t="str">
        <f>IFERROR(VLOOKUP($B2104,KEY!$AE$19:$AH$60,2,FALSE),"")</f>
        <v>2025-Q3</v>
      </c>
      <c r="D2104" s="222" t="s">
        <v>124</v>
      </c>
      <c r="E2104" s="218">
        <v>23</v>
      </c>
    </row>
    <row r="2105" spans="1:5" x14ac:dyDescent="0.35">
      <c r="A2105" s="3" t="str">
        <f>IF(D2105="","",(VLOOKUP($D2105,KEY!$B$5:$D$74,3,FALSE)))</f>
        <v>Northern California</v>
      </c>
      <c r="B2105" s="221">
        <f t="shared" si="20"/>
        <v>45901</v>
      </c>
      <c r="C2105" s="221" t="str">
        <f>IFERROR(VLOOKUP($B2105,KEY!$AE$19:$AH$60,2,FALSE),"")</f>
        <v>2025-Q3</v>
      </c>
      <c r="D2105" s="222" t="s">
        <v>195</v>
      </c>
      <c r="E2105" s="218">
        <v>5</v>
      </c>
    </row>
    <row r="2106" spans="1:5" x14ac:dyDescent="0.35">
      <c r="A2106" s="3" t="str">
        <f>IF(D2106="","",(VLOOKUP($D2106,KEY!$B$5:$D$74,3,FALSE)))</f>
        <v>Northern California</v>
      </c>
      <c r="B2106" s="221">
        <f t="shared" si="20"/>
        <v>45901</v>
      </c>
      <c r="C2106" s="221" t="str">
        <f>IFERROR(VLOOKUP($B2106,KEY!$AE$19:$AH$60,2,FALSE),"")</f>
        <v>2025-Q3</v>
      </c>
      <c r="D2106" s="222" t="s">
        <v>125</v>
      </c>
      <c r="E2106" s="218">
        <v>23</v>
      </c>
    </row>
    <row r="2107" spans="1:5" x14ac:dyDescent="0.35">
      <c r="A2107" s="3" t="str">
        <f>IF(D2107="","",(VLOOKUP($D2107,KEY!$B$5:$D$74,3,FALSE)))</f>
        <v>Orange County</v>
      </c>
      <c r="B2107" s="221">
        <f t="shared" si="20"/>
        <v>45901</v>
      </c>
      <c r="C2107" s="221" t="str">
        <f>IFERROR(VLOOKUP($B2107,KEY!$AE$19:$AH$60,2,FALSE),"")</f>
        <v>2025-Q3</v>
      </c>
      <c r="D2107" s="222" t="s">
        <v>126</v>
      </c>
      <c r="E2107" s="218">
        <v>28</v>
      </c>
    </row>
    <row r="2108" spans="1:5" x14ac:dyDescent="0.35">
      <c r="A2108" s="3" t="str">
        <f>IF(D2108="","",(VLOOKUP($D2108,KEY!$B$5:$D$74,3,FALSE)))</f>
        <v>Orange County</v>
      </c>
      <c r="B2108" s="221">
        <f t="shared" si="20"/>
        <v>45901</v>
      </c>
      <c r="C2108" s="221" t="str">
        <f>IFERROR(VLOOKUP($B2108,KEY!$AE$19:$AH$60,2,FALSE),"")</f>
        <v>2025-Q3</v>
      </c>
      <c r="D2108" s="222" t="s">
        <v>127</v>
      </c>
      <c r="E2108" s="218">
        <v>2.5</v>
      </c>
    </row>
    <row r="2109" spans="1:5" x14ac:dyDescent="0.35">
      <c r="A2109" s="3" t="str">
        <f>IF(D2109="","",(VLOOKUP($D2109,KEY!$B$5:$D$74,3,FALSE)))</f>
        <v>Wisconsin</v>
      </c>
      <c r="B2109" s="221">
        <f t="shared" si="20"/>
        <v>45901</v>
      </c>
      <c r="C2109" s="221" t="str">
        <f>IFERROR(VLOOKUP($B2109,KEY!$AE$19:$AH$60,2,FALSE),"")</f>
        <v>2025-Q3</v>
      </c>
      <c r="D2109" s="222" t="s">
        <v>201</v>
      </c>
      <c r="E2109" s="218">
        <v>14</v>
      </c>
    </row>
    <row r="2110" spans="1:5" x14ac:dyDescent="0.35">
      <c r="A2110" s="3" t="e">
        <f>IF(D2110="","",(VLOOKUP($D2110,KEY!$B$5:$D$74,3,FALSE)))</f>
        <v>#N/A</v>
      </c>
      <c r="B2110" s="221">
        <f t="shared" si="20"/>
        <v>45901</v>
      </c>
      <c r="C2110" s="221" t="str">
        <f>IFERROR(VLOOKUP($B2110,KEY!$AE$19:$AH$60,2,FALSE),"")</f>
        <v>2025-Q3</v>
      </c>
      <c r="D2110" s="222" t="s">
        <v>202</v>
      </c>
      <c r="E2110" s="218">
        <v>3</v>
      </c>
    </row>
    <row r="2111" spans="1:5" x14ac:dyDescent="0.35">
      <c r="A2111" s="3" t="str">
        <f>IF(D2111="","",(VLOOKUP($D2111,KEY!$B$5:$D$74,3,FALSE)))</f>
        <v>Texas</v>
      </c>
      <c r="B2111" s="221">
        <f t="shared" si="20"/>
        <v>45901</v>
      </c>
      <c r="C2111" s="221" t="str">
        <f>IFERROR(VLOOKUP($B2111,KEY!$AE$19:$AH$60,2,FALSE),"")</f>
        <v>2025-Q3</v>
      </c>
      <c r="D2111" s="222" t="s">
        <v>198</v>
      </c>
      <c r="E2111" s="218">
        <v>7</v>
      </c>
    </row>
    <row r="2112" spans="1:5" x14ac:dyDescent="0.35">
      <c r="A2112" s="3" t="str">
        <f>IF(D2112="","",(VLOOKUP($D2112,KEY!$B$5:$D$74,3,FALSE)))</f>
        <v>Texas</v>
      </c>
      <c r="B2112" s="221">
        <f t="shared" si="20"/>
        <v>45901</v>
      </c>
      <c r="C2112" s="221" t="str">
        <f>IFERROR(VLOOKUP($B2112,KEY!$AE$19:$AH$60,2,FALSE),"")</f>
        <v>2025-Q3</v>
      </c>
      <c r="D2112" s="222" t="s">
        <v>128</v>
      </c>
      <c r="E2112" s="218">
        <v>13</v>
      </c>
    </row>
    <row r="2113" spans="1:5" x14ac:dyDescent="0.35">
      <c r="A2113" s="3" t="str">
        <f>IF(D2113="","",(VLOOKUP($D2113,KEY!$B$5:$D$74,3,FALSE)))</f>
        <v>Northern California</v>
      </c>
      <c r="B2113" s="221">
        <f t="shared" si="20"/>
        <v>45901</v>
      </c>
      <c r="C2113" s="221" t="str">
        <f>IFERROR(VLOOKUP($B2113,KEY!$AE$19:$AH$60,2,FALSE),"")</f>
        <v>2025-Q3</v>
      </c>
      <c r="D2113" s="222" t="s">
        <v>129</v>
      </c>
      <c r="E2113" s="218">
        <v>16</v>
      </c>
    </row>
    <row r="2114" spans="1:5" x14ac:dyDescent="0.35">
      <c r="A2114" s="3" t="str">
        <f>IF(D2114="","",(VLOOKUP($D2114,KEY!$B$5:$D$74,3,FALSE)))</f>
        <v>Southern California</v>
      </c>
      <c r="B2114" s="221">
        <f t="shared" si="20"/>
        <v>45901</v>
      </c>
      <c r="C2114" s="221" t="str">
        <f>IFERROR(VLOOKUP($B2114,KEY!$AE$19:$AH$60,2,FALSE),"")</f>
        <v>2025-Q3</v>
      </c>
      <c r="D2114" s="222" t="s">
        <v>130</v>
      </c>
      <c r="E2114" s="218">
        <v>11</v>
      </c>
    </row>
    <row r="2115" spans="1:5" x14ac:dyDescent="0.35">
      <c r="A2115" s="3" t="str">
        <f>IF(D2115="","",(VLOOKUP($D2115,KEY!$B$5:$D$74,3,FALSE)))</f>
        <v>Texas</v>
      </c>
      <c r="B2115" s="221">
        <f t="shared" si="20"/>
        <v>45901</v>
      </c>
      <c r="C2115" s="221" t="str">
        <f>IFERROR(VLOOKUP($B2115,KEY!$AE$19:$AH$60,2,FALSE),"")</f>
        <v>2025-Q3</v>
      </c>
      <c r="D2115" s="222" t="s">
        <v>210</v>
      </c>
      <c r="E2115" s="218">
        <v>8</v>
      </c>
    </row>
    <row r="2116" spans="1:5" x14ac:dyDescent="0.35">
      <c r="A2116" s="3" t="e">
        <f>IF(D2116="","",(VLOOKUP($D2116,KEY!$B$5:$D$74,3,FALSE)))</f>
        <v>#N/A</v>
      </c>
      <c r="B2116" s="221">
        <f t="shared" si="20"/>
        <v>45901</v>
      </c>
      <c r="C2116" s="221" t="str">
        <f>IFERROR(VLOOKUP($B2116,KEY!$AE$19:$AH$60,2,FALSE),"")</f>
        <v>2025-Q3</v>
      </c>
      <c r="D2116" s="222" t="s">
        <v>203</v>
      </c>
      <c r="E2116" s="218">
        <v>9</v>
      </c>
    </row>
    <row r="2117" spans="1:5" x14ac:dyDescent="0.35">
      <c r="A2117" s="3">
        <f>IF(D2117="","",(VLOOKUP($D2117,KEY!$B$5:$D$74,3,FALSE)))</f>
        <v>0</v>
      </c>
      <c r="B2117" s="221">
        <f t="shared" si="20"/>
        <v>45901</v>
      </c>
      <c r="C2117" s="221" t="str">
        <f>IFERROR(VLOOKUP($B2117,KEY!$AE$19:$AH$60,2,FALSE),"")</f>
        <v>2025-Q3</v>
      </c>
      <c r="D2117" s="222" t="s">
        <v>131</v>
      </c>
      <c r="E2117" s="218">
        <v>9</v>
      </c>
    </row>
    <row r="2118" spans="1:5" x14ac:dyDescent="0.35">
      <c r="A2118" s="3" t="e">
        <f>IF(D2118="","",(VLOOKUP($D2118,KEY!$B$5:$D$74,3,FALSE)))</f>
        <v>#N/A</v>
      </c>
      <c r="B2118" s="221">
        <f t="shared" si="20"/>
        <v>45901</v>
      </c>
      <c r="C2118" s="221" t="str">
        <f>IFERROR(VLOOKUP($B2118,KEY!$AE$19:$AH$60,2,FALSE),"")</f>
        <v>2025-Q3</v>
      </c>
      <c r="D2118" s="222" t="s">
        <v>134</v>
      </c>
      <c r="E2118" s="218">
        <v>5</v>
      </c>
    </row>
    <row r="2119" spans="1:5" x14ac:dyDescent="0.35">
      <c r="A2119" s="3" t="str">
        <f>IF(D2119="","",(VLOOKUP($D2119,KEY!$B$5:$D$74,3,FALSE)))</f>
        <v>Southern California</v>
      </c>
      <c r="B2119" s="221">
        <f t="shared" si="20"/>
        <v>45901</v>
      </c>
      <c r="C2119" s="221" t="str">
        <f>IFERROR(VLOOKUP($B2119,KEY!$AE$19:$AH$60,2,FALSE),"")</f>
        <v>2025-Q3</v>
      </c>
      <c r="D2119" s="222" t="s">
        <v>135</v>
      </c>
      <c r="E2119" s="218">
        <v>16</v>
      </c>
    </row>
    <row r="2120" spans="1:5" x14ac:dyDescent="0.35">
      <c r="A2120" s="3" t="str">
        <f>IF(D2120="","",(VLOOKUP($D2120,KEY!$B$5:$D$74,3,FALSE)))</f>
        <v>Arizona</v>
      </c>
      <c r="B2120" s="221">
        <f t="shared" si="20"/>
        <v>45901</v>
      </c>
      <c r="C2120" s="221" t="str">
        <f>IFERROR(VLOOKUP($B2120,KEY!$AE$19:$AH$60,2,FALSE),"")</f>
        <v>2025-Q3</v>
      </c>
      <c r="D2120" s="222" t="s">
        <v>204</v>
      </c>
      <c r="E2120" s="218">
        <v>1</v>
      </c>
    </row>
    <row r="2121" spans="1:5" x14ac:dyDescent="0.35">
      <c r="A2121" s="3" t="str">
        <f>IF(D2121="","",(VLOOKUP($D2121,KEY!$B$5:$D$74,3,FALSE)))</f>
        <v>Arizona</v>
      </c>
      <c r="B2121" s="221">
        <f t="shared" si="20"/>
        <v>45901</v>
      </c>
      <c r="C2121" s="221" t="str">
        <f>IFERROR(VLOOKUP($B2121,KEY!$AE$19:$AH$60,2,FALSE),"")</f>
        <v>2025-Q3</v>
      </c>
      <c r="D2121" s="222" t="s">
        <v>196</v>
      </c>
      <c r="E2121" s="218">
        <v>5</v>
      </c>
    </row>
    <row r="2122" spans="1:5" x14ac:dyDescent="0.35">
      <c r="A2122" s="3" t="str">
        <f>IF(D2122="","",(VLOOKUP($D2122,KEY!$B$5:$D$74,3,FALSE)))</f>
        <v>Arizona</v>
      </c>
      <c r="B2122" s="221">
        <f t="shared" si="20"/>
        <v>45901</v>
      </c>
      <c r="C2122" s="221" t="str">
        <f>IFERROR(VLOOKUP($B2122,KEY!$AE$19:$AH$60,2,FALSE),"")</f>
        <v>2025-Q3</v>
      </c>
      <c r="D2122" s="222" t="s">
        <v>197</v>
      </c>
      <c r="E2122" s="218">
        <v>10</v>
      </c>
    </row>
    <row r="2123" spans="1:5" x14ac:dyDescent="0.35">
      <c r="A2123" s="3" t="str">
        <f>IF(D2123="","",(VLOOKUP($D2123,KEY!$B$5:$D$74,3,FALSE)))</f>
        <v>Texas</v>
      </c>
      <c r="B2123" s="221">
        <f t="shared" si="20"/>
        <v>45901</v>
      </c>
      <c r="C2123" s="221" t="str">
        <f>IFERROR(VLOOKUP($B2123,KEY!$AE$19:$AH$60,2,FALSE),"")</f>
        <v>2025-Q3</v>
      </c>
      <c r="D2123" s="222" t="s">
        <v>136</v>
      </c>
      <c r="E2123" s="218">
        <v>16</v>
      </c>
    </row>
    <row r="2124" spans="1:5" x14ac:dyDescent="0.35">
      <c r="A2124" s="3" t="str">
        <f>IF(D2124="","",(VLOOKUP($D2124,KEY!$B$5:$D$74,3,FALSE)))</f>
        <v>Arizona</v>
      </c>
      <c r="B2124" s="221">
        <f t="shared" si="20"/>
        <v>45901</v>
      </c>
      <c r="C2124" s="221" t="str">
        <f>IFERROR(VLOOKUP($B2124,KEY!$AE$19:$AH$60,2,FALSE),"")</f>
        <v>2025-Q3</v>
      </c>
      <c r="D2124" s="222" t="s">
        <v>137</v>
      </c>
      <c r="E2124" s="218">
        <v>8</v>
      </c>
    </row>
    <row r="2125" spans="1:5" x14ac:dyDescent="0.35">
      <c r="A2125" s="3" t="str">
        <f>IF(D2125="","",(VLOOKUP($D2125,KEY!$B$5:$D$74,3,FALSE)))</f>
        <v>Texas</v>
      </c>
      <c r="B2125" s="221">
        <f t="shared" si="20"/>
        <v>45901</v>
      </c>
      <c r="C2125" s="221" t="str">
        <f>IFERROR(VLOOKUP($B2125,KEY!$AE$19:$AH$60,2,FALSE),"")</f>
        <v>2025-Q3</v>
      </c>
      <c r="D2125" s="222" t="s">
        <v>138</v>
      </c>
      <c r="E2125" s="218">
        <v>10</v>
      </c>
    </row>
    <row r="2126" spans="1:5" x14ac:dyDescent="0.35">
      <c r="A2126" s="3" t="str">
        <f>IF(D2126="","",(VLOOKUP($D2126,KEY!$B$5:$D$74,3,FALSE)))</f>
        <v>Southern California</v>
      </c>
      <c r="B2126" s="221">
        <f t="shared" si="20"/>
        <v>45901</v>
      </c>
      <c r="C2126" s="221" t="str">
        <f>IFERROR(VLOOKUP($B2126,KEY!$AE$19:$AH$60,2,FALSE),"")</f>
        <v>2025-Q3</v>
      </c>
      <c r="D2126" s="222" t="s">
        <v>139</v>
      </c>
      <c r="E2126" s="218">
        <v>15</v>
      </c>
    </row>
    <row r="2127" spans="1:5" x14ac:dyDescent="0.35">
      <c r="A2127" s="3" t="str">
        <f>IF(D2127="","",(VLOOKUP($D2127,KEY!$B$5:$D$74,3,FALSE)))</f>
        <v>Orange County</v>
      </c>
      <c r="B2127" s="221">
        <f t="shared" si="20"/>
        <v>45901</v>
      </c>
      <c r="C2127" s="221" t="str">
        <f>IFERROR(VLOOKUP($B2127,KEY!$AE$19:$AH$60,2,FALSE),"")</f>
        <v>2025-Q3</v>
      </c>
      <c r="D2127" s="222" t="s">
        <v>140</v>
      </c>
      <c r="E2127" s="218">
        <v>3</v>
      </c>
    </row>
    <row r="2128" spans="1:5" x14ac:dyDescent="0.35">
      <c r="A2128" s="3" t="str">
        <f>IF(D2128="","",(VLOOKUP($D2128,KEY!$B$5:$D$74,3,FALSE)))</f>
        <v>Southern California</v>
      </c>
      <c r="B2128" s="221">
        <f t="shared" si="20"/>
        <v>45901</v>
      </c>
      <c r="C2128" s="221" t="str">
        <f>IFERROR(VLOOKUP($B2128,KEY!$AE$19:$AH$60,2,FALSE),"")</f>
        <v>2025-Q3</v>
      </c>
      <c r="D2128" s="222" t="s">
        <v>142</v>
      </c>
      <c r="E2128" s="218">
        <v>6</v>
      </c>
    </row>
    <row r="2129" spans="1:5" x14ac:dyDescent="0.35">
      <c r="A2129" s="3" t="str">
        <f>IF(D2129="","",(VLOOKUP($D2129,KEY!$B$5:$D$74,3,FALSE)))</f>
        <v>Arizona</v>
      </c>
      <c r="B2129" s="221">
        <f t="shared" si="20"/>
        <v>45901</v>
      </c>
      <c r="C2129" s="221" t="str">
        <f>IFERROR(VLOOKUP($B2129,KEY!$AE$19:$AH$60,2,FALSE),"")</f>
        <v>2025-Q3</v>
      </c>
      <c r="D2129" s="222" t="s">
        <v>143</v>
      </c>
      <c r="E2129" s="218">
        <v>9</v>
      </c>
    </row>
    <row r="2130" spans="1:5" x14ac:dyDescent="0.35">
      <c r="A2130" s="3" t="str">
        <f>IF(D2130="","",(VLOOKUP($D2130,KEY!$B$5:$D$74,3,FALSE)))</f>
        <v>Arizona</v>
      </c>
      <c r="B2130" s="221">
        <f t="shared" si="20"/>
        <v>45901</v>
      </c>
      <c r="C2130" s="221" t="str">
        <f>IFERROR(VLOOKUP($B2130,KEY!$AE$19:$AH$60,2,FALSE),"")</f>
        <v>2025-Q3</v>
      </c>
      <c r="D2130" s="222" t="s">
        <v>144</v>
      </c>
      <c r="E2130" s="218">
        <v>18</v>
      </c>
    </row>
    <row r="2131" spans="1:5" x14ac:dyDescent="0.35">
      <c r="A2131" s="3" t="str">
        <f>IF(D2131="","",(VLOOKUP($D2131,KEY!$B$5:$D$74,3,FALSE)))</f>
        <v>Southern California</v>
      </c>
      <c r="B2131" s="221">
        <f t="shared" si="20"/>
        <v>45901</v>
      </c>
      <c r="C2131" s="221" t="str">
        <f>IFERROR(VLOOKUP($B2131,KEY!$AE$19:$AH$60,2,FALSE),"")</f>
        <v>2025-Q3</v>
      </c>
      <c r="D2131" s="222" t="s">
        <v>145</v>
      </c>
      <c r="E2131" s="218">
        <v>17</v>
      </c>
    </row>
    <row r="2132" spans="1:5" x14ac:dyDescent="0.35">
      <c r="A2132" s="3" t="str">
        <f>IF(D2132="","",(VLOOKUP($D2132,KEY!$B$5:$D$74,3,FALSE)))</f>
        <v>Arizona</v>
      </c>
      <c r="B2132" s="221">
        <f t="shared" si="20"/>
        <v>45901</v>
      </c>
      <c r="C2132" s="221" t="str">
        <f>IFERROR(VLOOKUP($B2132,KEY!$AE$19:$AH$60,2,FALSE),"")</f>
        <v>2025-Q3</v>
      </c>
      <c r="D2132" s="222" t="s">
        <v>146</v>
      </c>
      <c r="E2132" s="218">
        <v>4</v>
      </c>
    </row>
    <row r="2133" spans="1:5" x14ac:dyDescent="0.35">
      <c r="A2133" s="3" t="str">
        <f>IF(D2133="","",(VLOOKUP($D2133,KEY!$B$5:$D$74,3,FALSE)))</f>
        <v>Texas</v>
      </c>
      <c r="B2133" s="221">
        <f t="shared" si="20"/>
        <v>45901</v>
      </c>
      <c r="C2133" s="221" t="str">
        <f>IFERROR(VLOOKUP($B2133,KEY!$AE$19:$AH$60,2,FALSE),"")</f>
        <v>2025-Q3</v>
      </c>
      <c r="D2133" s="222" t="s">
        <v>147</v>
      </c>
      <c r="E2133" s="218">
        <v>4</v>
      </c>
    </row>
    <row r="2134" spans="1:5" x14ac:dyDescent="0.35">
      <c r="A2134" s="3" t="str">
        <f>IF(D2134="","",(VLOOKUP($D2134,KEY!$B$5:$D$74,3,FALSE)))</f>
        <v>Northern California</v>
      </c>
      <c r="B2134" s="221">
        <f t="shared" si="20"/>
        <v>45901</v>
      </c>
      <c r="C2134" s="221" t="str">
        <f>IFERROR(VLOOKUP($B2134,KEY!$AE$19:$AH$60,2,FALSE),"")</f>
        <v>2025-Q3</v>
      </c>
      <c r="D2134" s="222" t="s">
        <v>148</v>
      </c>
      <c r="E2134" s="218">
        <v>4</v>
      </c>
    </row>
    <row r="2135" spans="1:5" x14ac:dyDescent="0.35">
      <c r="A2135" s="3" t="str">
        <f>IF(D2135="","",(VLOOKUP($D2135,KEY!$B$5:$D$74,3,FALSE)))</f>
        <v>Orange County</v>
      </c>
      <c r="B2135" s="221">
        <f t="shared" si="20"/>
        <v>45901</v>
      </c>
      <c r="C2135" s="221" t="str">
        <f>IFERROR(VLOOKUP($B2135,KEY!$AE$19:$AH$60,2,FALSE),"")</f>
        <v>2025-Q3</v>
      </c>
      <c r="D2135" s="222" t="s">
        <v>149</v>
      </c>
      <c r="E2135" s="218">
        <v>3</v>
      </c>
    </row>
    <row r="2136" spans="1:5" x14ac:dyDescent="0.35">
      <c r="A2136" s="3" t="str">
        <f>IF(D2136="","",(VLOOKUP($D2136,KEY!$B$5:$D$74,3,FALSE)))</f>
        <v>Southern California</v>
      </c>
      <c r="B2136" s="221">
        <f t="shared" si="20"/>
        <v>45901</v>
      </c>
      <c r="C2136" s="221" t="str">
        <f>IFERROR(VLOOKUP($B2136,KEY!$AE$19:$AH$60,2,FALSE),"")</f>
        <v>2025-Q3</v>
      </c>
      <c r="D2136" s="222" t="s">
        <v>150</v>
      </c>
      <c r="E2136" s="218">
        <v>4</v>
      </c>
    </row>
    <row r="2137" spans="1:5" x14ac:dyDescent="0.35">
      <c r="A2137" s="3" t="str">
        <f>IF(D2137="","",(VLOOKUP($D2137,KEY!$B$5:$D$74,3,FALSE)))</f>
        <v>Arizona</v>
      </c>
      <c r="B2137" s="221">
        <f t="shared" si="20"/>
        <v>45901</v>
      </c>
      <c r="C2137" s="221" t="str">
        <f>IFERROR(VLOOKUP($B2137,KEY!$AE$19:$AH$60,2,FALSE),"")</f>
        <v>2025-Q3</v>
      </c>
      <c r="D2137" s="222" t="s">
        <v>151</v>
      </c>
      <c r="E2137" s="218">
        <v>4</v>
      </c>
    </row>
    <row r="2138" spans="1:5" x14ac:dyDescent="0.35">
      <c r="A2138" s="3" t="str">
        <f>IF(D2138="","",(VLOOKUP($D2138,KEY!$B$5:$D$74,3,FALSE)))</f>
        <v>Michigan &amp; Minnesota</v>
      </c>
      <c r="B2138" s="221">
        <f t="shared" si="20"/>
        <v>45901</v>
      </c>
      <c r="C2138" s="221" t="str">
        <f>IFERROR(VLOOKUP($B2138,KEY!$AE$19:$AH$60,2,FALSE),"")</f>
        <v>2025-Q3</v>
      </c>
      <c r="D2138" s="222" t="s">
        <v>206</v>
      </c>
      <c r="E2138" s="218">
        <v>19</v>
      </c>
    </row>
    <row r="2139" spans="1:5" x14ac:dyDescent="0.35">
      <c r="A2139" s="3" t="str">
        <f>IF(D2139="","",(VLOOKUP($D2139,KEY!$B$5:$D$74,3,FALSE)))</f>
        <v>Michigan &amp; Minnesota</v>
      </c>
      <c r="B2139" s="221">
        <f t="shared" si="20"/>
        <v>45901</v>
      </c>
      <c r="C2139" s="221" t="str">
        <f>IFERROR(VLOOKUP($B2139,KEY!$AE$19:$AH$60,2,FALSE),"")</f>
        <v>2025-Q3</v>
      </c>
      <c r="D2139" s="222" t="s">
        <v>207</v>
      </c>
      <c r="E2139" s="218">
        <v>6</v>
      </c>
    </row>
    <row r="2140" spans="1:5" x14ac:dyDescent="0.35">
      <c r="A2140" s="3" t="str">
        <f>IF(D2140="","",(VLOOKUP($D2140,KEY!$B$5:$D$74,3,FALSE)))</f>
        <v>Indiana</v>
      </c>
      <c r="B2140" s="221">
        <f t="shared" si="20"/>
        <v>45901</v>
      </c>
      <c r="C2140" s="221" t="str">
        <f>IFERROR(VLOOKUP($B2140,KEY!$AE$19:$AH$60,2,FALSE),"")</f>
        <v>2025-Q3</v>
      </c>
      <c r="D2140" s="222" t="s">
        <v>208</v>
      </c>
      <c r="E2140" s="218">
        <v>11</v>
      </c>
    </row>
    <row r="2141" spans="1:5" x14ac:dyDescent="0.35">
      <c r="A2141" s="3" t="str">
        <f>IF(D2141="","",(VLOOKUP($D2141,KEY!$B$5:$D$74,3,FALSE)))</f>
        <v>Indiana</v>
      </c>
      <c r="B2141" s="221">
        <f t="shared" si="20"/>
        <v>45901</v>
      </c>
      <c r="C2141" s="221" t="str">
        <f>IFERROR(VLOOKUP($B2141,KEY!$AE$19:$AH$60,2,FALSE),"")</f>
        <v>2025-Q3</v>
      </c>
      <c r="D2141" s="222" t="s">
        <v>209</v>
      </c>
      <c r="E2141" s="218">
        <v>26</v>
      </c>
    </row>
    <row r="2142" spans="1:5" x14ac:dyDescent="0.35">
      <c r="A2142" s="3" t="str">
        <f>IF(D2142="","",(VLOOKUP($D2142,KEY!$B$5:$D$74,3,FALSE)))</f>
        <v>Northern California</v>
      </c>
      <c r="B2142" s="221">
        <f t="shared" si="20"/>
        <v>45901</v>
      </c>
      <c r="C2142" s="221" t="str">
        <f>IFERROR(VLOOKUP($B2142,KEY!$AE$19:$AH$60,2,FALSE),"")</f>
        <v>2025-Q3</v>
      </c>
      <c r="D2142" s="222" t="s">
        <v>152</v>
      </c>
      <c r="E2142" s="218">
        <v>12</v>
      </c>
    </row>
    <row r="2143" spans="1:5" x14ac:dyDescent="0.35">
      <c r="A2143" s="3" t="str">
        <f>IF(D2143="","",(VLOOKUP($D2143,KEY!$B$5:$D$74,3,FALSE)))</f>
        <v>Arizona</v>
      </c>
      <c r="B2143" s="221">
        <f t="shared" si="20"/>
        <v>45901</v>
      </c>
      <c r="C2143" s="221" t="str">
        <f>IFERROR(VLOOKUP($B2143,KEY!$AE$19:$AH$60,2,FALSE),"")</f>
        <v>2025-Q3</v>
      </c>
      <c r="D2143" s="222" t="s">
        <v>153</v>
      </c>
      <c r="E2143" s="218">
        <v>13</v>
      </c>
    </row>
    <row r="2144" spans="1:5" x14ac:dyDescent="0.35">
      <c r="A2144" s="3" t="str">
        <f>IF(D2144="","",(VLOOKUP($D2144,KEY!$B$5:$D$74,3,FALSE)))</f>
        <v>Northern California</v>
      </c>
      <c r="B2144" s="221">
        <f t="shared" si="20"/>
        <v>45901</v>
      </c>
      <c r="C2144" s="221" t="str">
        <f>IFERROR(VLOOKUP($B2144,KEY!$AE$19:$AH$60,2,FALSE),"")</f>
        <v>2025-Q3</v>
      </c>
      <c r="D2144" s="222" t="s">
        <v>154</v>
      </c>
      <c r="E2144" s="218">
        <v>9</v>
      </c>
    </row>
    <row r="2145" spans="1:5" x14ac:dyDescent="0.35">
      <c r="A2145" s="3" t="str">
        <f>IF(D2145="","",(VLOOKUP($D2145,KEY!$B$5:$D$74,3,FALSE)))</f>
        <v>Texas</v>
      </c>
      <c r="B2145" s="221">
        <f t="shared" si="20"/>
        <v>45901</v>
      </c>
      <c r="C2145" s="221" t="str">
        <f>IFERROR(VLOOKUP($B2145,KEY!$AE$19:$AH$60,2,FALSE),"")</f>
        <v>2025-Q3</v>
      </c>
      <c r="D2145" s="222" t="s">
        <v>155</v>
      </c>
      <c r="E2145" s="218">
        <v>22</v>
      </c>
    </row>
    <row r="2146" spans="1:5" x14ac:dyDescent="0.35">
      <c r="A2146" s="3" t="str">
        <f>IF(D2146="","",(VLOOKUP($D2146,KEY!$B$5:$D$74,3,FALSE)))</f>
        <v>Texas</v>
      </c>
      <c r="B2146" s="221">
        <f t="shared" si="20"/>
        <v>45901</v>
      </c>
      <c r="C2146" s="221" t="str">
        <f>IFERROR(VLOOKUP($B2146,KEY!$AE$19:$AH$60,2,FALSE),"")</f>
        <v>2025-Q3</v>
      </c>
      <c r="D2146" s="222" t="s">
        <v>156</v>
      </c>
      <c r="E2146" s="218">
        <v>14</v>
      </c>
    </row>
    <row r="2147" spans="1:5" x14ac:dyDescent="0.35">
      <c r="A2147" s="3" t="str">
        <f>IF(D2147="","",(VLOOKUP($D2147,KEY!$B$5:$D$74,3,FALSE)))</f>
        <v>Texas</v>
      </c>
      <c r="B2147" s="221">
        <f t="shared" si="20"/>
        <v>45901</v>
      </c>
      <c r="C2147" s="221" t="str">
        <f>IFERROR(VLOOKUP($B2147,KEY!$AE$19:$AH$60,2,FALSE),"")</f>
        <v>2025-Q3</v>
      </c>
      <c r="D2147" s="222" t="s">
        <v>157</v>
      </c>
      <c r="E2147" s="218">
        <v>36</v>
      </c>
    </row>
    <row r="2148" spans="1:5" x14ac:dyDescent="0.35">
      <c r="A2148" s="3" t="str">
        <f>IF(D2148="","",(VLOOKUP($D2148,KEY!$B$5:$D$74,3,FALSE)))</f>
        <v>Arizona</v>
      </c>
      <c r="B2148" s="221">
        <f t="shared" si="20"/>
        <v>45901</v>
      </c>
      <c r="C2148" s="221" t="str">
        <f>IFERROR(VLOOKUP($B2148,KEY!$AE$19:$AH$60,2,FALSE),"")</f>
        <v>2025-Q3</v>
      </c>
      <c r="D2148" s="222" t="s">
        <v>158</v>
      </c>
      <c r="E2148" s="218">
        <v>6</v>
      </c>
    </row>
    <row r="2149" spans="1:5" x14ac:dyDescent="0.35">
      <c r="A2149" s="3" t="str">
        <f>IF(D2149="","",(VLOOKUP($D2149,KEY!$B$5:$D$74,3,FALSE)))</f>
        <v>Orange County</v>
      </c>
      <c r="B2149" s="221">
        <f t="shared" si="20"/>
        <v>45901</v>
      </c>
      <c r="C2149" s="221" t="str">
        <f>IFERROR(VLOOKUP($B2149,KEY!$AE$19:$AH$60,2,FALSE),"")</f>
        <v>2025-Q3</v>
      </c>
      <c r="D2149" s="222" t="s">
        <v>159</v>
      </c>
      <c r="E2149" s="218">
        <v>8</v>
      </c>
    </row>
    <row r="2150" spans="1:5" x14ac:dyDescent="0.35">
      <c r="A2150" s="3" t="str">
        <f>IF(D2150="","",(VLOOKUP($D2150,KEY!$B$5:$D$74,3,FALSE)))</f>
        <v>Arizona</v>
      </c>
      <c r="B2150" s="221">
        <f t="shared" si="20"/>
        <v>45901</v>
      </c>
      <c r="C2150" s="221" t="str">
        <f>IFERROR(VLOOKUP($B2150,KEY!$AE$19:$AH$60,2,FALSE),"")</f>
        <v>2025-Q3</v>
      </c>
      <c r="D2150" s="222" t="s">
        <v>160</v>
      </c>
      <c r="E2150" s="218">
        <v>20</v>
      </c>
    </row>
    <row r="2151" spans="1:5" x14ac:dyDescent="0.35">
      <c r="A2151" s="3" t="str">
        <f>IF(D2151="","",(VLOOKUP($D2151,KEY!$B$5:$D$74,3,FALSE)))</f>
        <v>Northern California</v>
      </c>
      <c r="B2151" s="221">
        <f t="shared" si="20"/>
        <v>45901</v>
      </c>
      <c r="C2151" s="221" t="str">
        <f>IFERROR(VLOOKUP($B2151,KEY!$AE$19:$AH$60,2,FALSE),"")</f>
        <v>2025-Q3</v>
      </c>
      <c r="D2151" s="222" t="s">
        <v>161</v>
      </c>
      <c r="E2151" s="218">
        <v>20</v>
      </c>
    </row>
    <row r="2152" spans="1:5" x14ac:dyDescent="0.35">
      <c r="A2152" s="3" t="str">
        <f>IF(D2152="","",(VLOOKUP($D2152,KEY!$B$5:$D$74,3,FALSE)))</f>
        <v>Arizona</v>
      </c>
      <c r="B2152" s="221">
        <f t="shared" si="20"/>
        <v>45901</v>
      </c>
      <c r="C2152" s="221" t="str">
        <f>IFERROR(VLOOKUP($B2152,KEY!$AE$19:$AH$60,2,FALSE),"")</f>
        <v>2025-Q3</v>
      </c>
      <c r="D2152" s="222" t="s">
        <v>163</v>
      </c>
      <c r="E2152" s="218">
        <v>19</v>
      </c>
    </row>
    <row r="2153" spans="1:5" x14ac:dyDescent="0.35">
      <c r="A2153" s="3" t="str">
        <f>IF(D2153="","",(VLOOKUP($D2153,KEY!$B$5:$D$74,3,FALSE)))</f>
        <v>Arizona</v>
      </c>
      <c r="B2153" s="221">
        <f t="shared" si="20"/>
        <v>45901</v>
      </c>
      <c r="C2153" s="221" t="str">
        <f>IFERROR(VLOOKUP($B2153,KEY!$AE$19:$AH$60,2,FALSE),"")</f>
        <v>2025-Q3</v>
      </c>
      <c r="D2153" s="222" t="s">
        <v>164</v>
      </c>
      <c r="E2153" s="218">
        <v>6</v>
      </c>
    </row>
    <row r="2154" spans="1:5" x14ac:dyDescent="0.35">
      <c r="A2154" s="3" t="str">
        <f>IF(D2154="","",(VLOOKUP($D2154,KEY!$B$5:$D$74,3,FALSE)))</f>
        <v>Orange County</v>
      </c>
      <c r="B2154" s="221">
        <f t="shared" ref="B2154:B2158" si="21">B2153</f>
        <v>45901</v>
      </c>
      <c r="C2154" s="221" t="str">
        <f>IFERROR(VLOOKUP($B2154,KEY!$AE$19:$AH$60,2,FALSE),"")</f>
        <v>2025-Q3</v>
      </c>
      <c r="D2154" s="222" t="s">
        <v>165</v>
      </c>
      <c r="E2154" s="218">
        <v>5</v>
      </c>
    </row>
    <row r="2155" spans="1:5" x14ac:dyDescent="0.35">
      <c r="A2155" s="3" t="str">
        <f>IF(D2155="","",(VLOOKUP($D2155,KEY!$B$5:$D$74,3,FALSE)))</f>
        <v/>
      </c>
      <c r="B2155" s="221">
        <f t="shared" si="21"/>
        <v>45901</v>
      </c>
      <c r="C2155" s="221" t="str">
        <f>IFERROR(VLOOKUP($B2155,KEY!$AE$19:$AH$60,2,FALSE),"")</f>
        <v>2025-Q3</v>
      </c>
      <c r="D2155" s="222"/>
      <c r="E2155" s="218"/>
    </row>
    <row r="2156" spans="1:5" x14ac:dyDescent="0.35">
      <c r="A2156" s="3" t="str">
        <f>IF(D2156="","",(VLOOKUP($D2156,KEY!$B$5:$D$74,3,FALSE)))</f>
        <v/>
      </c>
      <c r="B2156" s="221">
        <f t="shared" si="21"/>
        <v>45901</v>
      </c>
      <c r="C2156" s="221" t="str">
        <f>IFERROR(VLOOKUP($B2156,KEY!$AE$19:$AH$60,2,FALSE),"")</f>
        <v>2025-Q3</v>
      </c>
      <c r="D2156" s="222"/>
      <c r="E2156" s="218"/>
    </row>
    <row r="2157" spans="1:5" x14ac:dyDescent="0.35">
      <c r="A2157" s="3" t="str">
        <f>IF(D2157="","",(VLOOKUP($D2157,KEY!$B$5:$D$74,3,FALSE)))</f>
        <v/>
      </c>
      <c r="B2157" s="221">
        <f t="shared" si="21"/>
        <v>45901</v>
      </c>
      <c r="C2157" s="221" t="str">
        <f>IFERROR(VLOOKUP($B2157,KEY!$AE$19:$AH$60,2,FALSE),"")</f>
        <v>2025-Q3</v>
      </c>
      <c r="D2157" s="222"/>
      <c r="E2157" s="218"/>
    </row>
    <row r="2158" spans="1:5" x14ac:dyDescent="0.35">
      <c r="A2158" s="3" t="str">
        <f>IF(D2158="","",(VLOOKUP($D2158,KEY!$B$5:$D$74,3,FALSE)))</f>
        <v/>
      </c>
      <c r="B2158" s="402">
        <f t="shared" si="21"/>
        <v>45901</v>
      </c>
      <c r="C2158" s="402" t="str">
        <f>IFERROR(VLOOKUP($B2158,KEY!$AE$19:$AH$60,2,FALSE),"")</f>
        <v>2025-Q3</v>
      </c>
      <c r="D2158" s="403"/>
      <c r="E2158" s="404"/>
    </row>
    <row r="2159" spans="1:5" x14ac:dyDescent="0.35">
      <c r="A2159" s="3" t="str">
        <f>IF(D2159="","",(VLOOKUP($D2159,KEY!$B$5:$D$74,3,FALSE)))</f>
        <v>Arizona</v>
      </c>
      <c r="B2159" s="221">
        <f>DATE(YEAR(B2158+31),MONTH(B2158+31),1)</f>
        <v>45931</v>
      </c>
      <c r="C2159" s="221" t="str">
        <f>IFERROR(VLOOKUP($B2159,KEY!$AE$19:$AH$60,2,FALSE),"")</f>
        <v>2025-Q4</v>
      </c>
      <c r="D2159" s="222" t="s">
        <v>111</v>
      </c>
      <c r="E2159" s="218">
        <v>7</v>
      </c>
    </row>
    <row r="2160" spans="1:5" x14ac:dyDescent="0.35">
      <c r="A2160" s="3" t="str">
        <f>IF(D2160="","",(VLOOKUP($D2160,KEY!$B$5:$D$74,3,FALSE)))</f>
        <v>Southern California</v>
      </c>
      <c r="B2160" s="221">
        <f t="shared" ref="B2160:B2223" si="22">B2159</f>
        <v>45931</v>
      </c>
      <c r="C2160" s="221" t="str">
        <f>IFERROR(VLOOKUP($B2160,KEY!$AE$19:$AH$60,2,FALSE),"")</f>
        <v>2025-Q4</v>
      </c>
      <c r="D2160" s="222" t="s">
        <v>112</v>
      </c>
      <c r="E2160" s="218">
        <v>5</v>
      </c>
    </row>
    <row r="2161" spans="1:5" x14ac:dyDescent="0.35">
      <c r="A2161" s="3" t="str">
        <f>IF(D2161="","",(VLOOKUP($D2161,KEY!$B$5:$D$74,3,FALSE)))</f>
        <v>Arizona</v>
      </c>
      <c r="B2161" s="221">
        <f t="shared" si="22"/>
        <v>45931</v>
      </c>
      <c r="C2161" s="221" t="str">
        <f>IFERROR(VLOOKUP($B2161,KEY!$AE$19:$AH$60,2,FALSE),"")</f>
        <v>2025-Q4</v>
      </c>
      <c r="D2161" s="222" t="s">
        <v>113</v>
      </c>
      <c r="E2161" s="218">
        <v>7</v>
      </c>
    </row>
    <row r="2162" spans="1:5" x14ac:dyDescent="0.35">
      <c r="A2162" s="3" t="str">
        <f>IF(D2162="","",(VLOOKUP($D2162,KEY!$B$5:$D$74,3,FALSE)))</f>
        <v>Southern California</v>
      </c>
      <c r="B2162" s="221">
        <f t="shared" si="22"/>
        <v>45931</v>
      </c>
      <c r="C2162" s="221" t="str">
        <f>IFERROR(VLOOKUP($B2162,KEY!$AE$19:$AH$60,2,FALSE),"")</f>
        <v>2025-Q4</v>
      </c>
      <c r="D2162" s="222" t="s">
        <v>114</v>
      </c>
      <c r="E2162" s="218">
        <v>5</v>
      </c>
    </row>
    <row r="2163" spans="1:5" x14ac:dyDescent="0.35">
      <c r="A2163" s="3" t="str">
        <f>IF(D2163="","",(VLOOKUP($D2163,KEY!$B$5:$D$74,3,FALSE)))</f>
        <v>Orange County</v>
      </c>
      <c r="B2163" s="221">
        <f t="shared" si="22"/>
        <v>45931</v>
      </c>
      <c r="C2163" s="221" t="str">
        <f>IFERROR(VLOOKUP($B2163,KEY!$AE$19:$AH$60,2,FALSE),"")</f>
        <v>2025-Q4</v>
      </c>
      <c r="D2163" s="222" t="s">
        <v>115</v>
      </c>
      <c r="E2163" s="218">
        <v>5</v>
      </c>
    </row>
    <row r="2164" spans="1:5" x14ac:dyDescent="0.35">
      <c r="A2164" s="3" t="str">
        <f>IF(D2164="","",(VLOOKUP($D2164,KEY!$B$5:$D$74,3,FALSE)))</f>
        <v>Arizona</v>
      </c>
      <c r="B2164" s="221">
        <f t="shared" si="22"/>
        <v>45931</v>
      </c>
      <c r="C2164" s="221" t="str">
        <f>IFERROR(VLOOKUP($B2164,KEY!$AE$19:$AH$60,2,FALSE),"")</f>
        <v>2025-Q4</v>
      </c>
      <c r="D2164" s="222" t="s">
        <v>116</v>
      </c>
      <c r="E2164" s="218">
        <v>10</v>
      </c>
    </row>
    <row r="2165" spans="1:5" x14ac:dyDescent="0.35">
      <c r="A2165" s="3" t="str">
        <f>IF(D2165="","",(VLOOKUP($D2165,KEY!$B$5:$D$74,3,FALSE)))</f>
        <v>Northern California</v>
      </c>
      <c r="B2165" s="221">
        <f t="shared" si="22"/>
        <v>45931</v>
      </c>
      <c r="C2165" s="221" t="str">
        <f>IFERROR(VLOOKUP($B2165,KEY!$AE$19:$AH$60,2,FALSE),"")</f>
        <v>2025-Q4</v>
      </c>
      <c r="D2165" s="222" t="s">
        <v>118</v>
      </c>
      <c r="E2165" s="218">
        <v>10</v>
      </c>
    </row>
    <row r="2166" spans="1:5" x14ac:dyDescent="0.35">
      <c r="A2166" s="3" t="str">
        <f>IF(D2166="","",(VLOOKUP($D2166,KEY!$B$5:$D$74,3,FALSE)))</f>
        <v>Orange County</v>
      </c>
      <c r="B2166" s="221">
        <f t="shared" si="22"/>
        <v>45931</v>
      </c>
      <c r="C2166" s="221" t="str">
        <f>IFERROR(VLOOKUP($B2166,KEY!$AE$19:$AH$60,2,FALSE),"")</f>
        <v>2025-Q4</v>
      </c>
      <c r="D2166" s="222" t="s">
        <v>117</v>
      </c>
      <c r="E2166" s="218">
        <v>6</v>
      </c>
    </row>
    <row r="2167" spans="1:5" x14ac:dyDescent="0.35">
      <c r="A2167" s="3" t="str">
        <f>IF(D2167="","",(VLOOKUP($D2167,KEY!$B$5:$D$74,3,FALSE)))</f>
        <v>Arizona</v>
      </c>
      <c r="B2167" s="221">
        <f t="shared" si="22"/>
        <v>45931</v>
      </c>
      <c r="C2167" s="221" t="str">
        <f>IFERROR(VLOOKUP($B2167,KEY!$AE$19:$AH$60,2,FALSE),"")</f>
        <v>2025-Q4</v>
      </c>
      <c r="D2167" s="222" t="s">
        <v>119</v>
      </c>
      <c r="E2167" s="218">
        <v>4</v>
      </c>
    </row>
    <row r="2168" spans="1:5" x14ac:dyDescent="0.35">
      <c r="A2168" s="3" t="str">
        <f>IF(D2168="","",(VLOOKUP($D2168,KEY!$B$5:$D$74,3,FALSE)))</f>
        <v/>
      </c>
      <c r="B2168" s="221">
        <f t="shared" si="22"/>
        <v>45931</v>
      </c>
      <c r="C2168" s="221" t="str">
        <f>IFERROR(VLOOKUP($B2168,KEY!$AE$19:$AH$60,2,FALSE),"")</f>
        <v>2025-Q4</v>
      </c>
      <c r="D2168" s="222"/>
      <c r="E2168" s="218"/>
    </row>
    <row r="2169" spans="1:5" x14ac:dyDescent="0.35">
      <c r="A2169" s="3" t="str">
        <f>IF(D2169="","",(VLOOKUP($D2169,KEY!$B$5:$D$74,3,FALSE)))</f>
        <v>Arizona</v>
      </c>
      <c r="B2169" s="221">
        <f t="shared" si="22"/>
        <v>45931</v>
      </c>
      <c r="C2169" s="221" t="str">
        <f>IFERROR(VLOOKUP($B2169,KEY!$AE$19:$AH$60,2,FALSE),"")</f>
        <v>2025-Q4</v>
      </c>
      <c r="D2169" s="222" t="s">
        <v>120</v>
      </c>
      <c r="E2169" s="218">
        <v>26</v>
      </c>
    </row>
    <row r="2170" spans="1:5" x14ac:dyDescent="0.35">
      <c r="A2170" s="3" t="str">
        <f>IF(D2170="","",(VLOOKUP($D2170,KEY!$B$5:$D$74,3,FALSE)))</f>
        <v>Texas</v>
      </c>
      <c r="B2170" s="221">
        <f t="shared" si="22"/>
        <v>45931</v>
      </c>
      <c r="C2170" s="221" t="str">
        <f>IFERROR(VLOOKUP($B2170,KEY!$AE$19:$AH$60,2,FALSE),"")</f>
        <v>2025-Q4</v>
      </c>
      <c r="D2170" s="222" t="s">
        <v>121</v>
      </c>
      <c r="E2170" s="218">
        <v>23</v>
      </c>
    </row>
    <row r="2171" spans="1:5" x14ac:dyDescent="0.35">
      <c r="A2171" s="3" t="str">
        <f>IF(D2171="","",(VLOOKUP($D2171,KEY!$B$5:$D$74,3,FALSE)))</f>
        <v>Michigan &amp; Minnesota</v>
      </c>
      <c r="B2171" s="221">
        <f t="shared" si="22"/>
        <v>45931</v>
      </c>
      <c r="C2171" s="221" t="str">
        <f>IFERROR(VLOOKUP($B2171,KEY!$AE$19:$AH$60,2,FALSE),"")</f>
        <v>2025-Q4</v>
      </c>
      <c r="D2171" s="222" t="s">
        <v>200</v>
      </c>
      <c r="E2171" s="218">
        <v>11</v>
      </c>
    </row>
    <row r="2172" spans="1:5" x14ac:dyDescent="0.35">
      <c r="A2172" s="3" t="str">
        <f>IF(D2172="","",(VLOOKUP($D2172,KEY!$B$5:$D$74,3,FALSE)))</f>
        <v>Southern California</v>
      </c>
      <c r="B2172" s="221">
        <f t="shared" si="22"/>
        <v>45931</v>
      </c>
      <c r="C2172" s="221" t="str">
        <f>IFERROR(VLOOKUP($B2172,KEY!$AE$19:$AH$60,2,FALSE),"")</f>
        <v>2025-Q4</v>
      </c>
      <c r="D2172" s="222" t="s">
        <v>122</v>
      </c>
      <c r="E2172" s="218">
        <v>8</v>
      </c>
    </row>
    <row r="2173" spans="1:5" x14ac:dyDescent="0.35">
      <c r="A2173" s="3" t="str">
        <f>IF(D2173="","",(VLOOKUP($D2173,KEY!$B$5:$D$74,3,FALSE)))</f>
        <v>Orange County</v>
      </c>
      <c r="B2173" s="221">
        <f t="shared" si="22"/>
        <v>45931</v>
      </c>
      <c r="C2173" s="221" t="str">
        <f>IFERROR(VLOOKUP($B2173,KEY!$AE$19:$AH$60,2,FALSE),"")</f>
        <v>2025-Q4</v>
      </c>
      <c r="D2173" s="222" t="s">
        <v>123</v>
      </c>
      <c r="E2173" s="218">
        <v>17</v>
      </c>
    </row>
    <row r="2174" spans="1:5" x14ac:dyDescent="0.35">
      <c r="A2174" s="3" t="str">
        <f>IF(D2174="","",(VLOOKUP($D2174,KEY!$B$5:$D$74,3,FALSE)))</f>
        <v>Southern California</v>
      </c>
      <c r="B2174" s="221">
        <f t="shared" si="22"/>
        <v>45931</v>
      </c>
      <c r="C2174" s="221" t="str">
        <f>IFERROR(VLOOKUP($B2174,KEY!$AE$19:$AH$60,2,FALSE),"")</f>
        <v>2025-Q4</v>
      </c>
      <c r="D2174" s="222" t="s">
        <v>124</v>
      </c>
      <c r="E2174" s="218">
        <v>23</v>
      </c>
    </row>
    <row r="2175" spans="1:5" x14ac:dyDescent="0.35">
      <c r="A2175" s="3" t="str">
        <f>IF(D2175="","",(VLOOKUP($D2175,KEY!$B$5:$D$74,3,FALSE)))</f>
        <v>Northern California</v>
      </c>
      <c r="B2175" s="221">
        <f t="shared" si="22"/>
        <v>45931</v>
      </c>
      <c r="C2175" s="221" t="str">
        <f>IFERROR(VLOOKUP($B2175,KEY!$AE$19:$AH$60,2,FALSE),"")</f>
        <v>2025-Q4</v>
      </c>
      <c r="D2175" s="222" t="s">
        <v>195</v>
      </c>
      <c r="E2175" s="218">
        <v>5</v>
      </c>
    </row>
    <row r="2176" spans="1:5" x14ac:dyDescent="0.35">
      <c r="A2176" s="3" t="str">
        <f>IF(D2176="","",(VLOOKUP($D2176,KEY!$B$5:$D$74,3,FALSE)))</f>
        <v>Northern California</v>
      </c>
      <c r="B2176" s="221">
        <f t="shared" si="22"/>
        <v>45931</v>
      </c>
      <c r="C2176" s="221" t="str">
        <f>IFERROR(VLOOKUP($B2176,KEY!$AE$19:$AH$60,2,FALSE),"")</f>
        <v>2025-Q4</v>
      </c>
      <c r="D2176" s="222" t="s">
        <v>125</v>
      </c>
      <c r="E2176" s="218">
        <v>23</v>
      </c>
    </row>
    <row r="2177" spans="1:5" x14ac:dyDescent="0.35">
      <c r="A2177" s="3" t="str">
        <f>IF(D2177="","",(VLOOKUP($D2177,KEY!$B$5:$D$74,3,FALSE)))</f>
        <v>Orange County</v>
      </c>
      <c r="B2177" s="221">
        <f t="shared" si="22"/>
        <v>45931</v>
      </c>
      <c r="C2177" s="221" t="str">
        <f>IFERROR(VLOOKUP($B2177,KEY!$AE$19:$AH$60,2,FALSE),"")</f>
        <v>2025-Q4</v>
      </c>
      <c r="D2177" s="222" t="s">
        <v>126</v>
      </c>
      <c r="E2177" s="218">
        <v>28.5</v>
      </c>
    </row>
    <row r="2178" spans="1:5" x14ac:dyDescent="0.35">
      <c r="A2178" s="3" t="str">
        <f>IF(D2178="","",(VLOOKUP($D2178,KEY!$B$5:$D$74,3,FALSE)))</f>
        <v>Orange County</v>
      </c>
      <c r="B2178" s="221">
        <f t="shared" si="22"/>
        <v>45931</v>
      </c>
      <c r="C2178" s="221" t="str">
        <f>IFERROR(VLOOKUP($B2178,KEY!$AE$19:$AH$60,2,FALSE),"")</f>
        <v>2025-Q4</v>
      </c>
      <c r="D2178" s="222" t="s">
        <v>127</v>
      </c>
      <c r="E2178" s="218">
        <v>3.5</v>
      </c>
    </row>
    <row r="2179" spans="1:5" x14ac:dyDescent="0.35">
      <c r="A2179" s="3" t="str">
        <f>IF(D2179="","",(VLOOKUP($D2179,KEY!$B$5:$D$74,3,FALSE)))</f>
        <v>Wisconsin</v>
      </c>
      <c r="B2179" s="221">
        <f t="shared" si="22"/>
        <v>45931</v>
      </c>
      <c r="C2179" s="221" t="str">
        <f>IFERROR(VLOOKUP($B2179,KEY!$AE$19:$AH$60,2,FALSE),"")</f>
        <v>2025-Q4</v>
      </c>
      <c r="D2179" s="222" t="s">
        <v>201</v>
      </c>
      <c r="E2179" s="218">
        <v>14</v>
      </c>
    </row>
    <row r="2180" spans="1:5" x14ac:dyDescent="0.35">
      <c r="A2180" s="3" t="e">
        <f>IF(D2180="","",(VLOOKUP($D2180,KEY!$B$5:$D$74,3,FALSE)))</f>
        <v>#N/A</v>
      </c>
      <c r="B2180" s="221">
        <f t="shared" si="22"/>
        <v>45931</v>
      </c>
      <c r="C2180" s="221" t="str">
        <f>IFERROR(VLOOKUP($B2180,KEY!$AE$19:$AH$60,2,FALSE),"")</f>
        <v>2025-Q4</v>
      </c>
      <c r="D2180" s="222" t="s">
        <v>202</v>
      </c>
      <c r="E2180" s="218">
        <v>3</v>
      </c>
    </row>
    <row r="2181" spans="1:5" x14ac:dyDescent="0.35">
      <c r="A2181" s="3" t="str">
        <f>IF(D2181="","",(VLOOKUP($D2181,KEY!$B$5:$D$74,3,FALSE)))</f>
        <v>Texas</v>
      </c>
      <c r="B2181" s="221">
        <f t="shared" si="22"/>
        <v>45931</v>
      </c>
      <c r="C2181" s="221" t="str">
        <f>IFERROR(VLOOKUP($B2181,KEY!$AE$19:$AH$60,2,FALSE),"")</f>
        <v>2025-Q4</v>
      </c>
      <c r="D2181" s="222" t="s">
        <v>198</v>
      </c>
      <c r="E2181" s="218">
        <v>6</v>
      </c>
    </row>
    <row r="2182" spans="1:5" x14ac:dyDescent="0.35">
      <c r="A2182" s="3" t="str">
        <f>IF(D2182="","",(VLOOKUP($D2182,KEY!$B$5:$D$74,3,FALSE)))</f>
        <v>Texas</v>
      </c>
      <c r="B2182" s="221">
        <f t="shared" si="22"/>
        <v>45931</v>
      </c>
      <c r="C2182" s="221" t="str">
        <f>IFERROR(VLOOKUP($B2182,KEY!$AE$19:$AH$60,2,FALSE),"")</f>
        <v>2025-Q4</v>
      </c>
      <c r="D2182" s="222" t="s">
        <v>128</v>
      </c>
      <c r="E2182" s="218">
        <v>14</v>
      </c>
    </row>
    <row r="2183" spans="1:5" x14ac:dyDescent="0.35">
      <c r="A2183" s="3" t="str">
        <f>IF(D2183="","",(VLOOKUP($D2183,KEY!$B$5:$D$74,3,FALSE)))</f>
        <v>Northern California</v>
      </c>
      <c r="B2183" s="221">
        <f t="shared" si="22"/>
        <v>45931</v>
      </c>
      <c r="C2183" s="221" t="str">
        <f>IFERROR(VLOOKUP($B2183,KEY!$AE$19:$AH$60,2,FALSE),"")</f>
        <v>2025-Q4</v>
      </c>
      <c r="D2183" s="222" t="s">
        <v>129</v>
      </c>
      <c r="E2183" s="218">
        <v>14</v>
      </c>
    </row>
    <row r="2184" spans="1:5" x14ac:dyDescent="0.35">
      <c r="A2184" s="3" t="str">
        <f>IF(D2184="","",(VLOOKUP($D2184,KEY!$B$5:$D$74,3,FALSE)))</f>
        <v>Southern California</v>
      </c>
      <c r="B2184" s="221">
        <f t="shared" si="22"/>
        <v>45931</v>
      </c>
      <c r="C2184" s="221" t="str">
        <f>IFERROR(VLOOKUP($B2184,KEY!$AE$19:$AH$60,2,FALSE),"")</f>
        <v>2025-Q4</v>
      </c>
      <c r="D2184" s="222" t="s">
        <v>130</v>
      </c>
      <c r="E2184" s="218">
        <v>11</v>
      </c>
    </row>
    <row r="2185" spans="1:5" x14ac:dyDescent="0.35">
      <c r="A2185" s="3" t="str">
        <f>IF(D2185="","",(VLOOKUP($D2185,KEY!$B$5:$D$74,3,FALSE)))</f>
        <v>Texas</v>
      </c>
      <c r="B2185" s="221">
        <f t="shared" si="22"/>
        <v>45931</v>
      </c>
      <c r="C2185" s="221" t="str">
        <f>IFERROR(VLOOKUP($B2185,KEY!$AE$19:$AH$60,2,FALSE),"")</f>
        <v>2025-Q4</v>
      </c>
      <c r="D2185" s="222" t="s">
        <v>210</v>
      </c>
      <c r="E2185" s="218">
        <v>8</v>
      </c>
    </row>
    <row r="2186" spans="1:5" x14ac:dyDescent="0.35">
      <c r="A2186" s="3" t="e">
        <f>IF(D2186="","",(VLOOKUP($D2186,KEY!$B$5:$D$74,3,FALSE)))</f>
        <v>#N/A</v>
      </c>
      <c r="B2186" s="221">
        <f t="shared" si="22"/>
        <v>45931</v>
      </c>
      <c r="C2186" s="221" t="str">
        <f>IFERROR(VLOOKUP($B2186,KEY!$AE$19:$AH$60,2,FALSE),"")</f>
        <v>2025-Q4</v>
      </c>
      <c r="D2186" s="222" t="s">
        <v>203</v>
      </c>
      <c r="E2186" s="218">
        <v>9</v>
      </c>
    </row>
    <row r="2187" spans="1:5" x14ac:dyDescent="0.35">
      <c r="A2187" s="3">
        <f>IF(D2187="","",(VLOOKUP($D2187,KEY!$B$5:$D$74,3,FALSE)))</f>
        <v>0</v>
      </c>
      <c r="B2187" s="221">
        <f t="shared" si="22"/>
        <v>45931</v>
      </c>
      <c r="C2187" s="221" t="str">
        <f>IFERROR(VLOOKUP($B2187,KEY!$AE$19:$AH$60,2,FALSE),"")</f>
        <v>2025-Q4</v>
      </c>
      <c r="D2187" s="222" t="s">
        <v>131</v>
      </c>
      <c r="E2187" s="218">
        <v>9</v>
      </c>
    </row>
    <row r="2188" spans="1:5" x14ac:dyDescent="0.35">
      <c r="A2188" s="3" t="str">
        <f>IF(D2188="","",(VLOOKUP($D2188,KEY!$B$5:$D$74,3,FALSE)))</f>
        <v>Southern California</v>
      </c>
      <c r="B2188" s="221">
        <f t="shared" si="22"/>
        <v>45931</v>
      </c>
      <c r="C2188" s="221" t="str">
        <f>IFERROR(VLOOKUP($B2188,KEY!$AE$19:$AH$60,2,FALSE),"")</f>
        <v>2025-Q4</v>
      </c>
      <c r="D2188" s="222" t="s">
        <v>135</v>
      </c>
      <c r="E2188" s="218">
        <v>17</v>
      </c>
    </row>
    <row r="2189" spans="1:5" x14ac:dyDescent="0.35">
      <c r="A2189" s="3" t="str">
        <f>IF(D2189="","",(VLOOKUP($D2189,KEY!$B$5:$D$74,3,FALSE)))</f>
        <v>Arizona</v>
      </c>
      <c r="B2189" s="221">
        <f t="shared" si="22"/>
        <v>45931</v>
      </c>
      <c r="C2189" s="221" t="str">
        <f>IFERROR(VLOOKUP($B2189,KEY!$AE$19:$AH$60,2,FALSE),"")</f>
        <v>2025-Q4</v>
      </c>
      <c r="D2189" s="222" t="s">
        <v>204</v>
      </c>
      <c r="E2189" s="218">
        <v>1</v>
      </c>
    </row>
    <row r="2190" spans="1:5" x14ac:dyDescent="0.35">
      <c r="A2190" s="3" t="str">
        <f>IF(D2190="","",(VLOOKUP($D2190,KEY!$B$5:$D$74,3,FALSE)))</f>
        <v>Arizona</v>
      </c>
      <c r="B2190" s="221">
        <f t="shared" si="22"/>
        <v>45931</v>
      </c>
      <c r="C2190" s="221" t="str">
        <f>IFERROR(VLOOKUP($B2190,KEY!$AE$19:$AH$60,2,FALSE),"")</f>
        <v>2025-Q4</v>
      </c>
      <c r="D2190" s="222" t="s">
        <v>196</v>
      </c>
      <c r="E2190" s="218">
        <v>4</v>
      </c>
    </row>
    <row r="2191" spans="1:5" x14ac:dyDescent="0.35">
      <c r="A2191" s="3" t="str">
        <f>IF(D2191="","",(VLOOKUP($D2191,KEY!$B$5:$D$74,3,FALSE)))</f>
        <v>Arizona</v>
      </c>
      <c r="B2191" s="221">
        <f t="shared" si="22"/>
        <v>45931</v>
      </c>
      <c r="C2191" s="221" t="str">
        <f>IFERROR(VLOOKUP($B2191,KEY!$AE$19:$AH$60,2,FALSE),"")</f>
        <v>2025-Q4</v>
      </c>
      <c r="D2191" s="222" t="s">
        <v>197</v>
      </c>
      <c r="E2191" s="218">
        <v>10</v>
      </c>
    </row>
    <row r="2192" spans="1:5" x14ac:dyDescent="0.35">
      <c r="A2192" s="3" t="str">
        <f>IF(D2192="","",(VLOOKUP($D2192,KEY!$B$5:$D$74,3,FALSE)))</f>
        <v>Texas</v>
      </c>
      <c r="B2192" s="221">
        <f t="shared" si="22"/>
        <v>45931</v>
      </c>
      <c r="C2192" s="221" t="str">
        <f>IFERROR(VLOOKUP($B2192,KEY!$AE$19:$AH$60,2,FALSE),"")</f>
        <v>2025-Q4</v>
      </c>
      <c r="D2192" s="222" t="s">
        <v>136</v>
      </c>
      <c r="E2192" s="218">
        <v>16</v>
      </c>
    </row>
    <row r="2193" spans="1:5" x14ac:dyDescent="0.35">
      <c r="A2193" s="3" t="str">
        <f>IF(D2193="","",(VLOOKUP($D2193,KEY!$B$5:$D$74,3,FALSE)))</f>
        <v>Arizona</v>
      </c>
      <c r="B2193" s="221">
        <f t="shared" si="22"/>
        <v>45931</v>
      </c>
      <c r="C2193" s="221" t="str">
        <f>IFERROR(VLOOKUP($B2193,KEY!$AE$19:$AH$60,2,FALSE),"")</f>
        <v>2025-Q4</v>
      </c>
      <c r="D2193" s="222" t="s">
        <v>137</v>
      </c>
      <c r="E2193" s="218">
        <v>9</v>
      </c>
    </row>
    <row r="2194" spans="1:5" x14ac:dyDescent="0.35">
      <c r="A2194" s="3" t="str">
        <f>IF(D2194="","",(VLOOKUP($D2194,KEY!$B$5:$D$74,3,FALSE)))</f>
        <v>Texas</v>
      </c>
      <c r="B2194" s="221">
        <f t="shared" si="22"/>
        <v>45931</v>
      </c>
      <c r="C2194" s="221" t="str">
        <f>IFERROR(VLOOKUP($B2194,KEY!$AE$19:$AH$60,2,FALSE),"")</f>
        <v>2025-Q4</v>
      </c>
      <c r="D2194" s="222" t="s">
        <v>138</v>
      </c>
      <c r="E2194" s="218">
        <v>10</v>
      </c>
    </row>
    <row r="2195" spans="1:5" x14ac:dyDescent="0.35">
      <c r="A2195" s="3" t="str">
        <f>IF(D2195="","",(VLOOKUP($D2195,KEY!$B$5:$D$74,3,FALSE)))</f>
        <v>Southern California</v>
      </c>
      <c r="B2195" s="221">
        <f t="shared" si="22"/>
        <v>45931</v>
      </c>
      <c r="C2195" s="221" t="str">
        <f>IFERROR(VLOOKUP($B2195,KEY!$AE$19:$AH$60,2,FALSE),"")</f>
        <v>2025-Q4</v>
      </c>
      <c r="D2195" s="222" t="s">
        <v>139</v>
      </c>
      <c r="E2195" s="218">
        <v>15</v>
      </c>
    </row>
    <row r="2196" spans="1:5" x14ac:dyDescent="0.35">
      <c r="A2196" s="3" t="str">
        <f>IF(D2196="","",(VLOOKUP($D2196,KEY!$B$5:$D$74,3,FALSE)))</f>
        <v>Orange County</v>
      </c>
      <c r="B2196" s="221">
        <f t="shared" si="22"/>
        <v>45931</v>
      </c>
      <c r="C2196" s="221" t="str">
        <f>IFERROR(VLOOKUP($B2196,KEY!$AE$19:$AH$60,2,FALSE),"")</f>
        <v>2025-Q4</v>
      </c>
      <c r="D2196" s="222" t="s">
        <v>140</v>
      </c>
      <c r="E2196" s="218">
        <v>3</v>
      </c>
    </row>
    <row r="2197" spans="1:5" x14ac:dyDescent="0.35">
      <c r="A2197" s="3" t="str">
        <f>IF(D2197="","",(VLOOKUP($D2197,KEY!$B$5:$D$74,3,FALSE)))</f>
        <v>Southern California</v>
      </c>
      <c r="B2197" s="221">
        <f t="shared" si="22"/>
        <v>45931</v>
      </c>
      <c r="C2197" s="221" t="str">
        <f>IFERROR(VLOOKUP($B2197,KEY!$AE$19:$AH$60,2,FALSE),"")</f>
        <v>2025-Q4</v>
      </c>
      <c r="D2197" s="222" t="s">
        <v>142</v>
      </c>
      <c r="E2197" s="218">
        <v>6</v>
      </c>
    </row>
    <row r="2198" spans="1:5" x14ac:dyDescent="0.35">
      <c r="A2198" s="3" t="str">
        <f>IF(D2198="","",(VLOOKUP($D2198,KEY!$B$5:$D$74,3,FALSE)))</f>
        <v>Arizona</v>
      </c>
      <c r="B2198" s="221">
        <f t="shared" si="22"/>
        <v>45931</v>
      </c>
      <c r="C2198" s="221" t="str">
        <f>IFERROR(VLOOKUP($B2198,KEY!$AE$19:$AH$60,2,FALSE),"")</f>
        <v>2025-Q4</v>
      </c>
      <c r="D2198" s="222" t="s">
        <v>143</v>
      </c>
      <c r="E2198" s="218">
        <v>9</v>
      </c>
    </row>
    <row r="2199" spans="1:5" x14ac:dyDescent="0.35">
      <c r="A2199" s="3" t="str">
        <f>IF(D2199="","",(VLOOKUP($D2199,KEY!$B$5:$D$74,3,FALSE)))</f>
        <v>Arizona</v>
      </c>
      <c r="B2199" s="221">
        <f t="shared" si="22"/>
        <v>45931</v>
      </c>
      <c r="C2199" s="221" t="str">
        <f>IFERROR(VLOOKUP($B2199,KEY!$AE$19:$AH$60,2,FALSE),"")</f>
        <v>2025-Q4</v>
      </c>
      <c r="D2199" s="222" t="s">
        <v>144</v>
      </c>
      <c r="E2199" s="218">
        <v>18</v>
      </c>
    </row>
    <row r="2200" spans="1:5" x14ac:dyDescent="0.35">
      <c r="A2200" s="3" t="str">
        <f>IF(D2200="","",(VLOOKUP($D2200,KEY!$B$5:$D$74,3,FALSE)))</f>
        <v>Southern California</v>
      </c>
      <c r="B2200" s="221">
        <f t="shared" si="22"/>
        <v>45931</v>
      </c>
      <c r="C2200" s="221" t="str">
        <f>IFERROR(VLOOKUP($B2200,KEY!$AE$19:$AH$60,2,FALSE),"")</f>
        <v>2025-Q4</v>
      </c>
      <c r="D2200" s="222" t="s">
        <v>145</v>
      </c>
      <c r="E2200" s="218">
        <v>16</v>
      </c>
    </row>
    <row r="2201" spans="1:5" x14ac:dyDescent="0.35">
      <c r="A2201" s="3" t="str">
        <f>IF(D2201="","",(VLOOKUP($D2201,KEY!$B$5:$D$74,3,FALSE)))</f>
        <v>Arizona</v>
      </c>
      <c r="B2201" s="221">
        <f t="shared" si="22"/>
        <v>45931</v>
      </c>
      <c r="C2201" s="221" t="str">
        <f>IFERROR(VLOOKUP($B2201,KEY!$AE$19:$AH$60,2,FALSE),"")</f>
        <v>2025-Q4</v>
      </c>
      <c r="D2201" s="222" t="s">
        <v>146</v>
      </c>
      <c r="E2201" s="218">
        <v>4</v>
      </c>
    </row>
    <row r="2202" spans="1:5" x14ac:dyDescent="0.35">
      <c r="A2202" s="3" t="str">
        <f>IF(D2202="","",(VLOOKUP($D2202,KEY!$B$5:$D$74,3,FALSE)))</f>
        <v>Texas</v>
      </c>
      <c r="B2202" s="221">
        <f t="shared" si="22"/>
        <v>45931</v>
      </c>
      <c r="C2202" s="221" t="str">
        <f>IFERROR(VLOOKUP($B2202,KEY!$AE$19:$AH$60,2,FALSE),"")</f>
        <v>2025-Q4</v>
      </c>
      <c r="D2202" s="222" t="s">
        <v>147</v>
      </c>
      <c r="E2202" s="218">
        <v>4</v>
      </c>
    </row>
    <row r="2203" spans="1:5" x14ac:dyDescent="0.35">
      <c r="A2203" s="3" t="str">
        <f>IF(D2203="","",(VLOOKUP($D2203,KEY!$B$5:$D$74,3,FALSE)))</f>
        <v>Northern California</v>
      </c>
      <c r="B2203" s="221">
        <f t="shared" si="22"/>
        <v>45931</v>
      </c>
      <c r="C2203" s="221" t="str">
        <f>IFERROR(VLOOKUP($B2203,KEY!$AE$19:$AH$60,2,FALSE),"")</f>
        <v>2025-Q4</v>
      </c>
      <c r="D2203" s="222" t="s">
        <v>148</v>
      </c>
      <c r="E2203" s="218">
        <v>4</v>
      </c>
    </row>
    <row r="2204" spans="1:5" x14ac:dyDescent="0.35">
      <c r="A2204" s="3" t="str">
        <f>IF(D2204="","",(VLOOKUP($D2204,KEY!$B$5:$D$74,3,FALSE)))</f>
        <v>Orange County</v>
      </c>
      <c r="B2204" s="221">
        <f t="shared" si="22"/>
        <v>45931</v>
      </c>
      <c r="C2204" s="221" t="str">
        <f>IFERROR(VLOOKUP($B2204,KEY!$AE$19:$AH$60,2,FALSE),"")</f>
        <v>2025-Q4</v>
      </c>
      <c r="D2204" s="222" t="s">
        <v>149</v>
      </c>
      <c r="E2204" s="218">
        <v>3</v>
      </c>
    </row>
    <row r="2205" spans="1:5" x14ac:dyDescent="0.35">
      <c r="A2205" s="3" t="str">
        <f>IF(D2205="","",(VLOOKUP($D2205,KEY!$B$5:$D$74,3,FALSE)))</f>
        <v>Southern California</v>
      </c>
      <c r="B2205" s="221">
        <f t="shared" si="22"/>
        <v>45931</v>
      </c>
      <c r="C2205" s="221" t="str">
        <f>IFERROR(VLOOKUP($B2205,KEY!$AE$19:$AH$60,2,FALSE),"")</f>
        <v>2025-Q4</v>
      </c>
      <c r="D2205" s="222" t="s">
        <v>150</v>
      </c>
      <c r="E2205" s="218">
        <v>4</v>
      </c>
    </row>
    <row r="2206" spans="1:5" x14ac:dyDescent="0.35">
      <c r="A2206" s="3" t="str">
        <f>IF(D2206="","",(VLOOKUP($D2206,KEY!$B$5:$D$74,3,FALSE)))</f>
        <v>Arizona</v>
      </c>
      <c r="B2206" s="221">
        <f t="shared" si="22"/>
        <v>45931</v>
      </c>
      <c r="C2206" s="221" t="str">
        <f>IFERROR(VLOOKUP($B2206,KEY!$AE$19:$AH$60,2,FALSE),"")</f>
        <v>2025-Q4</v>
      </c>
      <c r="D2206" s="222" t="s">
        <v>151</v>
      </c>
      <c r="E2206" s="218">
        <v>4</v>
      </c>
    </row>
    <row r="2207" spans="1:5" x14ac:dyDescent="0.35">
      <c r="A2207" s="3" t="str">
        <f>IF(D2207="","",(VLOOKUP($D2207,KEY!$B$5:$D$74,3,FALSE)))</f>
        <v>Michigan &amp; Minnesota</v>
      </c>
      <c r="B2207" s="221">
        <f t="shared" si="22"/>
        <v>45931</v>
      </c>
      <c r="C2207" s="221" t="str">
        <f>IFERROR(VLOOKUP($B2207,KEY!$AE$19:$AH$60,2,FALSE),"")</f>
        <v>2025-Q4</v>
      </c>
      <c r="D2207" s="222" t="s">
        <v>206</v>
      </c>
      <c r="E2207" s="218">
        <v>19</v>
      </c>
    </row>
    <row r="2208" spans="1:5" x14ac:dyDescent="0.35">
      <c r="A2208" s="3" t="str">
        <f>IF(D2208="","",(VLOOKUP($D2208,KEY!$B$5:$D$74,3,FALSE)))</f>
        <v>Michigan &amp; Minnesota</v>
      </c>
      <c r="B2208" s="221">
        <f t="shared" si="22"/>
        <v>45931</v>
      </c>
      <c r="C2208" s="221" t="str">
        <f>IFERROR(VLOOKUP($B2208,KEY!$AE$19:$AH$60,2,FALSE),"")</f>
        <v>2025-Q4</v>
      </c>
      <c r="D2208" s="222" t="s">
        <v>207</v>
      </c>
      <c r="E2208" s="218">
        <v>6</v>
      </c>
    </row>
    <row r="2209" spans="1:5" x14ac:dyDescent="0.35">
      <c r="A2209" s="3" t="str">
        <f>IF(D2209="","",(VLOOKUP($D2209,KEY!$B$5:$D$74,3,FALSE)))</f>
        <v>Indiana</v>
      </c>
      <c r="B2209" s="221">
        <f t="shared" si="22"/>
        <v>45931</v>
      </c>
      <c r="C2209" s="221" t="str">
        <f>IFERROR(VLOOKUP($B2209,KEY!$AE$19:$AH$60,2,FALSE),"")</f>
        <v>2025-Q4</v>
      </c>
      <c r="D2209" s="222" t="s">
        <v>208</v>
      </c>
      <c r="E2209" s="218">
        <v>11</v>
      </c>
    </row>
    <row r="2210" spans="1:5" x14ac:dyDescent="0.35">
      <c r="A2210" s="3" t="str">
        <f>IF(D2210="","",(VLOOKUP($D2210,KEY!$B$5:$D$74,3,FALSE)))</f>
        <v>Indiana</v>
      </c>
      <c r="B2210" s="221">
        <f t="shared" si="22"/>
        <v>45931</v>
      </c>
      <c r="C2210" s="221" t="str">
        <f>IFERROR(VLOOKUP($B2210,KEY!$AE$19:$AH$60,2,FALSE),"")</f>
        <v>2025-Q4</v>
      </c>
      <c r="D2210" s="222" t="s">
        <v>209</v>
      </c>
      <c r="E2210" s="218">
        <v>26</v>
      </c>
    </row>
    <row r="2211" spans="1:5" x14ac:dyDescent="0.35">
      <c r="A2211" s="3" t="str">
        <f>IF(D2211="","",(VLOOKUP($D2211,KEY!$B$5:$D$74,3,FALSE)))</f>
        <v>Northern California</v>
      </c>
      <c r="B2211" s="221">
        <f t="shared" si="22"/>
        <v>45931</v>
      </c>
      <c r="C2211" s="221" t="str">
        <f>IFERROR(VLOOKUP($B2211,KEY!$AE$19:$AH$60,2,FALSE),"")</f>
        <v>2025-Q4</v>
      </c>
      <c r="D2211" s="222" t="s">
        <v>152</v>
      </c>
      <c r="E2211" s="218">
        <v>12</v>
      </c>
    </row>
    <row r="2212" spans="1:5" x14ac:dyDescent="0.35">
      <c r="A2212" s="3" t="str">
        <f>IF(D2212="","",(VLOOKUP($D2212,KEY!$B$5:$D$74,3,FALSE)))</f>
        <v>Arizona</v>
      </c>
      <c r="B2212" s="221">
        <f t="shared" si="22"/>
        <v>45931</v>
      </c>
      <c r="C2212" s="221" t="str">
        <f>IFERROR(VLOOKUP($B2212,KEY!$AE$19:$AH$60,2,FALSE),"")</f>
        <v>2025-Q4</v>
      </c>
      <c r="D2212" s="222" t="s">
        <v>153</v>
      </c>
      <c r="E2212" s="218">
        <v>13</v>
      </c>
    </row>
    <row r="2213" spans="1:5" x14ac:dyDescent="0.35">
      <c r="A2213" s="3" t="str">
        <f>IF(D2213="","",(VLOOKUP($D2213,KEY!$B$5:$D$74,3,FALSE)))</f>
        <v>Northern California</v>
      </c>
      <c r="B2213" s="221">
        <f t="shared" si="22"/>
        <v>45931</v>
      </c>
      <c r="C2213" s="221" t="str">
        <f>IFERROR(VLOOKUP($B2213,KEY!$AE$19:$AH$60,2,FALSE),"")</f>
        <v>2025-Q4</v>
      </c>
      <c r="D2213" s="222" t="s">
        <v>154</v>
      </c>
      <c r="E2213" s="218">
        <v>9</v>
      </c>
    </row>
    <row r="2214" spans="1:5" x14ac:dyDescent="0.35">
      <c r="A2214" s="3" t="str">
        <f>IF(D2214="","",(VLOOKUP($D2214,KEY!$B$5:$D$74,3,FALSE)))</f>
        <v>Texas</v>
      </c>
      <c r="B2214" s="221">
        <f t="shared" si="22"/>
        <v>45931</v>
      </c>
      <c r="C2214" s="221" t="str">
        <f>IFERROR(VLOOKUP($B2214,KEY!$AE$19:$AH$60,2,FALSE),"")</f>
        <v>2025-Q4</v>
      </c>
      <c r="D2214" s="222" t="s">
        <v>155</v>
      </c>
      <c r="E2214" s="218">
        <v>24</v>
      </c>
    </row>
    <row r="2215" spans="1:5" x14ac:dyDescent="0.35">
      <c r="A2215" s="3" t="str">
        <f>IF(D2215="","",(VLOOKUP($D2215,KEY!$B$5:$D$74,3,FALSE)))</f>
        <v>Texas</v>
      </c>
      <c r="B2215" s="221">
        <f t="shared" si="22"/>
        <v>45931</v>
      </c>
      <c r="C2215" s="221" t="str">
        <f>IFERROR(VLOOKUP($B2215,KEY!$AE$19:$AH$60,2,FALSE),"")</f>
        <v>2025-Q4</v>
      </c>
      <c r="D2215" s="222" t="s">
        <v>156</v>
      </c>
      <c r="E2215" s="218">
        <v>11</v>
      </c>
    </row>
    <row r="2216" spans="1:5" x14ac:dyDescent="0.35">
      <c r="A2216" s="3" t="str">
        <f>IF(D2216="","",(VLOOKUP($D2216,KEY!$B$5:$D$74,3,FALSE)))</f>
        <v>Texas</v>
      </c>
      <c r="B2216" s="221">
        <f t="shared" si="22"/>
        <v>45931</v>
      </c>
      <c r="C2216" s="221" t="str">
        <f>IFERROR(VLOOKUP($B2216,KEY!$AE$19:$AH$60,2,FALSE),"")</f>
        <v>2025-Q4</v>
      </c>
      <c r="D2216" s="222" t="s">
        <v>157</v>
      </c>
      <c r="E2216" s="218">
        <v>39</v>
      </c>
    </row>
    <row r="2217" spans="1:5" x14ac:dyDescent="0.35">
      <c r="A2217" s="3" t="str">
        <f>IF(D2217="","",(VLOOKUP($D2217,KEY!$B$5:$D$74,3,FALSE)))</f>
        <v>Arizona</v>
      </c>
      <c r="B2217" s="221">
        <f t="shared" si="22"/>
        <v>45931</v>
      </c>
      <c r="C2217" s="221" t="str">
        <f>IFERROR(VLOOKUP($B2217,KEY!$AE$19:$AH$60,2,FALSE),"")</f>
        <v>2025-Q4</v>
      </c>
      <c r="D2217" s="222" t="s">
        <v>158</v>
      </c>
      <c r="E2217" s="218">
        <v>6</v>
      </c>
    </row>
    <row r="2218" spans="1:5" x14ac:dyDescent="0.35">
      <c r="A2218" s="3" t="str">
        <f>IF(D2218="","",(VLOOKUP($D2218,KEY!$B$5:$D$74,3,FALSE)))</f>
        <v>Orange County</v>
      </c>
      <c r="B2218" s="221">
        <f t="shared" si="22"/>
        <v>45931</v>
      </c>
      <c r="C2218" s="221" t="str">
        <f>IFERROR(VLOOKUP($B2218,KEY!$AE$19:$AH$60,2,FALSE),"")</f>
        <v>2025-Q4</v>
      </c>
      <c r="D2218" s="222" t="s">
        <v>159</v>
      </c>
      <c r="E2218" s="218">
        <v>7</v>
      </c>
    </row>
    <row r="2219" spans="1:5" x14ac:dyDescent="0.35">
      <c r="A2219" s="3" t="str">
        <f>IF(D2219="","",(VLOOKUP($D2219,KEY!$B$5:$D$74,3,FALSE)))</f>
        <v>Arizona</v>
      </c>
      <c r="B2219" s="221">
        <f t="shared" si="22"/>
        <v>45931</v>
      </c>
      <c r="C2219" s="221" t="str">
        <f>IFERROR(VLOOKUP($B2219,KEY!$AE$19:$AH$60,2,FALSE),"")</f>
        <v>2025-Q4</v>
      </c>
      <c r="D2219" s="222" t="s">
        <v>160</v>
      </c>
      <c r="E2219" s="218">
        <v>20</v>
      </c>
    </row>
    <row r="2220" spans="1:5" x14ac:dyDescent="0.35">
      <c r="A2220" s="3" t="str">
        <f>IF(D2220="","",(VLOOKUP($D2220,KEY!$B$5:$D$74,3,FALSE)))</f>
        <v>Northern California</v>
      </c>
      <c r="B2220" s="221">
        <f t="shared" si="22"/>
        <v>45931</v>
      </c>
      <c r="C2220" s="221" t="str">
        <f>IFERROR(VLOOKUP($B2220,KEY!$AE$19:$AH$60,2,FALSE),"")</f>
        <v>2025-Q4</v>
      </c>
      <c r="D2220" s="222" t="s">
        <v>161</v>
      </c>
      <c r="E2220" s="218">
        <v>20</v>
      </c>
    </row>
    <row r="2221" spans="1:5" x14ac:dyDescent="0.35">
      <c r="A2221" s="3" t="str">
        <f>IF(D2221="","",(VLOOKUP($D2221,KEY!$B$5:$D$74,3,FALSE)))</f>
        <v>Arizona</v>
      </c>
      <c r="B2221" s="221">
        <f t="shared" si="22"/>
        <v>45931</v>
      </c>
      <c r="C2221" s="221" t="str">
        <f>IFERROR(VLOOKUP($B2221,KEY!$AE$19:$AH$60,2,FALSE),"")</f>
        <v>2025-Q4</v>
      </c>
      <c r="D2221" s="222" t="s">
        <v>163</v>
      </c>
      <c r="E2221" s="218">
        <v>20</v>
      </c>
    </row>
    <row r="2222" spans="1:5" x14ac:dyDescent="0.35">
      <c r="A2222" s="3" t="str">
        <f>IF(D2222="","",(VLOOKUP($D2222,KEY!$B$5:$D$74,3,FALSE)))</f>
        <v>Arizona</v>
      </c>
      <c r="B2222" s="221">
        <f t="shared" si="22"/>
        <v>45931</v>
      </c>
      <c r="C2222" s="221" t="str">
        <f>IFERROR(VLOOKUP($B2222,KEY!$AE$19:$AH$60,2,FALSE),"")</f>
        <v>2025-Q4</v>
      </c>
      <c r="D2222" s="222" t="s">
        <v>164</v>
      </c>
      <c r="E2222" s="218">
        <v>6</v>
      </c>
    </row>
    <row r="2223" spans="1:5" x14ac:dyDescent="0.35">
      <c r="A2223" s="3" t="str">
        <f>IF(D2223="","",(VLOOKUP($D2223,KEY!$B$5:$D$74,3,FALSE)))</f>
        <v>Orange County</v>
      </c>
      <c r="B2223" s="221">
        <f t="shared" si="22"/>
        <v>45931</v>
      </c>
      <c r="C2223" s="221" t="str">
        <f>IFERROR(VLOOKUP($B2223,KEY!$AE$19:$AH$60,2,FALSE),"")</f>
        <v>2025-Q4</v>
      </c>
      <c r="D2223" s="222" t="s">
        <v>165</v>
      </c>
      <c r="E2223" s="218">
        <v>6</v>
      </c>
    </row>
    <row r="2224" spans="1:5" x14ac:dyDescent="0.35">
      <c r="A2224" s="3" t="str">
        <f>IF(D2224="","",(VLOOKUP($D2224,KEY!$B$5:$D$74,3,FALSE)))</f>
        <v/>
      </c>
      <c r="B2224" s="221">
        <f t="shared" ref="B2224:B2228" si="23">B2223</f>
        <v>45931</v>
      </c>
      <c r="C2224" s="221" t="str">
        <f>IFERROR(VLOOKUP($B2224,KEY!$AE$19:$AH$60,2,FALSE),"")</f>
        <v>2025-Q4</v>
      </c>
      <c r="D2224" s="222"/>
      <c r="E2224" s="218" t="s">
        <v>211</v>
      </c>
    </row>
    <row r="2225" spans="1:5" x14ac:dyDescent="0.35">
      <c r="A2225" s="3" t="str">
        <f>IF(D2225="","",(VLOOKUP($D2225,KEY!$B$5:$D$74,3,FALSE)))</f>
        <v/>
      </c>
      <c r="B2225" s="221">
        <f t="shared" si="23"/>
        <v>45931</v>
      </c>
      <c r="C2225" s="221" t="str">
        <f>IFERROR(VLOOKUP($B2225,KEY!$AE$19:$AH$60,2,FALSE),"")</f>
        <v>2025-Q4</v>
      </c>
      <c r="D2225" s="222"/>
      <c r="E2225" s="218"/>
    </row>
    <row r="2226" spans="1:5" x14ac:dyDescent="0.35">
      <c r="A2226" s="3" t="str">
        <f>IF(D2226="","",(VLOOKUP($D2226,KEY!$B$5:$D$74,3,FALSE)))</f>
        <v/>
      </c>
      <c r="B2226" s="221">
        <f t="shared" si="23"/>
        <v>45931</v>
      </c>
      <c r="C2226" s="221" t="str">
        <f>IFERROR(VLOOKUP($B2226,KEY!$AE$19:$AH$60,2,FALSE),"")</f>
        <v>2025-Q4</v>
      </c>
      <c r="D2226" s="222"/>
      <c r="E2226" s="218"/>
    </row>
    <row r="2227" spans="1:5" x14ac:dyDescent="0.35">
      <c r="A2227" s="3" t="str">
        <f>IF(D2227="","",(VLOOKUP($D2227,KEY!$B$5:$D$74,3,FALSE)))</f>
        <v/>
      </c>
      <c r="B2227" s="221">
        <f t="shared" si="23"/>
        <v>45931</v>
      </c>
      <c r="C2227" s="221" t="str">
        <f>IFERROR(VLOOKUP($B2227,KEY!$AE$19:$AH$60,2,FALSE),"")</f>
        <v>2025-Q4</v>
      </c>
      <c r="D2227" s="222"/>
      <c r="E2227" s="218"/>
    </row>
    <row r="2228" spans="1:5" x14ac:dyDescent="0.35">
      <c r="A2228" s="3" t="str">
        <f>IF(D2228="","",(VLOOKUP($D2228,KEY!$B$5:$D$74,3,FALSE)))</f>
        <v/>
      </c>
      <c r="B2228" s="402">
        <f t="shared" si="23"/>
        <v>45931</v>
      </c>
      <c r="C2228" s="402" t="str">
        <f>IFERROR(VLOOKUP($B2228,KEY!$AE$19:$AH$60,2,FALSE),"")</f>
        <v>2025-Q4</v>
      </c>
      <c r="D2228" s="403"/>
      <c r="E2228" s="404"/>
    </row>
    <row r="2229" spans="1:5" x14ac:dyDescent="0.35">
      <c r="A2229" s="3" t="str">
        <f>IF(D2229="","",(VLOOKUP($D2229,KEY!$B$5:$D$74,3,FALSE)))</f>
        <v>Arizona</v>
      </c>
      <c r="B2229" s="221">
        <f>DATE(YEAR(B2228+31),MONTH(B2228+31),1)</f>
        <v>45962</v>
      </c>
      <c r="C2229" s="221" t="str">
        <f>IFERROR(VLOOKUP($B2229,KEY!$AE$19:$AH$60,2,FALSE),"")</f>
        <v>2025-Q4</v>
      </c>
      <c r="D2229" s="222" t="s">
        <v>111</v>
      </c>
      <c r="E2229" s="218">
        <v>7</v>
      </c>
    </row>
    <row r="2230" spans="1:5" x14ac:dyDescent="0.35">
      <c r="A2230" s="3" t="str">
        <f>IF(D2230="","",(VLOOKUP($D2230,KEY!$B$5:$D$74,3,FALSE)))</f>
        <v>Southern California</v>
      </c>
      <c r="B2230" s="221">
        <f t="shared" ref="B2230:B2293" si="24">B2229</f>
        <v>45962</v>
      </c>
      <c r="C2230" s="221" t="str">
        <f>IFERROR(VLOOKUP($B2230,KEY!$AE$19:$AH$60,2,FALSE),"")</f>
        <v>2025-Q4</v>
      </c>
      <c r="D2230" s="222" t="s">
        <v>112</v>
      </c>
      <c r="E2230" s="218">
        <v>5</v>
      </c>
    </row>
    <row r="2231" spans="1:5" x14ac:dyDescent="0.35">
      <c r="A2231" s="3" t="str">
        <f>IF(D2231="","",(VLOOKUP($D2231,KEY!$B$5:$D$74,3,FALSE)))</f>
        <v>Arizona</v>
      </c>
      <c r="B2231" s="221">
        <f t="shared" si="24"/>
        <v>45962</v>
      </c>
      <c r="C2231" s="221" t="str">
        <f>IFERROR(VLOOKUP($B2231,KEY!$AE$19:$AH$60,2,FALSE),"")</f>
        <v>2025-Q4</v>
      </c>
      <c r="D2231" s="222" t="s">
        <v>113</v>
      </c>
      <c r="E2231" s="218">
        <v>7</v>
      </c>
    </row>
    <row r="2232" spans="1:5" x14ac:dyDescent="0.35">
      <c r="A2232" s="3" t="str">
        <f>IF(D2232="","",(VLOOKUP($D2232,KEY!$B$5:$D$74,3,FALSE)))</f>
        <v>Southern California</v>
      </c>
      <c r="B2232" s="221">
        <f t="shared" si="24"/>
        <v>45962</v>
      </c>
      <c r="C2232" s="221" t="str">
        <f>IFERROR(VLOOKUP($B2232,KEY!$AE$19:$AH$60,2,FALSE),"")</f>
        <v>2025-Q4</v>
      </c>
      <c r="D2232" s="222" t="s">
        <v>114</v>
      </c>
      <c r="E2232" s="218">
        <v>5</v>
      </c>
    </row>
    <row r="2233" spans="1:5" x14ac:dyDescent="0.35">
      <c r="A2233" s="3" t="str">
        <f>IF(D2233="","",(VLOOKUP($D2233,KEY!$B$5:$D$74,3,FALSE)))</f>
        <v>Orange County</v>
      </c>
      <c r="B2233" s="221">
        <f t="shared" si="24"/>
        <v>45962</v>
      </c>
      <c r="C2233" s="221" t="str">
        <f>IFERROR(VLOOKUP($B2233,KEY!$AE$19:$AH$60,2,FALSE),"")</f>
        <v>2025-Q4</v>
      </c>
      <c r="D2233" s="222" t="s">
        <v>115</v>
      </c>
      <c r="E2233" s="218">
        <v>5</v>
      </c>
    </row>
    <row r="2234" spans="1:5" x14ac:dyDescent="0.35">
      <c r="A2234" s="3" t="str">
        <f>IF(D2234="","",(VLOOKUP($D2234,KEY!$B$5:$D$74,3,FALSE)))</f>
        <v>Arizona</v>
      </c>
      <c r="B2234" s="221">
        <f t="shared" si="24"/>
        <v>45962</v>
      </c>
      <c r="C2234" s="221" t="str">
        <f>IFERROR(VLOOKUP($B2234,KEY!$AE$19:$AH$60,2,FALSE),"")</f>
        <v>2025-Q4</v>
      </c>
      <c r="D2234" s="222" t="s">
        <v>116</v>
      </c>
      <c r="E2234" s="218">
        <v>10</v>
      </c>
    </row>
    <row r="2235" spans="1:5" x14ac:dyDescent="0.35">
      <c r="A2235" s="3" t="str">
        <f>IF(D2235="","",(VLOOKUP($D2235,KEY!$B$5:$D$74,3,FALSE)))</f>
        <v>Northern California</v>
      </c>
      <c r="B2235" s="221">
        <f t="shared" si="24"/>
        <v>45962</v>
      </c>
      <c r="C2235" s="221" t="str">
        <f>IFERROR(VLOOKUP($B2235,KEY!$AE$19:$AH$60,2,FALSE),"")</f>
        <v>2025-Q4</v>
      </c>
      <c r="D2235" s="222" t="s">
        <v>118</v>
      </c>
      <c r="E2235" s="218">
        <v>10</v>
      </c>
    </row>
    <row r="2236" spans="1:5" x14ac:dyDescent="0.35">
      <c r="A2236" s="3" t="str">
        <f>IF(D2236="","",(VLOOKUP($D2236,KEY!$B$5:$D$74,3,FALSE)))</f>
        <v>Orange County</v>
      </c>
      <c r="B2236" s="221">
        <f t="shared" si="24"/>
        <v>45962</v>
      </c>
      <c r="C2236" s="221" t="str">
        <f>IFERROR(VLOOKUP($B2236,KEY!$AE$19:$AH$60,2,FALSE),"")</f>
        <v>2025-Q4</v>
      </c>
      <c r="D2236" s="222" t="s">
        <v>117</v>
      </c>
      <c r="E2236" s="218">
        <v>6</v>
      </c>
    </row>
    <row r="2237" spans="1:5" x14ac:dyDescent="0.35">
      <c r="A2237" s="3" t="str">
        <f>IF(D2237="","",(VLOOKUP($D2237,KEY!$B$5:$D$74,3,FALSE)))</f>
        <v>Arizona</v>
      </c>
      <c r="B2237" s="221">
        <f t="shared" si="24"/>
        <v>45962</v>
      </c>
      <c r="C2237" s="221" t="str">
        <f>IFERROR(VLOOKUP($B2237,KEY!$AE$19:$AH$60,2,FALSE),"")</f>
        <v>2025-Q4</v>
      </c>
      <c r="D2237" s="222" t="s">
        <v>119</v>
      </c>
      <c r="E2237" s="218">
        <v>4</v>
      </c>
    </row>
    <row r="2238" spans="1:5" x14ac:dyDescent="0.35">
      <c r="A2238" s="3" t="str">
        <f>IF(D2238="","",(VLOOKUP($D2238,KEY!$B$5:$D$74,3,FALSE)))</f>
        <v/>
      </c>
      <c r="B2238" s="221">
        <f t="shared" si="24"/>
        <v>45962</v>
      </c>
      <c r="C2238" s="221" t="str">
        <f>IFERROR(VLOOKUP($B2238,KEY!$AE$19:$AH$60,2,FALSE),"")</f>
        <v>2025-Q4</v>
      </c>
      <c r="D2238" s="222"/>
      <c r="E2238" s="218"/>
    </row>
    <row r="2239" spans="1:5" x14ac:dyDescent="0.35">
      <c r="A2239" s="3" t="str">
        <f>IF(D2239="","",(VLOOKUP($D2239,KEY!$B$5:$D$74,3,FALSE)))</f>
        <v>Arizona</v>
      </c>
      <c r="B2239" s="221">
        <f t="shared" si="24"/>
        <v>45962</v>
      </c>
      <c r="C2239" s="221" t="str">
        <f>IFERROR(VLOOKUP($B2239,KEY!$AE$19:$AH$60,2,FALSE),"")</f>
        <v>2025-Q4</v>
      </c>
      <c r="D2239" s="222" t="s">
        <v>120</v>
      </c>
      <c r="E2239" s="218">
        <v>28</v>
      </c>
    </row>
    <row r="2240" spans="1:5" x14ac:dyDescent="0.35">
      <c r="A2240" s="3" t="str">
        <f>IF(D2240="","",(VLOOKUP($D2240,KEY!$B$5:$D$74,3,FALSE)))</f>
        <v>Texas</v>
      </c>
      <c r="B2240" s="221">
        <f t="shared" si="24"/>
        <v>45962</v>
      </c>
      <c r="C2240" s="221" t="str">
        <f>IFERROR(VLOOKUP($B2240,KEY!$AE$19:$AH$60,2,FALSE),"")</f>
        <v>2025-Q4</v>
      </c>
      <c r="D2240" s="222" t="s">
        <v>121</v>
      </c>
      <c r="E2240" s="218">
        <v>24</v>
      </c>
    </row>
    <row r="2241" spans="1:5" x14ac:dyDescent="0.35">
      <c r="A2241" s="3" t="str">
        <f>IF(D2241="","",(VLOOKUP($D2241,KEY!$B$5:$D$74,3,FALSE)))</f>
        <v>Michigan &amp; Minnesota</v>
      </c>
      <c r="B2241" s="221">
        <f t="shared" si="24"/>
        <v>45962</v>
      </c>
      <c r="C2241" s="221" t="str">
        <f>IFERROR(VLOOKUP($B2241,KEY!$AE$19:$AH$60,2,FALSE),"")</f>
        <v>2025-Q4</v>
      </c>
      <c r="D2241" s="222" t="s">
        <v>200</v>
      </c>
      <c r="E2241" s="218">
        <v>11</v>
      </c>
    </row>
    <row r="2242" spans="1:5" x14ac:dyDescent="0.35">
      <c r="A2242" s="3" t="str">
        <f>IF(D2242="","",(VLOOKUP($D2242,KEY!$B$5:$D$74,3,FALSE)))</f>
        <v>Southern California</v>
      </c>
      <c r="B2242" s="221">
        <f t="shared" si="24"/>
        <v>45962</v>
      </c>
      <c r="C2242" s="221" t="str">
        <f>IFERROR(VLOOKUP($B2242,KEY!$AE$19:$AH$60,2,FALSE),"")</f>
        <v>2025-Q4</v>
      </c>
      <c r="D2242" s="222" t="s">
        <v>122</v>
      </c>
      <c r="E2242" s="218">
        <v>8</v>
      </c>
    </row>
    <row r="2243" spans="1:5" x14ac:dyDescent="0.35">
      <c r="A2243" s="3" t="str">
        <f>IF(D2243="","",(VLOOKUP($D2243,KEY!$B$5:$D$74,3,FALSE)))</f>
        <v>Orange County</v>
      </c>
      <c r="B2243" s="221">
        <f t="shared" si="24"/>
        <v>45962</v>
      </c>
      <c r="C2243" s="221" t="str">
        <f>IFERROR(VLOOKUP($B2243,KEY!$AE$19:$AH$60,2,FALSE),"")</f>
        <v>2025-Q4</v>
      </c>
      <c r="D2243" s="222" t="s">
        <v>123</v>
      </c>
      <c r="E2243" s="218">
        <v>18</v>
      </c>
    </row>
    <row r="2244" spans="1:5" x14ac:dyDescent="0.35">
      <c r="A2244" s="3" t="str">
        <f>IF(D2244="","",(VLOOKUP($D2244,KEY!$B$5:$D$74,3,FALSE)))</f>
        <v>Southern California</v>
      </c>
      <c r="B2244" s="221">
        <f t="shared" si="24"/>
        <v>45962</v>
      </c>
      <c r="C2244" s="221" t="str">
        <f>IFERROR(VLOOKUP($B2244,KEY!$AE$19:$AH$60,2,FALSE),"")</f>
        <v>2025-Q4</v>
      </c>
      <c r="D2244" s="222" t="s">
        <v>124</v>
      </c>
      <c r="E2244" s="218">
        <v>23</v>
      </c>
    </row>
    <row r="2245" spans="1:5" x14ac:dyDescent="0.35">
      <c r="A2245" s="3" t="str">
        <f>IF(D2245="","",(VLOOKUP($D2245,KEY!$B$5:$D$74,3,FALSE)))</f>
        <v>Northern California</v>
      </c>
      <c r="B2245" s="221">
        <f t="shared" si="24"/>
        <v>45962</v>
      </c>
      <c r="C2245" s="221" t="str">
        <f>IFERROR(VLOOKUP($B2245,KEY!$AE$19:$AH$60,2,FALSE),"")</f>
        <v>2025-Q4</v>
      </c>
      <c r="D2245" s="222" t="s">
        <v>195</v>
      </c>
      <c r="E2245" s="218">
        <v>6</v>
      </c>
    </row>
    <row r="2246" spans="1:5" x14ac:dyDescent="0.35">
      <c r="A2246" s="3" t="str">
        <f>IF(D2246="","",(VLOOKUP($D2246,KEY!$B$5:$D$74,3,FALSE)))</f>
        <v>Northern California</v>
      </c>
      <c r="B2246" s="221">
        <f t="shared" si="24"/>
        <v>45962</v>
      </c>
      <c r="C2246" s="221" t="str">
        <f>IFERROR(VLOOKUP($B2246,KEY!$AE$19:$AH$60,2,FALSE),"")</f>
        <v>2025-Q4</v>
      </c>
      <c r="D2246" s="222" t="s">
        <v>125</v>
      </c>
      <c r="E2246" s="218">
        <v>23</v>
      </c>
    </row>
    <row r="2247" spans="1:5" x14ac:dyDescent="0.35">
      <c r="A2247" s="3" t="str">
        <f>IF(D2247="","",(VLOOKUP($D2247,KEY!$B$5:$D$74,3,FALSE)))</f>
        <v>Orange County</v>
      </c>
      <c r="B2247" s="221">
        <f t="shared" si="24"/>
        <v>45962</v>
      </c>
      <c r="C2247" s="221" t="str">
        <f>IFERROR(VLOOKUP($B2247,KEY!$AE$19:$AH$60,2,FALSE),"")</f>
        <v>2025-Q4</v>
      </c>
      <c r="D2247" s="222" t="s">
        <v>126</v>
      </c>
      <c r="E2247" s="218">
        <v>26.5</v>
      </c>
    </row>
    <row r="2248" spans="1:5" x14ac:dyDescent="0.35">
      <c r="A2248" s="3" t="str">
        <f>IF(D2248="","",(VLOOKUP($D2248,KEY!$B$5:$D$74,3,FALSE)))</f>
        <v>Orange County</v>
      </c>
      <c r="B2248" s="221">
        <f t="shared" si="24"/>
        <v>45962</v>
      </c>
      <c r="C2248" s="221" t="str">
        <f>IFERROR(VLOOKUP($B2248,KEY!$AE$19:$AH$60,2,FALSE),"")</f>
        <v>2025-Q4</v>
      </c>
      <c r="D2248" s="222" t="s">
        <v>127</v>
      </c>
      <c r="E2248" s="218">
        <v>3.5</v>
      </c>
    </row>
    <row r="2249" spans="1:5" x14ac:dyDescent="0.35">
      <c r="A2249" s="3" t="str">
        <f>IF(D2249="","",(VLOOKUP($D2249,KEY!$B$5:$D$74,3,FALSE)))</f>
        <v>Wisconsin</v>
      </c>
      <c r="B2249" s="221">
        <f t="shared" si="24"/>
        <v>45962</v>
      </c>
      <c r="C2249" s="221" t="str">
        <f>IFERROR(VLOOKUP($B2249,KEY!$AE$19:$AH$60,2,FALSE),"")</f>
        <v>2025-Q4</v>
      </c>
      <c r="D2249" s="222" t="s">
        <v>201</v>
      </c>
      <c r="E2249" s="218">
        <v>14</v>
      </c>
    </row>
    <row r="2250" spans="1:5" x14ac:dyDescent="0.35">
      <c r="A2250" s="3" t="str">
        <f>IF(D2250="","",(VLOOKUP($D2250,KEY!$B$5:$D$74,3,FALSE)))</f>
        <v>Texas</v>
      </c>
      <c r="B2250" s="221">
        <f t="shared" si="24"/>
        <v>45962</v>
      </c>
      <c r="C2250" s="221" t="str">
        <f>IFERROR(VLOOKUP($B2250,KEY!$AE$19:$AH$60,2,FALSE),"")</f>
        <v>2025-Q4</v>
      </c>
      <c r="D2250" s="222" t="s">
        <v>198</v>
      </c>
      <c r="E2250" s="218">
        <v>6</v>
      </c>
    </row>
    <row r="2251" spans="1:5" x14ac:dyDescent="0.35">
      <c r="A2251" s="3" t="str">
        <f>IF(D2251="","",(VLOOKUP($D2251,KEY!$B$5:$D$74,3,FALSE)))</f>
        <v>Texas</v>
      </c>
      <c r="B2251" s="221">
        <f t="shared" si="24"/>
        <v>45962</v>
      </c>
      <c r="C2251" s="221" t="str">
        <f>IFERROR(VLOOKUP($B2251,KEY!$AE$19:$AH$60,2,FALSE),"")</f>
        <v>2025-Q4</v>
      </c>
      <c r="D2251" s="222" t="s">
        <v>128</v>
      </c>
      <c r="E2251" s="218">
        <v>14</v>
      </c>
    </row>
    <row r="2252" spans="1:5" x14ac:dyDescent="0.35">
      <c r="A2252" s="3" t="str">
        <f>IF(D2252="","",(VLOOKUP($D2252,KEY!$B$5:$D$74,3,FALSE)))</f>
        <v>Northern California</v>
      </c>
      <c r="B2252" s="221">
        <f t="shared" si="24"/>
        <v>45962</v>
      </c>
      <c r="C2252" s="221" t="str">
        <f>IFERROR(VLOOKUP($B2252,KEY!$AE$19:$AH$60,2,FALSE),"")</f>
        <v>2025-Q4</v>
      </c>
      <c r="D2252" s="222" t="s">
        <v>129</v>
      </c>
      <c r="E2252" s="218">
        <v>14</v>
      </c>
    </row>
    <row r="2253" spans="1:5" x14ac:dyDescent="0.35">
      <c r="A2253" s="3" t="str">
        <f>IF(D2253="","",(VLOOKUP($D2253,KEY!$B$5:$D$74,3,FALSE)))</f>
        <v>Southern California</v>
      </c>
      <c r="B2253" s="221">
        <f t="shared" si="24"/>
        <v>45962</v>
      </c>
      <c r="C2253" s="221" t="str">
        <f>IFERROR(VLOOKUP($B2253,KEY!$AE$19:$AH$60,2,FALSE),"")</f>
        <v>2025-Q4</v>
      </c>
      <c r="D2253" s="222" t="s">
        <v>130</v>
      </c>
      <c r="E2253" s="218">
        <v>12</v>
      </c>
    </row>
    <row r="2254" spans="1:5" x14ac:dyDescent="0.35">
      <c r="A2254" s="3" t="str">
        <f>IF(D2254="","",(VLOOKUP($D2254,KEY!$B$5:$D$74,3,FALSE)))</f>
        <v>Texas</v>
      </c>
      <c r="B2254" s="221">
        <f t="shared" si="24"/>
        <v>45962</v>
      </c>
      <c r="C2254" s="221" t="str">
        <f>IFERROR(VLOOKUP($B2254,KEY!$AE$19:$AH$60,2,FALSE),"")</f>
        <v>2025-Q4</v>
      </c>
      <c r="D2254" s="222" t="s">
        <v>210</v>
      </c>
      <c r="E2254" s="218">
        <v>9</v>
      </c>
    </row>
    <row r="2255" spans="1:5" x14ac:dyDescent="0.35">
      <c r="A2255" s="3">
        <f>IF(D2255="","",(VLOOKUP($D2255,KEY!$B$5:$D$74,3,FALSE)))</f>
        <v>0</v>
      </c>
      <c r="B2255" s="221">
        <f t="shared" si="24"/>
        <v>45962</v>
      </c>
      <c r="C2255" s="221" t="str">
        <f>IFERROR(VLOOKUP($B2255,KEY!$AE$19:$AH$60,2,FALSE),"")</f>
        <v>2025-Q4</v>
      </c>
      <c r="D2255" s="222" t="s">
        <v>131</v>
      </c>
      <c r="E2255" s="218">
        <v>9</v>
      </c>
    </row>
    <row r="2256" spans="1:5" x14ac:dyDescent="0.35">
      <c r="A2256" s="3" t="str">
        <f>IF(D2256="","",(VLOOKUP($D2256,KEY!$B$5:$D$74,3,FALSE)))</f>
        <v>Southern California</v>
      </c>
      <c r="B2256" s="221">
        <f t="shared" si="24"/>
        <v>45962</v>
      </c>
      <c r="C2256" s="221" t="str">
        <f>IFERROR(VLOOKUP($B2256,KEY!$AE$19:$AH$60,2,FALSE),"")</f>
        <v>2025-Q4</v>
      </c>
      <c r="D2256" s="222" t="s">
        <v>135</v>
      </c>
      <c r="E2256" s="218">
        <v>17</v>
      </c>
    </row>
    <row r="2257" spans="1:5" x14ac:dyDescent="0.35">
      <c r="A2257" s="3" t="str">
        <f>IF(D2257="","",(VLOOKUP($D2257,KEY!$B$5:$D$74,3,FALSE)))</f>
        <v>Arizona</v>
      </c>
      <c r="B2257" s="221">
        <f t="shared" si="24"/>
        <v>45962</v>
      </c>
      <c r="C2257" s="221" t="str">
        <f>IFERROR(VLOOKUP($B2257,KEY!$AE$19:$AH$60,2,FALSE),"")</f>
        <v>2025-Q4</v>
      </c>
      <c r="D2257" s="222" t="s">
        <v>204</v>
      </c>
      <c r="E2257" s="218">
        <v>1</v>
      </c>
    </row>
    <row r="2258" spans="1:5" x14ac:dyDescent="0.35">
      <c r="A2258" s="3" t="str">
        <f>IF(D2258="","",(VLOOKUP($D2258,KEY!$B$5:$D$74,3,FALSE)))</f>
        <v>Arizona</v>
      </c>
      <c r="B2258" s="221">
        <f t="shared" si="24"/>
        <v>45962</v>
      </c>
      <c r="C2258" s="221" t="str">
        <f>IFERROR(VLOOKUP($B2258,KEY!$AE$19:$AH$60,2,FALSE),"")</f>
        <v>2025-Q4</v>
      </c>
      <c r="D2258" s="222" t="s">
        <v>196</v>
      </c>
      <c r="E2258" s="218">
        <v>4</v>
      </c>
    </row>
    <row r="2259" spans="1:5" x14ac:dyDescent="0.35">
      <c r="A2259" s="3" t="str">
        <f>IF(D2259="","",(VLOOKUP($D2259,KEY!$B$5:$D$74,3,FALSE)))</f>
        <v>Arizona</v>
      </c>
      <c r="B2259" s="221">
        <f t="shared" si="24"/>
        <v>45962</v>
      </c>
      <c r="C2259" s="221" t="str">
        <f>IFERROR(VLOOKUP($B2259,KEY!$AE$19:$AH$60,2,FALSE),"")</f>
        <v>2025-Q4</v>
      </c>
      <c r="D2259" s="222" t="s">
        <v>197</v>
      </c>
      <c r="E2259" s="218">
        <v>10</v>
      </c>
    </row>
    <row r="2260" spans="1:5" x14ac:dyDescent="0.35">
      <c r="A2260" s="3" t="str">
        <f>IF(D2260="","",(VLOOKUP($D2260,KEY!$B$5:$D$74,3,FALSE)))</f>
        <v>Texas</v>
      </c>
      <c r="B2260" s="221">
        <f t="shared" si="24"/>
        <v>45962</v>
      </c>
      <c r="C2260" s="221" t="str">
        <f>IFERROR(VLOOKUP($B2260,KEY!$AE$19:$AH$60,2,FALSE),"")</f>
        <v>2025-Q4</v>
      </c>
      <c r="D2260" s="222" t="s">
        <v>136</v>
      </c>
      <c r="E2260" s="218">
        <v>16</v>
      </c>
    </row>
    <row r="2261" spans="1:5" x14ac:dyDescent="0.35">
      <c r="A2261" s="3" t="str">
        <f>IF(D2261="","",(VLOOKUP($D2261,KEY!$B$5:$D$74,3,FALSE)))</f>
        <v>Arizona</v>
      </c>
      <c r="B2261" s="221">
        <f t="shared" si="24"/>
        <v>45962</v>
      </c>
      <c r="C2261" s="221" t="str">
        <f>IFERROR(VLOOKUP($B2261,KEY!$AE$19:$AH$60,2,FALSE),"")</f>
        <v>2025-Q4</v>
      </c>
      <c r="D2261" s="222" t="s">
        <v>137</v>
      </c>
      <c r="E2261" s="218">
        <v>9</v>
      </c>
    </row>
    <row r="2262" spans="1:5" x14ac:dyDescent="0.35">
      <c r="A2262" s="3" t="str">
        <f>IF(D2262="","",(VLOOKUP($D2262,KEY!$B$5:$D$74,3,FALSE)))</f>
        <v>Texas</v>
      </c>
      <c r="B2262" s="221">
        <f t="shared" si="24"/>
        <v>45962</v>
      </c>
      <c r="C2262" s="221" t="str">
        <f>IFERROR(VLOOKUP($B2262,KEY!$AE$19:$AH$60,2,FALSE),"")</f>
        <v>2025-Q4</v>
      </c>
      <c r="D2262" s="222" t="s">
        <v>138</v>
      </c>
      <c r="E2262" s="218">
        <v>10</v>
      </c>
    </row>
    <row r="2263" spans="1:5" x14ac:dyDescent="0.35">
      <c r="A2263" s="3" t="str">
        <f>IF(D2263="","",(VLOOKUP($D2263,KEY!$B$5:$D$74,3,FALSE)))</f>
        <v>Southern California</v>
      </c>
      <c r="B2263" s="221">
        <f t="shared" si="24"/>
        <v>45962</v>
      </c>
      <c r="C2263" s="221" t="str">
        <f>IFERROR(VLOOKUP($B2263,KEY!$AE$19:$AH$60,2,FALSE),"")</f>
        <v>2025-Q4</v>
      </c>
      <c r="D2263" s="222" t="s">
        <v>139</v>
      </c>
      <c r="E2263" s="218">
        <v>16</v>
      </c>
    </row>
    <row r="2264" spans="1:5" x14ac:dyDescent="0.35">
      <c r="A2264" s="3" t="str">
        <f>IF(D2264="","",(VLOOKUP($D2264,KEY!$B$5:$D$74,3,FALSE)))</f>
        <v>Orange County</v>
      </c>
      <c r="B2264" s="221">
        <f t="shared" si="24"/>
        <v>45962</v>
      </c>
      <c r="C2264" s="221" t="str">
        <f>IFERROR(VLOOKUP($B2264,KEY!$AE$19:$AH$60,2,FALSE),"")</f>
        <v>2025-Q4</v>
      </c>
      <c r="D2264" s="222" t="s">
        <v>140</v>
      </c>
      <c r="E2264" s="218">
        <v>3</v>
      </c>
    </row>
    <row r="2265" spans="1:5" x14ac:dyDescent="0.35">
      <c r="A2265" s="3" t="str">
        <f>IF(D2265="","",(VLOOKUP($D2265,KEY!$B$5:$D$74,3,FALSE)))</f>
        <v>Southern California</v>
      </c>
      <c r="B2265" s="221">
        <f t="shared" si="24"/>
        <v>45962</v>
      </c>
      <c r="C2265" s="221" t="str">
        <f>IFERROR(VLOOKUP($B2265,KEY!$AE$19:$AH$60,2,FALSE),"")</f>
        <v>2025-Q4</v>
      </c>
      <c r="D2265" s="222" t="s">
        <v>142</v>
      </c>
      <c r="E2265" s="218">
        <v>6</v>
      </c>
    </row>
    <row r="2266" spans="1:5" x14ac:dyDescent="0.35">
      <c r="A2266" s="3" t="str">
        <f>IF(D2266="","",(VLOOKUP($D2266,KEY!$B$5:$D$74,3,FALSE)))</f>
        <v>Arizona</v>
      </c>
      <c r="B2266" s="221">
        <f t="shared" si="24"/>
        <v>45962</v>
      </c>
      <c r="C2266" s="221" t="str">
        <f>IFERROR(VLOOKUP($B2266,KEY!$AE$19:$AH$60,2,FALSE),"")</f>
        <v>2025-Q4</v>
      </c>
      <c r="D2266" s="222" t="s">
        <v>143</v>
      </c>
      <c r="E2266" s="218">
        <v>9</v>
      </c>
    </row>
    <row r="2267" spans="1:5" x14ac:dyDescent="0.35">
      <c r="A2267" s="3" t="str">
        <f>IF(D2267="","",(VLOOKUP($D2267,KEY!$B$5:$D$74,3,FALSE)))</f>
        <v>Arizona</v>
      </c>
      <c r="B2267" s="221">
        <f t="shared" si="24"/>
        <v>45962</v>
      </c>
      <c r="C2267" s="221" t="str">
        <f>IFERROR(VLOOKUP($B2267,KEY!$AE$19:$AH$60,2,FALSE),"")</f>
        <v>2025-Q4</v>
      </c>
      <c r="D2267" s="222" t="s">
        <v>144</v>
      </c>
      <c r="E2267" s="218">
        <v>19</v>
      </c>
    </row>
    <row r="2268" spans="1:5" x14ac:dyDescent="0.35">
      <c r="A2268" s="3" t="str">
        <f>IF(D2268="","",(VLOOKUP($D2268,KEY!$B$5:$D$74,3,FALSE)))</f>
        <v>Southern California</v>
      </c>
      <c r="B2268" s="221">
        <f t="shared" si="24"/>
        <v>45962</v>
      </c>
      <c r="C2268" s="221" t="str">
        <f>IFERROR(VLOOKUP($B2268,KEY!$AE$19:$AH$60,2,FALSE),"")</f>
        <v>2025-Q4</v>
      </c>
      <c r="D2268" s="222" t="s">
        <v>145</v>
      </c>
      <c r="E2268" s="218">
        <v>16</v>
      </c>
    </row>
    <row r="2269" spans="1:5" x14ac:dyDescent="0.35">
      <c r="A2269" s="3" t="str">
        <f>IF(D2269="","",(VLOOKUP($D2269,KEY!$B$5:$D$74,3,FALSE)))</f>
        <v>Arizona</v>
      </c>
      <c r="B2269" s="221">
        <f t="shared" si="24"/>
        <v>45962</v>
      </c>
      <c r="C2269" s="221" t="str">
        <f>IFERROR(VLOOKUP($B2269,KEY!$AE$19:$AH$60,2,FALSE),"")</f>
        <v>2025-Q4</v>
      </c>
      <c r="D2269" s="222" t="s">
        <v>146</v>
      </c>
      <c r="E2269" s="218">
        <v>4</v>
      </c>
    </row>
    <row r="2270" spans="1:5" x14ac:dyDescent="0.35">
      <c r="A2270" s="3" t="str">
        <f>IF(D2270="","",(VLOOKUP($D2270,KEY!$B$5:$D$74,3,FALSE)))</f>
        <v>Texas</v>
      </c>
      <c r="B2270" s="221">
        <f t="shared" si="24"/>
        <v>45962</v>
      </c>
      <c r="C2270" s="221" t="str">
        <f>IFERROR(VLOOKUP($B2270,KEY!$AE$19:$AH$60,2,FALSE),"")</f>
        <v>2025-Q4</v>
      </c>
      <c r="D2270" s="222" t="s">
        <v>147</v>
      </c>
      <c r="E2270" s="218">
        <v>4</v>
      </c>
    </row>
    <row r="2271" spans="1:5" x14ac:dyDescent="0.35">
      <c r="A2271" s="3" t="str">
        <f>IF(D2271="","",(VLOOKUP($D2271,KEY!$B$5:$D$74,3,FALSE)))</f>
        <v>Northern California</v>
      </c>
      <c r="B2271" s="221">
        <f t="shared" si="24"/>
        <v>45962</v>
      </c>
      <c r="C2271" s="221" t="str">
        <f>IFERROR(VLOOKUP($B2271,KEY!$AE$19:$AH$60,2,FALSE),"")</f>
        <v>2025-Q4</v>
      </c>
      <c r="D2271" s="222" t="s">
        <v>148</v>
      </c>
      <c r="E2271" s="218">
        <v>4</v>
      </c>
    </row>
    <row r="2272" spans="1:5" x14ac:dyDescent="0.35">
      <c r="A2272" s="3" t="str">
        <f>IF(D2272="","",(VLOOKUP($D2272,KEY!$B$5:$D$74,3,FALSE)))</f>
        <v>Orange County</v>
      </c>
      <c r="B2272" s="221">
        <f t="shared" si="24"/>
        <v>45962</v>
      </c>
      <c r="C2272" s="221" t="str">
        <f>IFERROR(VLOOKUP($B2272,KEY!$AE$19:$AH$60,2,FALSE),"")</f>
        <v>2025-Q4</v>
      </c>
      <c r="D2272" s="222" t="s">
        <v>149</v>
      </c>
      <c r="E2272" s="218">
        <v>3</v>
      </c>
    </row>
    <row r="2273" spans="1:5" x14ac:dyDescent="0.35">
      <c r="A2273" s="3" t="str">
        <f>IF(D2273="","",(VLOOKUP($D2273,KEY!$B$5:$D$74,3,FALSE)))</f>
        <v>Southern California</v>
      </c>
      <c r="B2273" s="221">
        <f t="shared" si="24"/>
        <v>45962</v>
      </c>
      <c r="C2273" s="221" t="str">
        <f>IFERROR(VLOOKUP($B2273,KEY!$AE$19:$AH$60,2,FALSE),"")</f>
        <v>2025-Q4</v>
      </c>
      <c r="D2273" s="222" t="s">
        <v>150</v>
      </c>
      <c r="E2273" s="218">
        <v>4</v>
      </c>
    </row>
    <row r="2274" spans="1:5" x14ac:dyDescent="0.35">
      <c r="A2274" s="3" t="str">
        <f>IF(D2274="","",(VLOOKUP($D2274,KEY!$B$5:$D$74,3,FALSE)))</f>
        <v>Arizona</v>
      </c>
      <c r="B2274" s="221">
        <f t="shared" si="24"/>
        <v>45962</v>
      </c>
      <c r="C2274" s="221" t="str">
        <f>IFERROR(VLOOKUP($B2274,KEY!$AE$19:$AH$60,2,FALSE),"")</f>
        <v>2025-Q4</v>
      </c>
      <c r="D2274" s="222" t="s">
        <v>151</v>
      </c>
      <c r="E2274" s="218">
        <v>4</v>
      </c>
    </row>
    <row r="2275" spans="1:5" x14ac:dyDescent="0.35">
      <c r="A2275" s="3" t="str">
        <f>IF(D2275="","",(VLOOKUP($D2275,KEY!$B$5:$D$74,3,FALSE)))</f>
        <v>Michigan &amp; Minnesota</v>
      </c>
      <c r="B2275" s="221">
        <f t="shared" si="24"/>
        <v>45962</v>
      </c>
      <c r="C2275" s="221" t="str">
        <f>IFERROR(VLOOKUP($B2275,KEY!$AE$19:$AH$60,2,FALSE),"")</f>
        <v>2025-Q4</v>
      </c>
      <c r="D2275" s="222" t="s">
        <v>206</v>
      </c>
      <c r="E2275" s="218">
        <v>19</v>
      </c>
    </row>
    <row r="2276" spans="1:5" x14ac:dyDescent="0.35">
      <c r="A2276" s="3" t="str">
        <f>IF(D2276="","",(VLOOKUP($D2276,KEY!$B$5:$D$74,3,FALSE)))</f>
        <v>Michigan &amp; Minnesota</v>
      </c>
      <c r="B2276" s="221">
        <f t="shared" si="24"/>
        <v>45962</v>
      </c>
      <c r="C2276" s="221" t="str">
        <f>IFERROR(VLOOKUP($B2276,KEY!$AE$19:$AH$60,2,FALSE),"")</f>
        <v>2025-Q4</v>
      </c>
      <c r="D2276" s="222" t="s">
        <v>207</v>
      </c>
      <c r="E2276" s="218">
        <v>6</v>
      </c>
    </row>
    <row r="2277" spans="1:5" x14ac:dyDescent="0.35">
      <c r="A2277" s="3" t="str">
        <f>IF(D2277="","",(VLOOKUP($D2277,KEY!$B$5:$D$74,3,FALSE)))</f>
        <v>Indiana</v>
      </c>
      <c r="B2277" s="221">
        <f t="shared" si="24"/>
        <v>45962</v>
      </c>
      <c r="C2277" s="221" t="str">
        <f>IFERROR(VLOOKUP($B2277,KEY!$AE$19:$AH$60,2,FALSE),"")</f>
        <v>2025-Q4</v>
      </c>
      <c r="D2277" s="222" t="s">
        <v>208</v>
      </c>
      <c r="E2277" s="218">
        <v>11</v>
      </c>
    </row>
    <row r="2278" spans="1:5" x14ac:dyDescent="0.35">
      <c r="A2278" s="3" t="str">
        <f>IF(D2278="","",(VLOOKUP($D2278,KEY!$B$5:$D$74,3,FALSE)))</f>
        <v>Indiana</v>
      </c>
      <c r="B2278" s="221">
        <f t="shared" si="24"/>
        <v>45962</v>
      </c>
      <c r="C2278" s="221" t="str">
        <f>IFERROR(VLOOKUP($B2278,KEY!$AE$19:$AH$60,2,FALSE),"")</f>
        <v>2025-Q4</v>
      </c>
      <c r="D2278" s="222" t="s">
        <v>209</v>
      </c>
      <c r="E2278" s="218">
        <v>26</v>
      </c>
    </row>
    <row r="2279" spans="1:5" x14ac:dyDescent="0.35">
      <c r="A2279" s="3" t="str">
        <f>IF(D2279="","",(VLOOKUP($D2279,KEY!$B$5:$D$74,3,FALSE)))</f>
        <v>Northern California</v>
      </c>
      <c r="B2279" s="221">
        <f t="shared" si="24"/>
        <v>45962</v>
      </c>
      <c r="C2279" s="221" t="str">
        <f>IFERROR(VLOOKUP($B2279,KEY!$AE$19:$AH$60,2,FALSE),"")</f>
        <v>2025-Q4</v>
      </c>
      <c r="D2279" s="222" t="s">
        <v>152</v>
      </c>
      <c r="E2279" s="218">
        <v>13</v>
      </c>
    </row>
    <row r="2280" spans="1:5" x14ac:dyDescent="0.35">
      <c r="A2280" s="3" t="str">
        <f>IF(D2280="","",(VLOOKUP($D2280,KEY!$B$5:$D$74,3,FALSE)))</f>
        <v>Arizona</v>
      </c>
      <c r="B2280" s="221">
        <f t="shared" si="24"/>
        <v>45962</v>
      </c>
      <c r="C2280" s="221" t="str">
        <f>IFERROR(VLOOKUP($B2280,KEY!$AE$19:$AH$60,2,FALSE),"")</f>
        <v>2025-Q4</v>
      </c>
      <c r="D2280" s="222" t="s">
        <v>153</v>
      </c>
      <c r="E2280" s="218">
        <v>13</v>
      </c>
    </row>
    <row r="2281" spans="1:5" x14ac:dyDescent="0.35">
      <c r="A2281" s="3" t="str">
        <f>IF(D2281="","",(VLOOKUP($D2281,KEY!$B$5:$D$74,3,FALSE)))</f>
        <v>Northern California</v>
      </c>
      <c r="B2281" s="221">
        <f t="shared" si="24"/>
        <v>45962</v>
      </c>
      <c r="C2281" s="221" t="str">
        <f>IFERROR(VLOOKUP($B2281,KEY!$AE$19:$AH$60,2,FALSE),"")</f>
        <v>2025-Q4</v>
      </c>
      <c r="D2281" s="222" t="s">
        <v>154</v>
      </c>
      <c r="E2281" s="218">
        <v>9</v>
      </c>
    </row>
    <row r="2282" spans="1:5" x14ac:dyDescent="0.35">
      <c r="A2282" s="3" t="str">
        <f>IF(D2282="","",(VLOOKUP($D2282,KEY!$B$5:$D$74,3,FALSE)))</f>
        <v>Texas</v>
      </c>
      <c r="B2282" s="221">
        <f t="shared" si="24"/>
        <v>45962</v>
      </c>
      <c r="C2282" s="221" t="str">
        <f>IFERROR(VLOOKUP($B2282,KEY!$AE$19:$AH$60,2,FALSE),"")</f>
        <v>2025-Q4</v>
      </c>
      <c r="D2282" s="222" t="s">
        <v>155</v>
      </c>
      <c r="E2282" s="218">
        <v>24</v>
      </c>
    </row>
    <row r="2283" spans="1:5" x14ac:dyDescent="0.35">
      <c r="A2283" s="3" t="str">
        <f>IF(D2283="","",(VLOOKUP($D2283,KEY!$B$5:$D$74,3,FALSE)))</f>
        <v>Texas</v>
      </c>
      <c r="B2283" s="221">
        <f t="shared" si="24"/>
        <v>45962</v>
      </c>
      <c r="C2283" s="221" t="str">
        <f>IFERROR(VLOOKUP($B2283,KEY!$AE$19:$AH$60,2,FALSE),"")</f>
        <v>2025-Q4</v>
      </c>
      <c r="D2283" s="222" t="s">
        <v>156</v>
      </c>
      <c r="E2283" s="218">
        <v>11</v>
      </c>
    </row>
    <row r="2284" spans="1:5" x14ac:dyDescent="0.35">
      <c r="A2284" s="3" t="str">
        <f>IF(D2284="","",(VLOOKUP($D2284,KEY!$B$5:$D$74,3,FALSE)))</f>
        <v>Texas</v>
      </c>
      <c r="B2284" s="221">
        <f t="shared" si="24"/>
        <v>45962</v>
      </c>
      <c r="C2284" s="221" t="str">
        <f>IFERROR(VLOOKUP($B2284,KEY!$AE$19:$AH$60,2,FALSE),"")</f>
        <v>2025-Q4</v>
      </c>
      <c r="D2284" s="222" t="s">
        <v>157</v>
      </c>
      <c r="E2284" s="218">
        <v>42</v>
      </c>
    </row>
    <row r="2285" spans="1:5" x14ac:dyDescent="0.35">
      <c r="A2285" s="3" t="str">
        <f>IF(D2285="","",(VLOOKUP($D2285,KEY!$B$5:$D$74,3,FALSE)))</f>
        <v>Arizona</v>
      </c>
      <c r="B2285" s="221">
        <f t="shared" si="24"/>
        <v>45962</v>
      </c>
      <c r="C2285" s="221" t="str">
        <f>IFERROR(VLOOKUP($B2285,KEY!$AE$19:$AH$60,2,FALSE),"")</f>
        <v>2025-Q4</v>
      </c>
      <c r="D2285" s="222" t="s">
        <v>158</v>
      </c>
      <c r="E2285" s="218">
        <v>6</v>
      </c>
    </row>
    <row r="2286" spans="1:5" x14ac:dyDescent="0.35">
      <c r="A2286" s="3" t="str">
        <f>IF(D2286="","",(VLOOKUP($D2286,KEY!$B$5:$D$74,3,FALSE)))</f>
        <v>Orange County</v>
      </c>
      <c r="B2286" s="221">
        <f t="shared" si="24"/>
        <v>45962</v>
      </c>
      <c r="C2286" s="221" t="str">
        <f>IFERROR(VLOOKUP($B2286,KEY!$AE$19:$AH$60,2,FALSE),"")</f>
        <v>2025-Q4</v>
      </c>
      <c r="D2286" s="222" t="s">
        <v>159</v>
      </c>
      <c r="E2286" s="218">
        <v>7</v>
      </c>
    </row>
    <row r="2287" spans="1:5" x14ac:dyDescent="0.35">
      <c r="A2287" s="3" t="str">
        <f>IF(D2287="","",(VLOOKUP($D2287,KEY!$B$5:$D$74,3,FALSE)))</f>
        <v>Arizona</v>
      </c>
      <c r="B2287" s="221">
        <f t="shared" si="24"/>
        <v>45962</v>
      </c>
      <c r="C2287" s="221" t="str">
        <f>IFERROR(VLOOKUP($B2287,KEY!$AE$19:$AH$60,2,FALSE),"")</f>
        <v>2025-Q4</v>
      </c>
      <c r="D2287" s="222" t="s">
        <v>160</v>
      </c>
      <c r="E2287" s="218">
        <v>21</v>
      </c>
    </row>
    <row r="2288" spans="1:5" x14ac:dyDescent="0.35">
      <c r="A2288" s="3" t="str">
        <f>IF(D2288="","",(VLOOKUP($D2288,KEY!$B$5:$D$74,3,FALSE)))</f>
        <v>Northern California</v>
      </c>
      <c r="B2288" s="221">
        <f t="shared" si="24"/>
        <v>45962</v>
      </c>
      <c r="C2288" s="221" t="str">
        <f>IFERROR(VLOOKUP($B2288,KEY!$AE$19:$AH$60,2,FALSE),"")</f>
        <v>2025-Q4</v>
      </c>
      <c r="D2288" s="222" t="s">
        <v>161</v>
      </c>
      <c r="E2288" s="218">
        <v>21</v>
      </c>
    </row>
    <row r="2289" spans="1:5" x14ac:dyDescent="0.35">
      <c r="A2289" s="3" t="str">
        <f>IF(D2289="","",(VLOOKUP($D2289,KEY!$B$5:$D$74,3,FALSE)))</f>
        <v>Arizona</v>
      </c>
      <c r="B2289" s="221">
        <f t="shared" si="24"/>
        <v>45962</v>
      </c>
      <c r="C2289" s="221" t="str">
        <f>IFERROR(VLOOKUP($B2289,KEY!$AE$19:$AH$60,2,FALSE),"")</f>
        <v>2025-Q4</v>
      </c>
      <c r="D2289" s="222" t="s">
        <v>163</v>
      </c>
      <c r="E2289" s="218">
        <v>20</v>
      </c>
    </row>
    <row r="2290" spans="1:5" x14ac:dyDescent="0.35">
      <c r="A2290" s="3" t="str">
        <f>IF(D2290="","",(VLOOKUP($D2290,KEY!$B$5:$D$74,3,FALSE)))</f>
        <v>Arizona</v>
      </c>
      <c r="B2290" s="221">
        <f t="shared" si="24"/>
        <v>45962</v>
      </c>
      <c r="C2290" s="221" t="str">
        <f>IFERROR(VLOOKUP($B2290,KEY!$AE$19:$AH$60,2,FALSE),"")</f>
        <v>2025-Q4</v>
      </c>
      <c r="D2290" s="222" t="s">
        <v>164</v>
      </c>
      <c r="E2290" s="218">
        <v>6</v>
      </c>
    </row>
    <row r="2291" spans="1:5" x14ac:dyDescent="0.35">
      <c r="A2291" s="3" t="str">
        <f>IF(D2291="","",(VLOOKUP($D2291,KEY!$B$5:$D$74,3,FALSE)))</f>
        <v>Orange County</v>
      </c>
      <c r="B2291" s="221">
        <f t="shared" si="24"/>
        <v>45962</v>
      </c>
      <c r="C2291" s="221" t="str">
        <f>IFERROR(VLOOKUP($B2291,KEY!$AE$19:$AH$60,2,FALSE),"")</f>
        <v>2025-Q4</v>
      </c>
      <c r="D2291" s="222" t="s">
        <v>165</v>
      </c>
      <c r="E2291" s="218">
        <v>6</v>
      </c>
    </row>
    <row r="2292" spans="1:5" x14ac:dyDescent="0.35">
      <c r="A2292" s="3" t="str">
        <f>IF(D2292="","",(VLOOKUP($D2292,KEY!$B$5:$D$74,3,FALSE)))</f>
        <v/>
      </c>
      <c r="B2292" s="221">
        <f t="shared" si="24"/>
        <v>45962</v>
      </c>
      <c r="C2292" s="221" t="str">
        <f>IFERROR(VLOOKUP($B2292,KEY!$AE$19:$AH$60,2,FALSE),"")</f>
        <v>2025-Q4</v>
      </c>
      <c r="D2292" s="222"/>
      <c r="E2292" s="218"/>
    </row>
    <row r="2293" spans="1:5" x14ac:dyDescent="0.35">
      <c r="A2293" s="3" t="str">
        <f>IF(D2293="","",(VLOOKUP($D2293,KEY!$B$5:$D$74,3,FALSE)))</f>
        <v/>
      </c>
      <c r="B2293" s="221">
        <f t="shared" si="24"/>
        <v>45962</v>
      </c>
      <c r="C2293" s="221" t="str">
        <f>IFERROR(VLOOKUP($B2293,KEY!$AE$19:$AH$60,2,FALSE),"")</f>
        <v>2025-Q4</v>
      </c>
      <c r="D2293" s="222"/>
      <c r="E2293" s="218"/>
    </row>
    <row r="2294" spans="1:5" x14ac:dyDescent="0.35">
      <c r="A2294" s="3" t="str">
        <f>IF(D2294="","",(VLOOKUP($D2294,KEY!$B$5:$D$74,3,FALSE)))</f>
        <v/>
      </c>
      <c r="B2294" s="221">
        <f t="shared" ref="B2294:B2298" si="25">B2293</f>
        <v>45962</v>
      </c>
      <c r="C2294" s="221" t="str">
        <f>IFERROR(VLOOKUP($B2294,KEY!$AE$19:$AH$60,2,FALSE),"")</f>
        <v>2025-Q4</v>
      </c>
      <c r="D2294" s="222"/>
      <c r="E2294" s="218"/>
    </row>
    <row r="2295" spans="1:5" x14ac:dyDescent="0.35">
      <c r="A2295" s="3" t="str">
        <f>IF(D2295="","",(VLOOKUP($D2295,KEY!$B$5:$D$74,3,FALSE)))</f>
        <v/>
      </c>
      <c r="B2295" s="221">
        <f t="shared" si="25"/>
        <v>45962</v>
      </c>
      <c r="C2295" s="221" t="str">
        <f>IFERROR(VLOOKUP($B2295,KEY!$AE$19:$AH$60,2,FALSE),"")</f>
        <v>2025-Q4</v>
      </c>
      <c r="D2295" s="222"/>
      <c r="E2295" s="218"/>
    </row>
    <row r="2296" spans="1:5" x14ac:dyDescent="0.35">
      <c r="A2296" s="3" t="str">
        <f>IF(D2296="","",(VLOOKUP($D2296,KEY!$B$5:$D$74,3,FALSE)))</f>
        <v/>
      </c>
      <c r="B2296" s="221">
        <f t="shared" si="25"/>
        <v>45962</v>
      </c>
      <c r="C2296" s="221" t="str">
        <f>IFERROR(VLOOKUP($B2296,KEY!$AE$19:$AH$60,2,FALSE),"")</f>
        <v>2025-Q4</v>
      </c>
      <c r="D2296" s="222"/>
      <c r="E2296" s="218"/>
    </row>
    <row r="2297" spans="1:5" x14ac:dyDescent="0.35">
      <c r="A2297" s="3" t="str">
        <f>IF(D2297="","",(VLOOKUP($D2297,KEY!$B$5:$D$74,3,FALSE)))</f>
        <v/>
      </c>
      <c r="B2297" s="221">
        <f t="shared" si="25"/>
        <v>45962</v>
      </c>
      <c r="C2297" s="221" t="str">
        <f>IFERROR(VLOOKUP($B2297,KEY!$AE$19:$AH$60,2,FALSE),"")</f>
        <v>2025-Q4</v>
      </c>
      <c r="D2297" s="222"/>
      <c r="E2297" s="218"/>
    </row>
    <row r="2298" spans="1:5" x14ac:dyDescent="0.35">
      <c r="A2298" s="3" t="str">
        <f>IF(D2298="","",(VLOOKUP($D2298,KEY!$B$5:$D$74,3,FALSE)))</f>
        <v/>
      </c>
      <c r="B2298" s="402">
        <f t="shared" si="25"/>
        <v>45962</v>
      </c>
      <c r="C2298" s="402" t="str">
        <f>IFERROR(VLOOKUP($B2298,KEY!$AE$19:$AH$60,2,FALSE),"")</f>
        <v>2025-Q4</v>
      </c>
      <c r="D2298" s="403"/>
      <c r="E2298" s="404"/>
    </row>
    <row r="2299" spans="1:5" x14ac:dyDescent="0.35">
      <c r="A2299" s="3" t="str">
        <f>IF(D2299="","",(VLOOKUP($D2299,KEY!$B$5:$D$74,3,FALSE)))</f>
        <v>Arizona</v>
      </c>
      <c r="B2299" s="221">
        <f>DATE(YEAR(B2298+31),MONTH(B2298+31),1)</f>
        <v>45992</v>
      </c>
      <c r="C2299" s="221" t="str">
        <f>IFERROR(VLOOKUP($B2299,KEY!$AE$19:$AH$60,2,FALSE),"")</f>
        <v>2025-Q4</v>
      </c>
      <c r="D2299" s="222" t="s">
        <v>111</v>
      </c>
      <c r="E2299" s="218">
        <v>7</v>
      </c>
    </row>
    <row r="2300" spans="1:5" x14ac:dyDescent="0.35">
      <c r="A2300" s="3" t="str">
        <f>IF(D2300="","",(VLOOKUP($D2300,KEY!$B$5:$D$74,3,FALSE)))</f>
        <v>Southern California</v>
      </c>
      <c r="B2300" s="221">
        <f t="shared" ref="B2300:B2363" si="26">B2299</f>
        <v>45992</v>
      </c>
      <c r="C2300" s="221" t="str">
        <f>IFERROR(VLOOKUP($B2300,KEY!$AE$19:$AH$60,2,FALSE),"")</f>
        <v>2025-Q4</v>
      </c>
      <c r="D2300" s="222" t="s">
        <v>112</v>
      </c>
      <c r="E2300" s="218">
        <v>5</v>
      </c>
    </row>
    <row r="2301" spans="1:5" x14ac:dyDescent="0.35">
      <c r="A2301" s="3" t="str">
        <f>IF(D2301="","",(VLOOKUP($D2301,KEY!$B$5:$D$74,3,FALSE)))</f>
        <v>Arizona</v>
      </c>
      <c r="B2301" s="221">
        <f t="shared" si="26"/>
        <v>45992</v>
      </c>
      <c r="C2301" s="221" t="str">
        <f>IFERROR(VLOOKUP($B2301,KEY!$AE$19:$AH$60,2,FALSE),"")</f>
        <v>2025-Q4</v>
      </c>
      <c r="D2301" s="222" t="s">
        <v>113</v>
      </c>
      <c r="E2301" s="218">
        <v>6</v>
      </c>
    </row>
    <row r="2302" spans="1:5" x14ac:dyDescent="0.35">
      <c r="A2302" s="3" t="str">
        <f>IF(D2302="","",(VLOOKUP($D2302,KEY!$B$5:$D$74,3,FALSE)))</f>
        <v>Southern California</v>
      </c>
      <c r="B2302" s="221">
        <f t="shared" si="26"/>
        <v>45992</v>
      </c>
      <c r="C2302" s="221" t="str">
        <f>IFERROR(VLOOKUP($B2302,KEY!$AE$19:$AH$60,2,FALSE),"")</f>
        <v>2025-Q4</v>
      </c>
      <c r="D2302" s="222" t="s">
        <v>114</v>
      </c>
      <c r="E2302" s="218">
        <v>5</v>
      </c>
    </row>
    <row r="2303" spans="1:5" x14ac:dyDescent="0.35">
      <c r="A2303" s="3" t="str">
        <f>IF(D2303="","",(VLOOKUP($D2303,KEY!$B$5:$D$74,3,FALSE)))</f>
        <v>Orange County</v>
      </c>
      <c r="B2303" s="221">
        <f t="shared" si="26"/>
        <v>45992</v>
      </c>
      <c r="C2303" s="221" t="str">
        <f>IFERROR(VLOOKUP($B2303,KEY!$AE$19:$AH$60,2,FALSE),"")</f>
        <v>2025-Q4</v>
      </c>
      <c r="D2303" s="222" t="s">
        <v>115</v>
      </c>
      <c r="E2303" s="218">
        <v>5</v>
      </c>
    </row>
    <row r="2304" spans="1:5" x14ac:dyDescent="0.35">
      <c r="A2304" s="3" t="str">
        <f>IF(D2304="","",(VLOOKUP($D2304,KEY!$B$5:$D$74,3,FALSE)))</f>
        <v>Arizona</v>
      </c>
      <c r="B2304" s="221">
        <f t="shared" si="26"/>
        <v>45992</v>
      </c>
      <c r="C2304" s="221" t="str">
        <f>IFERROR(VLOOKUP($B2304,KEY!$AE$19:$AH$60,2,FALSE),"")</f>
        <v>2025-Q4</v>
      </c>
      <c r="D2304" s="222" t="s">
        <v>116</v>
      </c>
      <c r="E2304" s="218">
        <v>10</v>
      </c>
    </row>
    <row r="2305" spans="1:5" x14ac:dyDescent="0.35">
      <c r="A2305" s="3" t="str">
        <f>IF(D2305="","",(VLOOKUP($D2305,KEY!$B$5:$D$74,3,FALSE)))</f>
        <v>Northern California</v>
      </c>
      <c r="B2305" s="221">
        <f t="shared" si="26"/>
        <v>45992</v>
      </c>
      <c r="C2305" s="221" t="str">
        <f>IFERROR(VLOOKUP($B2305,KEY!$AE$19:$AH$60,2,FALSE),"")</f>
        <v>2025-Q4</v>
      </c>
      <c r="D2305" s="222" t="s">
        <v>118</v>
      </c>
      <c r="E2305" s="218">
        <v>10</v>
      </c>
    </row>
    <row r="2306" spans="1:5" x14ac:dyDescent="0.35">
      <c r="A2306" s="3" t="str">
        <f>IF(D2306="","",(VLOOKUP($D2306,KEY!$B$5:$D$74,3,FALSE)))</f>
        <v>Orange County</v>
      </c>
      <c r="B2306" s="221">
        <f t="shared" si="26"/>
        <v>45992</v>
      </c>
      <c r="C2306" s="221" t="str">
        <f>IFERROR(VLOOKUP($B2306,KEY!$AE$19:$AH$60,2,FALSE),"")</f>
        <v>2025-Q4</v>
      </c>
      <c r="D2306" s="222" t="s">
        <v>117</v>
      </c>
      <c r="E2306" s="218">
        <v>6</v>
      </c>
    </row>
    <row r="2307" spans="1:5" x14ac:dyDescent="0.35">
      <c r="A2307" s="3" t="str">
        <f>IF(D2307="","",(VLOOKUP($D2307,KEY!$B$5:$D$74,3,FALSE)))</f>
        <v>Arizona</v>
      </c>
      <c r="B2307" s="221">
        <f t="shared" si="26"/>
        <v>45992</v>
      </c>
      <c r="C2307" s="221" t="str">
        <f>IFERROR(VLOOKUP($B2307,KEY!$AE$19:$AH$60,2,FALSE),"")</f>
        <v>2025-Q4</v>
      </c>
      <c r="D2307" s="222" t="s">
        <v>119</v>
      </c>
      <c r="E2307" s="218">
        <v>4</v>
      </c>
    </row>
    <row r="2308" spans="1:5" x14ac:dyDescent="0.35">
      <c r="A2308" s="3" t="str">
        <f>IF(D2308="","",(VLOOKUP($D2308,KEY!$B$5:$D$74,3,FALSE)))</f>
        <v/>
      </c>
      <c r="B2308" s="221">
        <f t="shared" si="26"/>
        <v>45992</v>
      </c>
      <c r="C2308" s="221" t="str">
        <f>IFERROR(VLOOKUP($B2308,KEY!$AE$19:$AH$60,2,FALSE),"")</f>
        <v>2025-Q4</v>
      </c>
      <c r="D2308" s="222"/>
      <c r="E2308" s="218"/>
    </row>
    <row r="2309" spans="1:5" x14ac:dyDescent="0.35">
      <c r="A2309" s="3" t="str">
        <f>IF(D2309="","",(VLOOKUP($D2309,KEY!$B$5:$D$74,3,FALSE)))</f>
        <v>Arizona</v>
      </c>
      <c r="B2309" s="221">
        <f t="shared" si="26"/>
        <v>45992</v>
      </c>
      <c r="C2309" s="221" t="str">
        <f>IFERROR(VLOOKUP($B2309,KEY!$AE$19:$AH$60,2,FALSE),"")</f>
        <v>2025-Q4</v>
      </c>
      <c r="D2309" s="222" t="s">
        <v>120</v>
      </c>
      <c r="E2309" s="218">
        <v>28</v>
      </c>
    </row>
    <row r="2310" spans="1:5" x14ac:dyDescent="0.35">
      <c r="A2310" s="3" t="str">
        <f>IF(D2310="","",(VLOOKUP($D2310,KEY!$B$5:$D$74,3,FALSE)))</f>
        <v>Texas</v>
      </c>
      <c r="B2310" s="221">
        <f t="shared" si="26"/>
        <v>45992</v>
      </c>
      <c r="C2310" s="221" t="str">
        <f>IFERROR(VLOOKUP($B2310,KEY!$AE$19:$AH$60,2,FALSE),"")</f>
        <v>2025-Q4</v>
      </c>
      <c r="D2310" s="222" t="s">
        <v>121</v>
      </c>
      <c r="E2310" s="218">
        <v>24</v>
      </c>
    </row>
    <row r="2311" spans="1:5" x14ac:dyDescent="0.35">
      <c r="A2311" s="3" t="str">
        <f>IF(D2311="","",(VLOOKUP($D2311,KEY!$B$5:$D$74,3,FALSE)))</f>
        <v>Michigan &amp; Minnesota</v>
      </c>
      <c r="B2311" s="221">
        <f t="shared" si="26"/>
        <v>45992</v>
      </c>
      <c r="C2311" s="221" t="str">
        <f>IFERROR(VLOOKUP($B2311,KEY!$AE$19:$AH$60,2,FALSE),"")</f>
        <v>2025-Q4</v>
      </c>
      <c r="D2311" s="222" t="s">
        <v>200</v>
      </c>
      <c r="E2311" s="218">
        <v>12</v>
      </c>
    </row>
    <row r="2312" spans="1:5" x14ac:dyDescent="0.35">
      <c r="A2312" s="3" t="str">
        <f>IF(D2312="","",(VLOOKUP($D2312,KEY!$B$5:$D$74,3,FALSE)))</f>
        <v>Southern California</v>
      </c>
      <c r="B2312" s="221">
        <f t="shared" si="26"/>
        <v>45992</v>
      </c>
      <c r="C2312" s="221" t="str">
        <f>IFERROR(VLOOKUP($B2312,KEY!$AE$19:$AH$60,2,FALSE),"")</f>
        <v>2025-Q4</v>
      </c>
      <c r="D2312" s="222" t="s">
        <v>122</v>
      </c>
      <c r="E2312" s="218">
        <v>9</v>
      </c>
    </row>
    <row r="2313" spans="1:5" x14ac:dyDescent="0.35">
      <c r="A2313" s="3" t="str">
        <f>IF(D2313="","",(VLOOKUP($D2313,KEY!$B$5:$D$74,3,FALSE)))</f>
        <v>Orange County</v>
      </c>
      <c r="B2313" s="221">
        <f t="shared" si="26"/>
        <v>45992</v>
      </c>
      <c r="C2313" s="221" t="str">
        <f>IFERROR(VLOOKUP($B2313,KEY!$AE$19:$AH$60,2,FALSE),"")</f>
        <v>2025-Q4</v>
      </c>
      <c r="D2313" s="222" t="s">
        <v>123</v>
      </c>
      <c r="E2313" s="218">
        <v>20</v>
      </c>
    </row>
    <row r="2314" spans="1:5" x14ac:dyDescent="0.35">
      <c r="A2314" s="3" t="str">
        <f>IF(D2314="","",(VLOOKUP($D2314,KEY!$B$5:$D$74,3,FALSE)))</f>
        <v>Southern California</v>
      </c>
      <c r="B2314" s="221">
        <f t="shared" si="26"/>
        <v>45992</v>
      </c>
      <c r="C2314" s="221" t="str">
        <f>IFERROR(VLOOKUP($B2314,KEY!$AE$19:$AH$60,2,FALSE),"")</f>
        <v>2025-Q4</v>
      </c>
      <c r="D2314" s="222" t="s">
        <v>124</v>
      </c>
      <c r="E2314" s="218">
        <v>23</v>
      </c>
    </row>
    <row r="2315" spans="1:5" x14ac:dyDescent="0.35">
      <c r="A2315" s="3" t="str">
        <f>IF(D2315="","",(VLOOKUP($D2315,KEY!$B$5:$D$74,3,FALSE)))</f>
        <v>Northern California</v>
      </c>
      <c r="B2315" s="221">
        <f t="shared" si="26"/>
        <v>45992</v>
      </c>
      <c r="C2315" s="221" t="str">
        <f>IFERROR(VLOOKUP($B2315,KEY!$AE$19:$AH$60,2,FALSE),"")</f>
        <v>2025-Q4</v>
      </c>
      <c r="D2315" s="222" t="s">
        <v>195</v>
      </c>
      <c r="E2315" s="218">
        <v>6</v>
      </c>
    </row>
    <row r="2316" spans="1:5" x14ac:dyDescent="0.35">
      <c r="A2316" s="3" t="str">
        <f>IF(D2316="","",(VLOOKUP($D2316,KEY!$B$5:$D$74,3,FALSE)))</f>
        <v>Northern California</v>
      </c>
      <c r="B2316" s="221">
        <f t="shared" si="26"/>
        <v>45992</v>
      </c>
      <c r="C2316" s="221" t="str">
        <f>IFERROR(VLOOKUP($B2316,KEY!$AE$19:$AH$60,2,FALSE),"")</f>
        <v>2025-Q4</v>
      </c>
      <c r="D2316" s="222" t="s">
        <v>125</v>
      </c>
      <c r="E2316" s="218">
        <v>23</v>
      </c>
    </row>
    <row r="2317" spans="1:5" x14ac:dyDescent="0.35">
      <c r="A2317" s="3" t="str">
        <f>IF(D2317="","",(VLOOKUP($D2317,KEY!$B$5:$D$74,3,FALSE)))</f>
        <v>Orange County</v>
      </c>
      <c r="B2317" s="221">
        <f t="shared" si="26"/>
        <v>45992</v>
      </c>
      <c r="C2317" s="221" t="str">
        <f>IFERROR(VLOOKUP($B2317,KEY!$AE$19:$AH$60,2,FALSE),"")</f>
        <v>2025-Q4</v>
      </c>
      <c r="D2317" s="222" t="s">
        <v>126</v>
      </c>
      <c r="E2317" s="218">
        <v>26.5</v>
      </c>
    </row>
    <row r="2318" spans="1:5" x14ac:dyDescent="0.35">
      <c r="A2318" s="3" t="str">
        <f>IF(D2318="","",(VLOOKUP($D2318,KEY!$B$5:$D$74,3,FALSE)))</f>
        <v>Orange County</v>
      </c>
      <c r="B2318" s="221">
        <f t="shared" si="26"/>
        <v>45992</v>
      </c>
      <c r="C2318" s="221" t="str">
        <f>IFERROR(VLOOKUP($B2318,KEY!$AE$19:$AH$60,2,FALSE),"")</f>
        <v>2025-Q4</v>
      </c>
      <c r="D2318" s="222" t="s">
        <v>127</v>
      </c>
      <c r="E2318" s="218">
        <v>3.5</v>
      </c>
    </row>
    <row r="2319" spans="1:5" x14ac:dyDescent="0.35">
      <c r="A2319" s="3" t="str">
        <f>IF(D2319="","",(VLOOKUP($D2319,KEY!$B$5:$D$74,3,FALSE)))</f>
        <v>Wisconsin</v>
      </c>
      <c r="B2319" s="221">
        <f t="shared" si="26"/>
        <v>45992</v>
      </c>
      <c r="C2319" s="221" t="str">
        <f>IFERROR(VLOOKUP($B2319,KEY!$AE$19:$AH$60,2,FALSE),"")</f>
        <v>2025-Q4</v>
      </c>
      <c r="D2319" s="222" t="s">
        <v>201</v>
      </c>
      <c r="E2319" s="218">
        <v>15</v>
      </c>
    </row>
    <row r="2320" spans="1:5" x14ac:dyDescent="0.35">
      <c r="A2320" s="3" t="str">
        <f>IF(D2320="","",(VLOOKUP($D2320,KEY!$B$5:$D$74,3,FALSE)))</f>
        <v>Texas</v>
      </c>
      <c r="B2320" s="221">
        <f t="shared" si="26"/>
        <v>45992</v>
      </c>
      <c r="C2320" s="221" t="str">
        <f>IFERROR(VLOOKUP($B2320,KEY!$AE$19:$AH$60,2,FALSE),"")</f>
        <v>2025-Q4</v>
      </c>
      <c r="D2320" s="222" t="s">
        <v>198</v>
      </c>
      <c r="E2320" s="218">
        <v>5</v>
      </c>
    </row>
    <row r="2321" spans="1:5" x14ac:dyDescent="0.35">
      <c r="A2321" s="3" t="str">
        <f>IF(D2321="","",(VLOOKUP($D2321,KEY!$B$5:$D$74,3,FALSE)))</f>
        <v>Texas</v>
      </c>
      <c r="B2321" s="221">
        <f t="shared" si="26"/>
        <v>45992</v>
      </c>
      <c r="C2321" s="221" t="str">
        <f>IFERROR(VLOOKUP($B2321,KEY!$AE$19:$AH$60,2,FALSE),"")</f>
        <v>2025-Q4</v>
      </c>
      <c r="D2321" s="222" t="s">
        <v>128</v>
      </c>
      <c r="E2321" s="218">
        <v>14</v>
      </c>
    </row>
    <row r="2322" spans="1:5" x14ac:dyDescent="0.35">
      <c r="A2322" s="3" t="str">
        <f>IF(D2322="","",(VLOOKUP($D2322,KEY!$B$5:$D$74,3,FALSE)))</f>
        <v>Northern California</v>
      </c>
      <c r="B2322" s="221">
        <f t="shared" si="26"/>
        <v>45992</v>
      </c>
      <c r="C2322" s="221" t="str">
        <f>IFERROR(VLOOKUP($B2322,KEY!$AE$19:$AH$60,2,FALSE),"")</f>
        <v>2025-Q4</v>
      </c>
      <c r="D2322" s="222" t="s">
        <v>129</v>
      </c>
      <c r="E2322" s="218">
        <v>14</v>
      </c>
    </row>
    <row r="2323" spans="1:5" x14ac:dyDescent="0.35">
      <c r="A2323" s="3" t="str">
        <f>IF(D2323="","",(VLOOKUP($D2323,KEY!$B$5:$D$74,3,FALSE)))</f>
        <v>Southern California</v>
      </c>
      <c r="B2323" s="221">
        <f t="shared" si="26"/>
        <v>45992</v>
      </c>
      <c r="C2323" s="221" t="str">
        <f>IFERROR(VLOOKUP($B2323,KEY!$AE$19:$AH$60,2,FALSE),"")</f>
        <v>2025-Q4</v>
      </c>
      <c r="D2323" s="222" t="s">
        <v>130</v>
      </c>
      <c r="E2323" s="218">
        <v>12</v>
      </c>
    </row>
    <row r="2324" spans="1:5" x14ac:dyDescent="0.35">
      <c r="A2324" s="3" t="str">
        <f>IF(D2324="","",(VLOOKUP($D2324,KEY!$B$5:$D$74,3,FALSE)))</f>
        <v>Texas</v>
      </c>
      <c r="B2324" s="221">
        <f t="shared" si="26"/>
        <v>45992</v>
      </c>
      <c r="C2324" s="221" t="str">
        <f>IFERROR(VLOOKUP($B2324,KEY!$AE$19:$AH$60,2,FALSE),"")</f>
        <v>2025-Q4</v>
      </c>
      <c r="D2324" s="222" t="s">
        <v>210</v>
      </c>
      <c r="E2324" s="218">
        <v>7</v>
      </c>
    </row>
    <row r="2325" spans="1:5" x14ac:dyDescent="0.35">
      <c r="A2325" s="3" t="str">
        <f>IF(D2325="","",(VLOOKUP($D2325,KEY!$B$5:$D$74,3,FALSE)))</f>
        <v>Southern California</v>
      </c>
      <c r="B2325" s="221">
        <f t="shared" si="26"/>
        <v>45992</v>
      </c>
      <c r="C2325" s="221" t="str">
        <f>IFERROR(VLOOKUP($B2325,KEY!$AE$19:$AH$60,2,FALSE),"")</f>
        <v>2025-Q4</v>
      </c>
      <c r="D2325" s="222" t="s">
        <v>135</v>
      </c>
      <c r="E2325" s="218">
        <v>19</v>
      </c>
    </row>
    <row r="2326" spans="1:5" x14ac:dyDescent="0.35">
      <c r="A2326" s="3" t="str">
        <f>IF(D2326="","",(VLOOKUP($D2326,KEY!$B$5:$D$74,3,FALSE)))</f>
        <v>Arizona</v>
      </c>
      <c r="B2326" s="221">
        <f t="shared" si="26"/>
        <v>45992</v>
      </c>
      <c r="C2326" s="221" t="str">
        <f>IFERROR(VLOOKUP($B2326,KEY!$AE$19:$AH$60,2,FALSE),"")</f>
        <v>2025-Q4</v>
      </c>
      <c r="D2326" s="222" t="s">
        <v>204</v>
      </c>
      <c r="E2326" s="218">
        <v>1</v>
      </c>
    </row>
    <row r="2327" spans="1:5" x14ac:dyDescent="0.35">
      <c r="A2327" s="3" t="str">
        <f>IF(D2327="","",(VLOOKUP($D2327,KEY!$B$5:$D$74,3,FALSE)))</f>
        <v>Arizona</v>
      </c>
      <c r="B2327" s="221">
        <f t="shared" si="26"/>
        <v>45992</v>
      </c>
      <c r="C2327" s="221" t="str">
        <f>IFERROR(VLOOKUP($B2327,KEY!$AE$19:$AH$60,2,FALSE),"")</f>
        <v>2025-Q4</v>
      </c>
      <c r="D2327" s="222" t="s">
        <v>196</v>
      </c>
      <c r="E2327" s="218">
        <v>5</v>
      </c>
    </row>
    <row r="2328" spans="1:5" x14ac:dyDescent="0.35">
      <c r="A2328" s="3" t="str">
        <f>IF(D2328="","",(VLOOKUP($D2328,KEY!$B$5:$D$74,3,FALSE)))</f>
        <v>Arizona</v>
      </c>
      <c r="B2328" s="221">
        <f t="shared" si="26"/>
        <v>45992</v>
      </c>
      <c r="C2328" s="221" t="str">
        <f>IFERROR(VLOOKUP($B2328,KEY!$AE$19:$AH$60,2,FALSE),"")</f>
        <v>2025-Q4</v>
      </c>
      <c r="D2328" s="222" t="s">
        <v>197</v>
      </c>
      <c r="E2328" s="218">
        <v>9</v>
      </c>
    </row>
    <row r="2329" spans="1:5" x14ac:dyDescent="0.35">
      <c r="A2329" s="3" t="str">
        <f>IF(D2329="","",(VLOOKUP($D2329,KEY!$B$5:$D$74,3,FALSE)))</f>
        <v>Texas</v>
      </c>
      <c r="B2329" s="221">
        <f t="shared" si="26"/>
        <v>45992</v>
      </c>
      <c r="C2329" s="221" t="str">
        <f>IFERROR(VLOOKUP($B2329,KEY!$AE$19:$AH$60,2,FALSE),"")</f>
        <v>2025-Q4</v>
      </c>
      <c r="D2329" s="222" t="s">
        <v>136</v>
      </c>
      <c r="E2329" s="218">
        <v>16</v>
      </c>
    </row>
    <row r="2330" spans="1:5" x14ac:dyDescent="0.35">
      <c r="A2330" s="3" t="str">
        <f>IF(D2330="","",(VLOOKUP($D2330,KEY!$B$5:$D$74,3,FALSE)))</f>
        <v>Arizona</v>
      </c>
      <c r="B2330" s="221">
        <f t="shared" si="26"/>
        <v>45992</v>
      </c>
      <c r="C2330" s="221" t="str">
        <f>IFERROR(VLOOKUP($B2330,KEY!$AE$19:$AH$60,2,FALSE),"")</f>
        <v>2025-Q4</v>
      </c>
      <c r="D2330" s="222" t="s">
        <v>137</v>
      </c>
      <c r="E2330" s="218">
        <v>9</v>
      </c>
    </row>
    <row r="2331" spans="1:5" x14ac:dyDescent="0.35">
      <c r="A2331" s="3" t="str">
        <f>IF(D2331="","",(VLOOKUP($D2331,KEY!$B$5:$D$74,3,FALSE)))</f>
        <v>Texas</v>
      </c>
      <c r="B2331" s="221">
        <f t="shared" si="26"/>
        <v>45992</v>
      </c>
      <c r="C2331" s="221" t="str">
        <f>IFERROR(VLOOKUP($B2331,KEY!$AE$19:$AH$60,2,FALSE),"")</f>
        <v>2025-Q4</v>
      </c>
      <c r="D2331" s="222" t="s">
        <v>138</v>
      </c>
      <c r="E2331" s="218">
        <v>10</v>
      </c>
    </row>
    <row r="2332" spans="1:5" x14ac:dyDescent="0.35">
      <c r="A2332" s="3" t="str">
        <f>IF(D2332="","",(VLOOKUP($D2332,KEY!$B$5:$D$74,3,FALSE)))</f>
        <v>Southern California</v>
      </c>
      <c r="B2332" s="221">
        <f t="shared" si="26"/>
        <v>45992</v>
      </c>
      <c r="C2332" s="221" t="str">
        <f>IFERROR(VLOOKUP($B2332,KEY!$AE$19:$AH$60,2,FALSE),"")</f>
        <v>2025-Q4</v>
      </c>
      <c r="D2332" s="222" t="s">
        <v>139</v>
      </c>
      <c r="E2332" s="218">
        <v>17</v>
      </c>
    </row>
    <row r="2333" spans="1:5" x14ac:dyDescent="0.35">
      <c r="A2333" s="3" t="str">
        <f>IF(D2333="","",(VLOOKUP($D2333,KEY!$B$5:$D$74,3,FALSE)))</f>
        <v>Orange County</v>
      </c>
      <c r="B2333" s="221">
        <f t="shared" si="26"/>
        <v>45992</v>
      </c>
      <c r="C2333" s="221" t="str">
        <f>IFERROR(VLOOKUP($B2333,KEY!$AE$19:$AH$60,2,FALSE),"")</f>
        <v>2025-Q4</v>
      </c>
      <c r="D2333" s="222" t="s">
        <v>140</v>
      </c>
      <c r="E2333" s="218">
        <v>4</v>
      </c>
    </row>
    <row r="2334" spans="1:5" x14ac:dyDescent="0.35">
      <c r="A2334" s="3" t="str">
        <f>IF(D2334="","",(VLOOKUP($D2334,KEY!$B$5:$D$74,3,FALSE)))</f>
        <v>Southern California</v>
      </c>
      <c r="B2334" s="221">
        <f t="shared" si="26"/>
        <v>45992</v>
      </c>
      <c r="C2334" s="221" t="str">
        <f>IFERROR(VLOOKUP($B2334,KEY!$AE$19:$AH$60,2,FALSE),"")</f>
        <v>2025-Q4</v>
      </c>
      <c r="D2334" s="222" t="s">
        <v>142</v>
      </c>
      <c r="E2334" s="218">
        <v>6</v>
      </c>
    </row>
    <row r="2335" spans="1:5" x14ac:dyDescent="0.35">
      <c r="A2335" s="3" t="str">
        <f>IF(D2335="","",(VLOOKUP($D2335,KEY!$B$5:$D$74,3,FALSE)))</f>
        <v>Arizona</v>
      </c>
      <c r="B2335" s="221">
        <f t="shared" si="26"/>
        <v>45992</v>
      </c>
      <c r="C2335" s="221" t="str">
        <f>IFERROR(VLOOKUP($B2335,KEY!$AE$19:$AH$60,2,FALSE),"")</f>
        <v>2025-Q4</v>
      </c>
      <c r="D2335" s="222" t="s">
        <v>143</v>
      </c>
      <c r="E2335" s="218">
        <v>9</v>
      </c>
    </row>
    <row r="2336" spans="1:5" x14ac:dyDescent="0.35">
      <c r="A2336" s="3" t="str">
        <f>IF(D2336="","",(VLOOKUP($D2336,KEY!$B$5:$D$74,3,FALSE)))</f>
        <v>Arizona</v>
      </c>
      <c r="B2336" s="221">
        <f t="shared" si="26"/>
        <v>45992</v>
      </c>
      <c r="C2336" s="221" t="str">
        <f>IFERROR(VLOOKUP($B2336,KEY!$AE$19:$AH$60,2,FALSE),"")</f>
        <v>2025-Q4</v>
      </c>
      <c r="D2336" s="222" t="s">
        <v>144</v>
      </c>
      <c r="E2336" s="218">
        <v>18</v>
      </c>
    </row>
    <row r="2337" spans="1:5" x14ac:dyDescent="0.35">
      <c r="A2337" s="3" t="str">
        <f>IF(D2337="","",(VLOOKUP($D2337,KEY!$B$5:$D$74,3,FALSE)))</f>
        <v>Southern California</v>
      </c>
      <c r="B2337" s="221">
        <f t="shared" si="26"/>
        <v>45992</v>
      </c>
      <c r="C2337" s="221" t="str">
        <f>IFERROR(VLOOKUP($B2337,KEY!$AE$19:$AH$60,2,FALSE),"")</f>
        <v>2025-Q4</v>
      </c>
      <c r="D2337" s="222" t="s">
        <v>145</v>
      </c>
      <c r="E2337" s="218">
        <v>16</v>
      </c>
    </row>
    <row r="2338" spans="1:5" x14ac:dyDescent="0.35">
      <c r="A2338" s="3" t="str">
        <f>IF(D2338="","",(VLOOKUP($D2338,KEY!$B$5:$D$74,3,FALSE)))</f>
        <v>Arizona</v>
      </c>
      <c r="B2338" s="221">
        <f t="shared" si="26"/>
        <v>45992</v>
      </c>
      <c r="C2338" s="221" t="str">
        <f>IFERROR(VLOOKUP($B2338,KEY!$AE$19:$AH$60,2,FALSE),"")</f>
        <v>2025-Q4</v>
      </c>
      <c r="D2338" s="222" t="s">
        <v>146</v>
      </c>
      <c r="E2338" s="218">
        <v>4</v>
      </c>
    </row>
    <row r="2339" spans="1:5" x14ac:dyDescent="0.35">
      <c r="A2339" s="3" t="str">
        <f>IF(D2339="","",(VLOOKUP($D2339,KEY!$B$5:$D$74,3,FALSE)))</f>
        <v>Texas</v>
      </c>
      <c r="B2339" s="221">
        <f t="shared" si="26"/>
        <v>45992</v>
      </c>
      <c r="C2339" s="221" t="str">
        <f>IFERROR(VLOOKUP($B2339,KEY!$AE$19:$AH$60,2,FALSE),"")</f>
        <v>2025-Q4</v>
      </c>
      <c r="D2339" s="222" t="s">
        <v>147</v>
      </c>
      <c r="E2339" s="218">
        <v>4</v>
      </c>
    </row>
    <row r="2340" spans="1:5" x14ac:dyDescent="0.35">
      <c r="A2340" s="3" t="str">
        <f>IF(D2340="","",(VLOOKUP($D2340,KEY!$B$5:$D$74,3,FALSE)))</f>
        <v>Northern California</v>
      </c>
      <c r="B2340" s="221">
        <f t="shared" si="26"/>
        <v>45992</v>
      </c>
      <c r="C2340" s="221" t="str">
        <f>IFERROR(VLOOKUP($B2340,KEY!$AE$19:$AH$60,2,FALSE),"")</f>
        <v>2025-Q4</v>
      </c>
      <c r="D2340" s="222" t="s">
        <v>148</v>
      </c>
      <c r="E2340" s="218">
        <v>4</v>
      </c>
    </row>
    <row r="2341" spans="1:5" x14ac:dyDescent="0.35">
      <c r="A2341" s="3" t="str">
        <f>IF(D2341="","",(VLOOKUP($D2341,KEY!$B$5:$D$74,3,FALSE)))</f>
        <v>Orange County</v>
      </c>
      <c r="B2341" s="221">
        <f t="shared" si="26"/>
        <v>45992</v>
      </c>
      <c r="C2341" s="221" t="str">
        <f>IFERROR(VLOOKUP($B2341,KEY!$AE$19:$AH$60,2,FALSE),"")</f>
        <v>2025-Q4</v>
      </c>
      <c r="D2341" s="222" t="s">
        <v>149</v>
      </c>
      <c r="E2341" s="218">
        <v>3</v>
      </c>
    </row>
    <row r="2342" spans="1:5" x14ac:dyDescent="0.35">
      <c r="A2342" s="3" t="str">
        <f>IF(D2342="","",(VLOOKUP($D2342,KEY!$B$5:$D$74,3,FALSE)))</f>
        <v>Southern California</v>
      </c>
      <c r="B2342" s="221">
        <f t="shared" si="26"/>
        <v>45992</v>
      </c>
      <c r="C2342" s="221" t="str">
        <f>IFERROR(VLOOKUP($B2342,KEY!$AE$19:$AH$60,2,FALSE),"")</f>
        <v>2025-Q4</v>
      </c>
      <c r="D2342" s="222" t="s">
        <v>150</v>
      </c>
      <c r="E2342" s="218">
        <v>4</v>
      </c>
    </row>
    <row r="2343" spans="1:5" x14ac:dyDescent="0.35">
      <c r="A2343" s="3" t="str">
        <f>IF(D2343="","",(VLOOKUP($D2343,KEY!$B$5:$D$74,3,FALSE)))</f>
        <v>Arizona</v>
      </c>
      <c r="B2343" s="221">
        <f t="shared" si="26"/>
        <v>45992</v>
      </c>
      <c r="C2343" s="221" t="str">
        <f>IFERROR(VLOOKUP($B2343,KEY!$AE$19:$AH$60,2,FALSE),"")</f>
        <v>2025-Q4</v>
      </c>
      <c r="D2343" s="222" t="s">
        <v>151</v>
      </c>
      <c r="E2343" s="218">
        <v>4</v>
      </c>
    </row>
    <row r="2344" spans="1:5" x14ac:dyDescent="0.35">
      <c r="A2344" s="3" t="str">
        <f>IF(D2344="","",(VLOOKUP($D2344,KEY!$B$5:$D$74,3,FALSE)))</f>
        <v>Michigan &amp; Minnesota</v>
      </c>
      <c r="B2344" s="221">
        <f t="shared" si="26"/>
        <v>45992</v>
      </c>
      <c r="C2344" s="221" t="str">
        <f>IFERROR(VLOOKUP($B2344,KEY!$AE$19:$AH$60,2,FALSE),"")</f>
        <v>2025-Q4</v>
      </c>
      <c r="D2344" s="222" t="s">
        <v>206</v>
      </c>
      <c r="E2344" s="218">
        <v>18</v>
      </c>
    </row>
    <row r="2345" spans="1:5" x14ac:dyDescent="0.35">
      <c r="A2345" s="3" t="str">
        <f>IF(D2345="","",(VLOOKUP($D2345,KEY!$B$5:$D$74,3,FALSE)))</f>
        <v>Michigan &amp; Minnesota</v>
      </c>
      <c r="B2345" s="221">
        <f t="shared" si="26"/>
        <v>45992</v>
      </c>
      <c r="C2345" s="221" t="str">
        <f>IFERROR(VLOOKUP($B2345,KEY!$AE$19:$AH$60,2,FALSE),"")</f>
        <v>2025-Q4</v>
      </c>
      <c r="D2345" s="222" t="s">
        <v>207</v>
      </c>
      <c r="E2345" s="218">
        <v>5</v>
      </c>
    </row>
    <row r="2346" spans="1:5" x14ac:dyDescent="0.35">
      <c r="A2346" s="3" t="str">
        <f>IF(D2346="","",(VLOOKUP($D2346,KEY!$B$5:$D$74,3,FALSE)))</f>
        <v>Indiana</v>
      </c>
      <c r="B2346" s="221">
        <f t="shared" si="26"/>
        <v>45992</v>
      </c>
      <c r="C2346" s="221" t="str">
        <f>IFERROR(VLOOKUP($B2346,KEY!$AE$19:$AH$60,2,FALSE),"")</f>
        <v>2025-Q4</v>
      </c>
      <c r="D2346" s="222" t="s">
        <v>208</v>
      </c>
      <c r="E2346" s="218">
        <v>10</v>
      </c>
    </row>
    <row r="2347" spans="1:5" x14ac:dyDescent="0.35">
      <c r="A2347" s="3" t="str">
        <f>IF(D2347="","",(VLOOKUP($D2347,KEY!$B$5:$D$74,3,FALSE)))</f>
        <v>Indiana</v>
      </c>
      <c r="B2347" s="221">
        <f t="shared" si="26"/>
        <v>45992</v>
      </c>
      <c r="C2347" s="221" t="str">
        <f>IFERROR(VLOOKUP($B2347,KEY!$AE$19:$AH$60,2,FALSE),"")</f>
        <v>2025-Q4</v>
      </c>
      <c r="D2347" s="222" t="s">
        <v>209</v>
      </c>
      <c r="E2347" s="218">
        <v>25</v>
      </c>
    </row>
    <row r="2348" spans="1:5" x14ac:dyDescent="0.35">
      <c r="A2348" s="3" t="str">
        <f>IF(D2348="","",(VLOOKUP($D2348,KEY!$B$5:$D$74,3,FALSE)))</f>
        <v>Northern California</v>
      </c>
      <c r="B2348" s="221">
        <f t="shared" si="26"/>
        <v>45992</v>
      </c>
      <c r="C2348" s="221" t="str">
        <f>IFERROR(VLOOKUP($B2348,KEY!$AE$19:$AH$60,2,FALSE),"")</f>
        <v>2025-Q4</v>
      </c>
      <c r="D2348" s="222" t="s">
        <v>152</v>
      </c>
      <c r="E2348" s="218">
        <v>13</v>
      </c>
    </row>
    <row r="2349" spans="1:5" x14ac:dyDescent="0.35">
      <c r="A2349" s="3" t="str">
        <f>IF(D2349="","",(VLOOKUP($D2349,KEY!$B$5:$D$74,3,FALSE)))</f>
        <v>Arizona</v>
      </c>
      <c r="B2349" s="221">
        <f t="shared" si="26"/>
        <v>45992</v>
      </c>
      <c r="C2349" s="221" t="str">
        <f>IFERROR(VLOOKUP($B2349,KEY!$AE$19:$AH$60,2,FALSE),"")</f>
        <v>2025-Q4</v>
      </c>
      <c r="D2349" s="222" t="s">
        <v>153</v>
      </c>
      <c r="E2349" s="218">
        <v>12</v>
      </c>
    </row>
    <row r="2350" spans="1:5" x14ac:dyDescent="0.35">
      <c r="A2350" s="3" t="str">
        <f>IF(D2350="","",(VLOOKUP($D2350,KEY!$B$5:$D$74,3,FALSE)))</f>
        <v>Northern California</v>
      </c>
      <c r="B2350" s="221">
        <f t="shared" si="26"/>
        <v>45992</v>
      </c>
      <c r="C2350" s="221" t="str">
        <f>IFERROR(VLOOKUP($B2350,KEY!$AE$19:$AH$60,2,FALSE),"")</f>
        <v>2025-Q4</v>
      </c>
      <c r="D2350" s="222" t="s">
        <v>154</v>
      </c>
      <c r="E2350" s="218">
        <v>9</v>
      </c>
    </row>
    <row r="2351" spans="1:5" x14ac:dyDescent="0.35">
      <c r="A2351" s="3" t="str">
        <f>IF(D2351="","",(VLOOKUP($D2351,KEY!$B$5:$D$74,3,FALSE)))</f>
        <v>Texas</v>
      </c>
      <c r="B2351" s="221">
        <f t="shared" si="26"/>
        <v>45992</v>
      </c>
      <c r="C2351" s="221" t="str">
        <f>IFERROR(VLOOKUP($B2351,KEY!$AE$19:$AH$60,2,FALSE),"")</f>
        <v>2025-Q4</v>
      </c>
      <c r="D2351" s="222" t="s">
        <v>155</v>
      </c>
      <c r="E2351" s="218">
        <v>23</v>
      </c>
    </row>
    <row r="2352" spans="1:5" x14ac:dyDescent="0.35">
      <c r="A2352" s="3" t="str">
        <f>IF(D2352="","",(VLOOKUP($D2352,KEY!$B$5:$D$74,3,FALSE)))</f>
        <v>Texas</v>
      </c>
      <c r="B2352" s="221">
        <f t="shared" si="26"/>
        <v>45992</v>
      </c>
      <c r="C2352" s="221" t="str">
        <f>IFERROR(VLOOKUP($B2352,KEY!$AE$19:$AH$60,2,FALSE),"")</f>
        <v>2025-Q4</v>
      </c>
      <c r="D2352" s="222" t="s">
        <v>156</v>
      </c>
      <c r="E2352" s="218">
        <v>12</v>
      </c>
    </row>
    <row r="2353" spans="1:5" x14ac:dyDescent="0.35">
      <c r="A2353" s="3" t="str">
        <f>IF(D2353="","",(VLOOKUP($D2353,KEY!$B$5:$D$74,3,FALSE)))</f>
        <v>Texas</v>
      </c>
      <c r="B2353" s="221">
        <f t="shared" si="26"/>
        <v>45992</v>
      </c>
      <c r="C2353" s="221" t="str">
        <f>IFERROR(VLOOKUP($B2353,KEY!$AE$19:$AH$60,2,FALSE),"")</f>
        <v>2025-Q4</v>
      </c>
      <c r="D2353" s="222" t="s">
        <v>157</v>
      </c>
      <c r="E2353" s="218">
        <v>42</v>
      </c>
    </row>
    <row r="2354" spans="1:5" x14ac:dyDescent="0.35">
      <c r="A2354" s="3" t="str">
        <f>IF(D2354="","",(VLOOKUP($D2354,KEY!$B$5:$D$74,3,FALSE)))</f>
        <v>Arizona</v>
      </c>
      <c r="B2354" s="221">
        <f t="shared" si="26"/>
        <v>45992</v>
      </c>
      <c r="C2354" s="221" t="str">
        <f>IFERROR(VLOOKUP($B2354,KEY!$AE$19:$AH$60,2,FALSE),"")</f>
        <v>2025-Q4</v>
      </c>
      <c r="D2354" s="222" t="s">
        <v>158</v>
      </c>
      <c r="E2354" s="218">
        <v>6</v>
      </c>
    </row>
    <row r="2355" spans="1:5" x14ac:dyDescent="0.35">
      <c r="A2355" s="3" t="str">
        <f>IF(D2355="","",(VLOOKUP($D2355,KEY!$B$5:$D$74,3,FALSE)))</f>
        <v>Orange County</v>
      </c>
      <c r="B2355" s="221">
        <f t="shared" si="26"/>
        <v>45992</v>
      </c>
      <c r="C2355" s="221" t="str">
        <f>IFERROR(VLOOKUP($B2355,KEY!$AE$19:$AH$60,2,FALSE),"")</f>
        <v>2025-Q4</v>
      </c>
      <c r="D2355" s="222" t="s">
        <v>159</v>
      </c>
      <c r="E2355" s="218">
        <v>8</v>
      </c>
    </row>
    <row r="2356" spans="1:5" x14ac:dyDescent="0.35">
      <c r="A2356" s="3" t="str">
        <f>IF(D2356="","",(VLOOKUP($D2356,KEY!$B$5:$D$74,3,FALSE)))</f>
        <v>Arizona</v>
      </c>
      <c r="B2356" s="221">
        <f t="shared" si="26"/>
        <v>45992</v>
      </c>
      <c r="C2356" s="221" t="str">
        <f>IFERROR(VLOOKUP($B2356,KEY!$AE$19:$AH$60,2,FALSE),"")</f>
        <v>2025-Q4</v>
      </c>
      <c r="D2356" s="222" t="s">
        <v>160</v>
      </c>
      <c r="E2356" s="218">
        <v>25</v>
      </c>
    </row>
    <row r="2357" spans="1:5" x14ac:dyDescent="0.35">
      <c r="A2357" s="3" t="str">
        <f>IF(D2357="","",(VLOOKUP($D2357,KEY!$B$5:$D$74,3,FALSE)))</f>
        <v>Northern California</v>
      </c>
      <c r="B2357" s="221">
        <f t="shared" si="26"/>
        <v>45992</v>
      </c>
      <c r="C2357" s="221" t="str">
        <f>IFERROR(VLOOKUP($B2357,KEY!$AE$19:$AH$60,2,FALSE),"")</f>
        <v>2025-Q4</v>
      </c>
      <c r="D2357" s="222" t="s">
        <v>161</v>
      </c>
      <c r="E2357" s="218">
        <v>20</v>
      </c>
    </row>
    <row r="2358" spans="1:5" x14ac:dyDescent="0.35">
      <c r="A2358" s="3" t="str">
        <f>IF(D2358="","",(VLOOKUP($D2358,KEY!$B$5:$D$74,3,FALSE)))</f>
        <v>Arizona</v>
      </c>
      <c r="B2358" s="221">
        <f t="shared" si="26"/>
        <v>45992</v>
      </c>
      <c r="C2358" s="221" t="str">
        <f>IFERROR(VLOOKUP($B2358,KEY!$AE$19:$AH$60,2,FALSE),"")</f>
        <v>2025-Q4</v>
      </c>
      <c r="D2358" s="222" t="s">
        <v>163</v>
      </c>
      <c r="E2358" s="218">
        <v>20</v>
      </c>
    </row>
    <row r="2359" spans="1:5" x14ac:dyDescent="0.35">
      <c r="A2359" s="3" t="str">
        <f>IF(D2359="","",(VLOOKUP($D2359,KEY!$B$5:$D$74,3,FALSE)))</f>
        <v>Arizona</v>
      </c>
      <c r="B2359" s="221">
        <f t="shared" si="26"/>
        <v>45992</v>
      </c>
      <c r="C2359" s="221" t="str">
        <f>IFERROR(VLOOKUP($B2359,KEY!$AE$19:$AH$60,2,FALSE),"")</f>
        <v>2025-Q4</v>
      </c>
      <c r="D2359" s="222" t="s">
        <v>164</v>
      </c>
      <c r="E2359" s="218">
        <v>6</v>
      </c>
    </row>
    <row r="2360" spans="1:5" x14ac:dyDescent="0.35">
      <c r="A2360" s="3" t="str">
        <f>IF(D2360="","",(VLOOKUP($D2360,KEY!$B$5:$D$74,3,FALSE)))</f>
        <v>Orange County</v>
      </c>
      <c r="B2360" s="221">
        <f t="shared" si="26"/>
        <v>45992</v>
      </c>
      <c r="C2360" s="221" t="str">
        <f>IFERROR(VLOOKUP($B2360,KEY!$AE$19:$AH$60,2,FALSE),"")</f>
        <v>2025-Q4</v>
      </c>
      <c r="D2360" s="222" t="s">
        <v>165</v>
      </c>
      <c r="E2360" s="218">
        <v>5</v>
      </c>
    </row>
    <row r="2361" spans="1:5" x14ac:dyDescent="0.35">
      <c r="A2361" s="3" t="str">
        <f>IF(D2361="","",(VLOOKUP($D2361,KEY!$B$5:$D$74,3,FALSE)))</f>
        <v/>
      </c>
      <c r="B2361" s="221">
        <f t="shared" si="26"/>
        <v>45992</v>
      </c>
      <c r="C2361" s="221" t="str">
        <f>IFERROR(VLOOKUP($B2361,KEY!$AE$19:$AH$60,2,FALSE),"")</f>
        <v>2025-Q4</v>
      </c>
      <c r="D2361" s="222"/>
      <c r="E2361" s="218"/>
    </row>
    <row r="2362" spans="1:5" x14ac:dyDescent="0.35">
      <c r="A2362" s="3" t="str">
        <f>IF(D2362="","",(VLOOKUP($D2362,KEY!$B$5:$D$74,3,FALSE)))</f>
        <v/>
      </c>
      <c r="B2362" s="221">
        <f t="shared" si="26"/>
        <v>45992</v>
      </c>
      <c r="C2362" s="221" t="str">
        <f>IFERROR(VLOOKUP($B2362,KEY!$AE$19:$AH$60,2,FALSE),"")</f>
        <v>2025-Q4</v>
      </c>
      <c r="D2362" s="222"/>
      <c r="E2362" s="218"/>
    </row>
    <row r="2363" spans="1:5" x14ac:dyDescent="0.35">
      <c r="A2363" s="3" t="str">
        <f>IF(D2363="","",(VLOOKUP($D2363,KEY!$B$5:$D$74,3,FALSE)))</f>
        <v/>
      </c>
      <c r="B2363" s="221">
        <f t="shared" si="26"/>
        <v>45992</v>
      </c>
      <c r="C2363" s="221" t="str">
        <f>IFERROR(VLOOKUP($B2363,KEY!$AE$19:$AH$60,2,FALSE),"")</f>
        <v>2025-Q4</v>
      </c>
      <c r="D2363" s="222"/>
      <c r="E2363" s="218"/>
    </row>
    <row r="2364" spans="1:5" x14ac:dyDescent="0.35">
      <c r="A2364" s="3" t="str">
        <f>IF(D2364="","",(VLOOKUP($D2364,KEY!$B$5:$D$74,3,FALSE)))</f>
        <v/>
      </c>
      <c r="B2364" s="221">
        <f t="shared" ref="B2364:B2368" si="27">B2363</f>
        <v>45992</v>
      </c>
      <c r="C2364" s="221" t="str">
        <f>IFERROR(VLOOKUP($B2364,KEY!$AE$19:$AH$60,2,FALSE),"")</f>
        <v>2025-Q4</v>
      </c>
      <c r="D2364" s="222"/>
      <c r="E2364" s="218"/>
    </row>
    <row r="2365" spans="1:5" x14ac:dyDescent="0.35">
      <c r="A2365" s="3" t="str">
        <f>IF(D2365="","",(VLOOKUP($D2365,KEY!$B$5:$D$74,3,FALSE)))</f>
        <v/>
      </c>
      <c r="B2365" s="221">
        <f t="shared" si="27"/>
        <v>45992</v>
      </c>
      <c r="C2365" s="221" t="str">
        <f>IFERROR(VLOOKUP($B2365,KEY!$AE$19:$AH$60,2,FALSE),"")</f>
        <v>2025-Q4</v>
      </c>
      <c r="D2365" s="222"/>
      <c r="E2365" s="218"/>
    </row>
    <row r="2366" spans="1:5" x14ac:dyDescent="0.35">
      <c r="A2366" s="3" t="str">
        <f>IF(D2366="","",(VLOOKUP($D2366,KEY!$B$5:$D$74,3,FALSE)))</f>
        <v/>
      </c>
      <c r="B2366" s="221">
        <f t="shared" si="27"/>
        <v>45992</v>
      </c>
      <c r="C2366" s="221" t="str">
        <f>IFERROR(VLOOKUP($B2366,KEY!$AE$19:$AH$60,2,FALSE),"")</f>
        <v>2025-Q4</v>
      </c>
      <c r="D2366" s="222"/>
      <c r="E2366" s="218"/>
    </row>
    <row r="2367" spans="1:5" x14ac:dyDescent="0.35">
      <c r="A2367" s="3" t="str">
        <f>IF(D2367="","",(VLOOKUP($D2367,KEY!$B$5:$D$74,3,FALSE)))</f>
        <v/>
      </c>
      <c r="B2367" s="221">
        <f t="shared" si="27"/>
        <v>45992</v>
      </c>
      <c r="C2367" s="221" t="str">
        <f>IFERROR(VLOOKUP($B2367,KEY!$AE$19:$AH$60,2,FALSE),"")</f>
        <v>2025-Q4</v>
      </c>
      <c r="D2367" s="222"/>
      <c r="E2367" s="218"/>
    </row>
    <row r="2368" spans="1:5" x14ac:dyDescent="0.35">
      <c r="A2368" s="3" t="str">
        <f>IF(D2368="","",(VLOOKUP($D2368,KEY!$B$5:$D$74,3,FALSE)))</f>
        <v/>
      </c>
      <c r="B2368" s="221">
        <f t="shared" si="27"/>
        <v>45992</v>
      </c>
      <c r="C2368" s="221" t="str">
        <f>IFERROR(VLOOKUP($B2368,KEY!$AE$19:$AH$60,2,FALSE),"")</f>
        <v>2025-Q4</v>
      </c>
      <c r="D2368" s="222"/>
      <c r="E2368" s="218"/>
    </row>
    <row r="2369" spans="1:5" x14ac:dyDescent="0.35">
      <c r="A2369" s="3" t="str">
        <f>IF(D2369="","",(VLOOKUP($D2369,KEY!$B$5:$D$74,3,FALSE)))</f>
        <v/>
      </c>
      <c r="B2369" s="221"/>
      <c r="C2369" s="221" t="str">
        <f>IFERROR(VLOOKUP($B2369,KEY!$AE$19:$AH$60,2,FALSE),"")</f>
        <v/>
      </c>
      <c r="D2369" s="222"/>
      <c r="E2369" s="218"/>
    </row>
    <row r="2370" spans="1:5" x14ac:dyDescent="0.35">
      <c r="A2370" s="3" t="str">
        <f>IF(D2370="","",(VLOOKUP($D2370,KEY!$B$5:$D$74,3,FALSE)))</f>
        <v/>
      </c>
      <c r="B2370" s="221"/>
      <c r="C2370" s="221" t="str">
        <f>IFERROR(VLOOKUP($B2370,KEY!$AE$19:$AH$60,2,FALSE),"")</f>
        <v/>
      </c>
      <c r="D2370" s="222"/>
      <c r="E2370" s="218"/>
    </row>
    <row r="2371" spans="1:5" x14ac:dyDescent="0.35">
      <c r="A2371" s="3" t="str">
        <f>IF(D2371="","",(VLOOKUP($D2371,KEY!$B$5:$D$74,3,FALSE)))</f>
        <v/>
      </c>
      <c r="B2371" s="221"/>
      <c r="C2371" s="221" t="str">
        <f>IFERROR(VLOOKUP($B2371,KEY!$AE$19:$AH$60,2,FALSE),"")</f>
        <v/>
      </c>
      <c r="D2371" s="222"/>
      <c r="E2371" s="218"/>
    </row>
    <row r="2372" spans="1:5" x14ac:dyDescent="0.35">
      <c r="A2372" s="3" t="str">
        <f>IF(D2372="","",(VLOOKUP($D2372,KEY!$B$5:$D$74,3,FALSE)))</f>
        <v/>
      </c>
      <c r="B2372" s="221"/>
      <c r="C2372" s="221" t="str">
        <f>IFERROR(VLOOKUP($B2372,KEY!$AE$19:$AH$60,2,FALSE),"")</f>
        <v/>
      </c>
      <c r="D2372" s="222"/>
      <c r="E2372" s="218"/>
    </row>
    <row r="2373" spans="1:5" x14ac:dyDescent="0.35">
      <c r="A2373" s="3" t="str">
        <f>IF(D2373="","",(VLOOKUP($D2373,KEY!$B$5:$D$74,3,FALSE)))</f>
        <v/>
      </c>
      <c r="B2373" s="221"/>
      <c r="C2373" s="221" t="str">
        <f>IFERROR(VLOOKUP($B2373,KEY!$AE$19:$AH$60,2,FALSE),"")</f>
        <v/>
      </c>
      <c r="D2373" s="222"/>
      <c r="E2373" s="218"/>
    </row>
    <row r="2374" spans="1:5" x14ac:dyDescent="0.35">
      <c r="A2374" s="3" t="str">
        <f>IF(D2374="","",(VLOOKUP($D2374,KEY!$B$5:$D$74,3,FALSE)))</f>
        <v/>
      </c>
      <c r="B2374" s="221"/>
      <c r="C2374" s="221" t="str">
        <f>IFERROR(VLOOKUP($B2374,KEY!$AE$19:$AH$60,2,FALSE),"")</f>
        <v/>
      </c>
      <c r="D2374" s="222"/>
      <c r="E2374" s="218"/>
    </row>
    <row r="2375" spans="1:5" x14ac:dyDescent="0.35">
      <c r="A2375" s="3" t="str">
        <f>IF(D2375="","",(VLOOKUP($D2375,KEY!$B$5:$D$74,3,FALSE)))</f>
        <v/>
      </c>
      <c r="B2375" s="221"/>
      <c r="C2375" s="221" t="str">
        <f>IFERROR(VLOOKUP($B2375,KEY!$AE$19:$AH$60,2,FALSE),"")</f>
        <v/>
      </c>
      <c r="D2375" s="222"/>
      <c r="E2375" s="218"/>
    </row>
    <row r="2376" spans="1:5" x14ac:dyDescent="0.35">
      <c r="A2376" s="3" t="str">
        <f>IF(D2376="","",(VLOOKUP($D2376,KEY!$B$5:$D$74,3,FALSE)))</f>
        <v/>
      </c>
      <c r="B2376" s="221"/>
      <c r="C2376" s="221" t="str">
        <f>IFERROR(VLOOKUP($B2376,KEY!$AE$19:$AH$60,2,FALSE),"")</f>
        <v/>
      </c>
      <c r="D2376" s="222"/>
      <c r="E2376" s="218"/>
    </row>
    <row r="2377" spans="1:5" x14ac:dyDescent="0.35">
      <c r="A2377" s="3" t="str">
        <f>IF(D2377="","",(VLOOKUP($D2377,KEY!$B$5:$D$74,3,FALSE)))</f>
        <v/>
      </c>
      <c r="B2377" s="221"/>
      <c r="C2377" s="221" t="str">
        <f>IFERROR(VLOOKUP($B2377,KEY!$AE$19:$AH$60,2,FALSE),"")</f>
        <v/>
      </c>
      <c r="D2377" s="222"/>
      <c r="E2377" s="218"/>
    </row>
    <row r="2378" spans="1:5" x14ac:dyDescent="0.35">
      <c r="A2378" s="3" t="str">
        <f>IF(D2378="","",(VLOOKUP($D2378,KEY!$B$5:$D$74,3,FALSE)))</f>
        <v/>
      </c>
      <c r="B2378" s="221"/>
      <c r="C2378" s="221" t="str">
        <f>IFERROR(VLOOKUP($B2378,KEY!$AE$19:$AH$60,2,FALSE),"")</f>
        <v/>
      </c>
      <c r="D2378" s="222"/>
      <c r="E2378" s="218"/>
    </row>
    <row r="2379" spans="1:5" x14ac:dyDescent="0.35">
      <c r="A2379" s="3" t="str">
        <f>IF(D2379="","",(VLOOKUP($D2379,KEY!$B$5:$D$74,3,FALSE)))</f>
        <v/>
      </c>
      <c r="B2379" s="221"/>
      <c r="C2379" s="221" t="str">
        <f>IFERROR(VLOOKUP($B2379,KEY!$AE$19:$AH$60,2,FALSE),"")</f>
        <v/>
      </c>
      <c r="D2379" s="222"/>
      <c r="E2379" s="218"/>
    </row>
    <row r="2380" spans="1:5" x14ac:dyDescent="0.35">
      <c r="A2380" s="3" t="str">
        <f>IF(D2380="","",(VLOOKUP($D2380,KEY!$B$5:$D$74,3,FALSE)))</f>
        <v/>
      </c>
      <c r="B2380" s="221"/>
      <c r="C2380" s="221" t="str">
        <f>IFERROR(VLOOKUP($B2380,KEY!$AE$19:$AH$60,2,FALSE),"")</f>
        <v/>
      </c>
      <c r="D2380" s="222"/>
      <c r="E2380" s="218"/>
    </row>
    <row r="2381" spans="1:5" x14ac:dyDescent="0.35">
      <c r="A2381" s="3" t="str">
        <f>IF(D2381="","",(VLOOKUP($D2381,KEY!$B$5:$D$74,3,FALSE)))</f>
        <v/>
      </c>
      <c r="B2381" s="221"/>
      <c r="C2381" s="221" t="str">
        <f>IFERROR(VLOOKUP($B2381,KEY!$AE$19:$AH$60,2,FALSE),"")</f>
        <v/>
      </c>
      <c r="D2381" s="222"/>
      <c r="E2381" s="218"/>
    </row>
    <row r="2382" spans="1:5" x14ac:dyDescent="0.35">
      <c r="A2382" s="3" t="str">
        <f>IF(D2382="","",(VLOOKUP($D2382,KEY!$B$5:$D$74,3,FALSE)))</f>
        <v/>
      </c>
      <c r="B2382" s="221"/>
      <c r="C2382" s="221" t="str">
        <f>IFERROR(VLOOKUP($B2382,KEY!$AE$19:$AH$60,2,FALSE),"")</f>
        <v/>
      </c>
      <c r="D2382" s="222"/>
      <c r="E2382" s="218"/>
    </row>
    <row r="2383" spans="1:5" x14ac:dyDescent="0.35">
      <c r="A2383" s="3" t="str">
        <f>IF(D2383="","",(VLOOKUP($D2383,KEY!$B$5:$D$74,3,FALSE)))</f>
        <v/>
      </c>
      <c r="B2383" s="221"/>
      <c r="C2383" s="221"/>
      <c r="D2383" s="222"/>
      <c r="E2383" s="218"/>
    </row>
    <row r="2384" spans="1:5" x14ac:dyDescent="0.35">
      <c r="B2384" s="221">
        <v>44835</v>
      </c>
      <c r="C2384" s="221" t="s">
        <v>213</v>
      </c>
      <c r="D2384" s="222" t="s">
        <v>16</v>
      </c>
      <c r="E2384" s="218">
        <f>SUMIFS($E$5:$E$2383,$B$5:$B$2383,$B2384,$A$5:$A$2383,$D2384)</f>
        <v>175</v>
      </c>
    </row>
    <row r="2385" spans="2:5" x14ac:dyDescent="0.35">
      <c r="B2385" s="221">
        <v>44835</v>
      </c>
      <c r="C2385" s="221" t="s">
        <v>213</v>
      </c>
      <c r="D2385" s="222" t="s">
        <v>106</v>
      </c>
      <c r="E2385" s="218">
        <f t="shared" ref="E2385:E2449" si="28">SUMIFS($E$5:$E$2383,$B$5:$B$2383,$B2385,$A$5:$A$2383,$D2385)</f>
        <v>92</v>
      </c>
    </row>
    <row r="2386" spans="2:5" x14ac:dyDescent="0.35">
      <c r="B2386" s="221">
        <v>44835</v>
      </c>
      <c r="C2386" s="221" t="s">
        <v>213</v>
      </c>
      <c r="D2386" s="222" t="s">
        <v>107</v>
      </c>
      <c r="E2386" s="218">
        <f t="shared" si="28"/>
        <v>96</v>
      </c>
    </row>
    <row r="2387" spans="2:5" x14ac:dyDescent="0.35">
      <c r="B2387" s="221">
        <v>44835</v>
      </c>
      <c r="C2387" s="221" t="s">
        <v>213</v>
      </c>
      <c r="D2387" s="222" t="s">
        <v>108</v>
      </c>
      <c r="E2387" s="218">
        <f t="shared" si="28"/>
        <v>106</v>
      </c>
    </row>
    <row r="2388" spans="2:5" x14ac:dyDescent="0.35">
      <c r="B2388" s="221">
        <v>44835</v>
      </c>
      <c r="C2388" s="221" t="s">
        <v>213</v>
      </c>
      <c r="D2388" s="222" t="s">
        <v>109</v>
      </c>
      <c r="E2388" s="218">
        <f t="shared" si="28"/>
        <v>130</v>
      </c>
    </row>
    <row r="2389" spans="2:5" x14ac:dyDescent="0.35">
      <c r="B2389" s="221">
        <v>44866</v>
      </c>
      <c r="C2389" s="221" t="s">
        <v>213</v>
      </c>
      <c r="D2389" s="222" t="s">
        <v>16</v>
      </c>
      <c r="E2389" s="218">
        <f t="shared" si="28"/>
        <v>174</v>
      </c>
    </row>
    <row r="2390" spans="2:5" x14ac:dyDescent="0.35">
      <c r="B2390" s="221">
        <v>44866</v>
      </c>
      <c r="C2390" s="221" t="s">
        <v>213</v>
      </c>
      <c r="D2390" s="222" t="s">
        <v>106</v>
      </c>
      <c r="E2390" s="218">
        <f t="shared" si="28"/>
        <v>93</v>
      </c>
    </row>
    <row r="2391" spans="2:5" x14ac:dyDescent="0.35">
      <c r="B2391" s="221">
        <v>44866</v>
      </c>
      <c r="C2391" s="221" t="s">
        <v>213</v>
      </c>
      <c r="D2391" s="222" t="s">
        <v>107</v>
      </c>
      <c r="E2391" s="218">
        <f t="shared" si="28"/>
        <v>96</v>
      </c>
    </row>
    <row r="2392" spans="2:5" x14ac:dyDescent="0.35">
      <c r="B2392" s="221">
        <v>44866</v>
      </c>
      <c r="C2392" s="221" t="s">
        <v>213</v>
      </c>
      <c r="D2392" s="222" t="s">
        <v>108</v>
      </c>
      <c r="E2392" s="218">
        <f t="shared" si="28"/>
        <v>105</v>
      </c>
    </row>
    <row r="2393" spans="2:5" x14ac:dyDescent="0.35">
      <c r="B2393" s="221">
        <v>44866</v>
      </c>
      <c r="C2393" s="221" t="s">
        <v>213</v>
      </c>
      <c r="D2393" s="222" t="s">
        <v>109</v>
      </c>
      <c r="E2393" s="218">
        <f t="shared" si="28"/>
        <v>132</v>
      </c>
    </row>
    <row r="2394" spans="2:5" x14ac:dyDescent="0.35">
      <c r="B2394" s="221">
        <v>44896</v>
      </c>
      <c r="C2394" s="221" t="s">
        <v>213</v>
      </c>
      <c r="D2394" s="222" t="s">
        <v>16</v>
      </c>
      <c r="E2394" s="218">
        <f t="shared" si="28"/>
        <v>176</v>
      </c>
    </row>
    <row r="2395" spans="2:5" x14ac:dyDescent="0.35">
      <c r="B2395" s="221">
        <v>44896</v>
      </c>
      <c r="C2395" s="221" t="s">
        <v>213</v>
      </c>
      <c r="D2395" s="222" t="s">
        <v>106</v>
      </c>
      <c r="E2395" s="218">
        <f t="shared" si="28"/>
        <v>93</v>
      </c>
    </row>
    <row r="2396" spans="2:5" x14ac:dyDescent="0.35">
      <c r="B2396" s="221">
        <v>44896</v>
      </c>
      <c r="C2396" s="221" t="s">
        <v>213</v>
      </c>
      <c r="D2396" s="222" t="s">
        <v>107</v>
      </c>
      <c r="E2396" s="218">
        <f t="shared" si="28"/>
        <v>96</v>
      </c>
    </row>
    <row r="2397" spans="2:5" x14ac:dyDescent="0.35">
      <c r="B2397" s="221">
        <v>44896</v>
      </c>
      <c r="C2397" s="221" t="s">
        <v>213</v>
      </c>
      <c r="D2397" s="222" t="s">
        <v>108</v>
      </c>
      <c r="E2397" s="218">
        <f t="shared" si="28"/>
        <v>104</v>
      </c>
    </row>
    <row r="2398" spans="2:5" x14ac:dyDescent="0.35">
      <c r="B2398" s="221">
        <v>44896</v>
      </c>
      <c r="C2398" s="221" t="s">
        <v>213</v>
      </c>
      <c r="D2398" s="222" t="s">
        <v>109</v>
      </c>
      <c r="E2398" s="218">
        <f t="shared" si="28"/>
        <v>132</v>
      </c>
    </row>
    <row r="2399" spans="2:5" x14ac:dyDescent="0.35">
      <c r="B2399" s="221">
        <v>44927</v>
      </c>
      <c r="C2399" s="221" t="s">
        <v>214</v>
      </c>
      <c r="D2399" s="222" t="s">
        <v>16</v>
      </c>
      <c r="E2399" s="218">
        <f t="shared" si="28"/>
        <v>173</v>
      </c>
    </row>
    <row r="2400" spans="2:5" x14ac:dyDescent="0.35">
      <c r="B2400" s="221">
        <v>44927</v>
      </c>
      <c r="C2400" s="221" t="s">
        <v>214</v>
      </c>
      <c r="D2400" s="222" t="s">
        <v>106</v>
      </c>
      <c r="E2400" s="218">
        <f t="shared" si="28"/>
        <v>92</v>
      </c>
    </row>
    <row r="2401" spans="2:5" x14ac:dyDescent="0.35">
      <c r="B2401" s="221">
        <v>44927</v>
      </c>
      <c r="C2401" s="221" t="s">
        <v>214</v>
      </c>
      <c r="D2401" s="222" t="s">
        <v>107</v>
      </c>
      <c r="E2401" s="218">
        <f t="shared" si="28"/>
        <v>92</v>
      </c>
    </row>
    <row r="2402" spans="2:5" x14ac:dyDescent="0.35">
      <c r="B2402" s="221">
        <v>44927</v>
      </c>
      <c r="C2402" s="221" t="s">
        <v>214</v>
      </c>
      <c r="D2402" s="222" t="s">
        <v>108</v>
      </c>
      <c r="E2402" s="218">
        <f t="shared" si="28"/>
        <v>110</v>
      </c>
    </row>
    <row r="2403" spans="2:5" x14ac:dyDescent="0.35">
      <c r="B2403" s="221">
        <v>44927</v>
      </c>
      <c r="C2403" s="221" t="s">
        <v>214</v>
      </c>
      <c r="D2403" s="222" t="s">
        <v>109</v>
      </c>
      <c r="E2403" s="218">
        <f t="shared" si="28"/>
        <v>124</v>
      </c>
    </row>
    <row r="2404" spans="2:5" x14ac:dyDescent="0.35">
      <c r="B2404" s="221">
        <v>44958</v>
      </c>
      <c r="C2404" s="221" t="s">
        <v>214</v>
      </c>
      <c r="D2404" s="222" t="s">
        <v>16</v>
      </c>
      <c r="E2404" s="218">
        <f t="shared" si="28"/>
        <v>174</v>
      </c>
    </row>
    <row r="2405" spans="2:5" x14ac:dyDescent="0.35">
      <c r="B2405" s="221">
        <v>44958</v>
      </c>
      <c r="C2405" s="221" t="s">
        <v>214</v>
      </c>
      <c r="D2405" s="222" t="s">
        <v>106</v>
      </c>
      <c r="E2405" s="218">
        <f t="shared" si="28"/>
        <v>92</v>
      </c>
    </row>
    <row r="2406" spans="2:5" x14ac:dyDescent="0.35">
      <c r="B2406" s="221">
        <v>44958</v>
      </c>
      <c r="C2406" s="221" t="s">
        <v>214</v>
      </c>
      <c r="D2406" s="222" t="s">
        <v>107</v>
      </c>
      <c r="E2406" s="218">
        <f t="shared" si="28"/>
        <v>91</v>
      </c>
    </row>
    <row r="2407" spans="2:5" x14ac:dyDescent="0.35">
      <c r="B2407" s="221">
        <v>44958</v>
      </c>
      <c r="C2407" s="221" t="s">
        <v>214</v>
      </c>
      <c r="D2407" s="222" t="s">
        <v>108</v>
      </c>
      <c r="E2407" s="218">
        <f t="shared" si="28"/>
        <v>103</v>
      </c>
    </row>
    <row r="2408" spans="2:5" x14ac:dyDescent="0.35">
      <c r="B2408" s="221">
        <v>44958</v>
      </c>
      <c r="C2408" s="221" t="s">
        <v>214</v>
      </c>
      <c r="D2408" s="222" t="s">
        <v>109</v>
      </c>
      <c r="E2408" s="218">
        <f t="shared" si="28"/>
        <v>117</v>
      </c>
    </row>
    <row r="2409" spans="2:5" x14ac:dyDescent="0.35">
      <c r="B2409" s="221">
        <v>44986</v>
      </c>
      <c r="C2409" s="221" t="s">
        <v>214</v>
      </c>
      <c r="D2409" s="222" t="s">
        <v>16</v>
      </c>
      <c r="E2409" s="218">
        <f t="shared" si="28"/>
        <v>180</v>
      </c>
    </row>
    <row r="2410" spans="2:5" x14ac:dyDescent="0.35">
      <c r="B2410" s="221">
        <v>44986</v>
      </c>
      <c r="C2410" s="221" t="s">
        <v>214</v>
      </c>
      <c r="D2410" s="222" t="s">
        <v>106</v>
      </c>
      <c r="E2410" s="218">
        <f t="shared" si="28"/>
        <v>89</v>
      </c>
    </row>
    <row r="2411" spans="2:5" x14ac:dyDescent="0.35">
      <c r="B2411" s="221">
        <v>44986</v>
      </c>
      <c r="C2411" s="221" t="s">
        <v>214</v>
      </c>
      <c r="D2411" s="222" t="s">
        <v>107</v>
      </c>
      <c r="E2411" s="218">
        <f t="shared" si="28"/>
        <v>94</v>
      </c>
    </row>
    <row r="2412" spans="2:5" x14ac:dyDescent="0.35">
      <c r="B2412" s="221">
        <v>44986</v>
      </c>
      <c r="C2412" s="221" t="s">
        <v>214</v>
      </c>
      <c r="D2412" s="222" t="s">
        <v>108</v>
      </c>
      <c r="E2412" s="218">
        <f t="shared" si="28"/>
        <v>97</v>
      </c>
    </row>
    <row r="2413" spans="2:5" x14ac:dyDescent="0.35">
      <c r="B2413" s="221">
        <v>44986</v>
      </c>
      <c r="C2413" s="221" t="s">
        <v>214</v>
      </c>
      <c r="D2413" s="222" t="s">
        <v>109</v>
      </c>
      <c r="E2413" s="218">
        <f t="shared" si="28"/>
        <v>111</v>
      </c>
    </row>
    <row r="2414" spans="2:5" x14ac:dyDescent="0.35">
      <c r="B2414" s="221">
        <v>45017</v>
      </c>
      <c r="C2414" s="221" t="s">
        <v>215</v>
      </c>
      <c r="D2414" s="222" t="s">
        <v>16</v>
      </c>
      <c r="E2414" s="218">
        <f t="shared" si="28"/>
        <v>178</v>
      </c>
    </row>
    <row r="2415" spans="2:5" x14ac:dyDescent="0.35">
      <c r="B2415" s="221">
        <v>45017</v>
      </c>
      <c r="C2415" s="221" t="s">
        <v>215</v>
      </c>
      <c r="D2415" s="222" t="s">
        <v>106</v>
      </c>
      <c r="E2415" s="218">
        <f t="shared" si="28"/>
        <v>89</v>
      </c>
    </row>
    <row r="2416" spans="2:5" x14ac:dyDescent="0.35">
      <c r="B2416" s="221">
        <v>45017</v>
      </c>
      <c r="C2416" s="221" t="s">
        <v>215</v>
      </c>
      <c r="D2416" s="222" t="s">
        <v>107</v>
      </c>
      <c r="E2416" s="218">
        <f t="shared" si="28"/>
        <v>92</v>
      </c>
    </row>
    <row r="2417" spans="2:5" x14ac:dyDescent="0.35">
      <c r="B2417" s="221">
        <v>45017</v>
      </c>
      <c r="C2417" s="221" t="s">
        <v>215</v>
      </c>
      <c r="D2417" s="222" t="s">
        <v>108</v>
      </c>
      <c r="E2417" s="218">
        <f t="shared" si="28"/>
        <v>93</v>
      </c>
    </row>
    <row r="2418" spans="2:5" x14ac:dyDescent="0.35">
      <c r="B2418" s="221">
        <v>45017</v>
      </c>
      <c r="C2418" s="221" t="s">
        <v>215</v>
      </c>
      <c r="D2418" s="222" t="s">
        <v>109</v>
      </c>
      <c r="E2418" s="218">
        <f t="shared" si="28"/>
        <v>109</v>
      </c>
    </row>
    <row r="2419" spans="2:5" x14ac:dyDescent="0.35">
      <c r="B2419" s="221">
        <v>45047</v>
      </c>
      <c r="C2419" s="221" t="s">
        <v>215</v>
      </c>
      <c r="D2419" s="222" t="s">
        <v>16</v>
      </c>
      <c r="E2419" s="218">
        <f t="shared" si="28"/>
        <v>178</v>
      </c>
    </row>
    <row r="2420" spans="2:5" x14ac:dyDescent="0.35">
      <c r="B2420" s="221">
        <v>45047</v>
      </c>
      <c r="C2420" s="221" t="s">
        <v>215</v>
      </c>
      <c r="D2420" s="222" t="s">
        <v>106</v>
      </c>
      <c r="E2420" s="218">
        <f t="shared" si="28"/>
        <v>88</v>
      </c>
    </row>
    <row r="2421" spans="2:5" x14ac:dyDescent="0.35">
      <c r="B2421" s="221">
        <v>45047</v>
      </c>
      <c r="C2421" s="221" t="s">
        <v>215</v>
      </c>
      <c r="D2421" s="222" t="s">
        <v>107</v>
      </c>
      <c r="E2421" s="218">
        <f t="shared" si="28"/>
        <v>96</v>
      </c>
    </row>
    <row r="2422" spans="2:5" x14ac:dyDescent="0.35">
      <c r="B2422" s="221">
        <v>45047</v>
      </c>
      <c r="C2422" s="221" t="s">
        <v>215</v>
      </c>
      <c r="D2422" s="222" t="s">
        <v>108</v>
      </c>
      <c r="E2422" s="218">
        <f t="shared" si="28"/>
        <v>95</v>
      </c>
    </row>
    <row r="2423" spans="2:5" x14ac:dyDescent="0.35">
      <c r="B2423" s="221">
        <v>45047</v>
      </c>
      <c r="C2423" s="221" t="s">
        <v>215</v>
      </c>
      <c r="D2423" s="222" t="s">
        <v>109</v>
      </c>
      <c r="E2423" s="218">
        <f t="shared" si="28"/>
        <v>113</v>
      </c>
    </row>
    <row r="2424" spans="2:5" x14ac:dyDescent="0.35">
      <c r="B2424" s="221">
        <v>45078</v>
      </c>
      <c r="C2424" s="221" t="s">
        <v>215</v>
      </c>
      <c r="D2424" s="222" t="s">
        <v>16</v>
      </c>
      <c r="E2424" s="218">
        <f t="shared" si="28"/>
        <v>178</v>
      </c>
    </row>
    <row r="2425" spans="2:5" x14ac:dyDescent="0.35">
      <c r="B2425" s="221">
        <v>45078</v>
      </c>
      <c r="C2425" s="221" t="s">
        <v>215</v>
      </c>
      <c r="D2425" s="222" t="s">
        <v>106</v>
      </c>
      <c r="E2425" s="218">
        <f t="shared" si="28"/>
        <v>89</v>
      </c>
    </row>
    <row r="2426" spans="2:5" x14ac:dyDescent="0.35">
      <c r="B2426" s="221">
        <v>45078</v>
      </c>
      <c r="C2426" s="221" t="s">
        <v>215</v>
      </c>
      <c r="D2426" s="222" t="s">
        <v>107</v>
      </c>
      <c r="E2426" s="218">
        <f t="shared" si="28"/>
        <v>94</v>
      </c>
    </row>
    <row r="2427" spans="2:5" x14ac:dyDescent="0.35">
      <c r="B2427" s="221">
        <v>45078</v>
      </c>
      <c r="C2427" s="221" t="s">
        <v>215</v>
      </c>
      <c r="D2427" s="222" t="s">
        <v>108</v>
      </c>
      <c r="E2427" s="218">
        <f t="shared" si="28"/>
        <v>95</v>
      </c>
    </row>
    <row r="2428" spans="2:5" x14ac:dyDescent="0.35">
      <c r="B2428" s="221">
        <v>45078</v>
      </c>
      <c r="C2428" s="221" t="s">
        <v>215</v>
      </c>
      <c r="D2428" s="222" t="s">
        <v>109</v>
      </c>
      <c r="E2428" s="218">
        <f t="shared" si="28"/>
        <v>115</v>
      </c>
    </row>
    <row r="2429" spans="2:5" x14ac:dyDescent="0.35">
      <c r="B2429" s="221">
        <v>45108</v>
      </c>
      <c r="C2429" s="221" t="s">
        <v>216</v>
      </c>
      <c r="D2429" s="222" t="s">
        <v>16</v>
      </c>
      <c r="E2429" s="218">
        <f t="shared" si="28"/>
        <v>181</v>
      </c>
    </row>
    <row r="2430" spans="2:5" x14ac:dyDescent="0.35">
      <c r="B2430" s="221">
        <v>45108</v>
      </c>
      <c r="C2430" s="221" t="s">
        <v>216</v>
      </c>
      <c r="D2430" s="222" t="s">
        <v>106</v>
      </c>
      <c r="E2430" s="218">
        <f t="shared" si="28"/>
        <v>91</v>
      </c>
    </row>
    <row r="2431" spans="2:5" x14ac:dyDescent="0.35">
      <c r="B2431" s="221">
        <v>45108</v>
      </c>
      <c r="C2431" s="221" t="s">
        <v>216</v>
      </c>
      <c r="D2431" s="222" t="s">
        <v>107</v>
      </c>
      <c r="E2431" s="218">
        <f t="shared" si="28"/>
        <v>92</v>
      </c>
    </row>
    <row r="2432" spans="2:5" x14ac:dyDescent="0.35">
      <c r="B2432" s="221">
        <v>45108</v>
      </c>
      <c r="C2432" s="221" t="s">
        <v>216</v>
      </c>
      <c r="D2432" s="222" t="s">
        <v>108</v>
      </c>
      <c r="E2432" s="218">
        <f t="shared" si="28"/>
        <v>94</v>
      </c>
    </row>
    <row r="2433" spans="2:5" x14ac:dyDescent="0.35">
      <c r="B2433" s="221">
        <v>45108</v>
      </c>
      <c r="C2433" s="221" t="s">
        <v>216</v>
      </c>
      <c r="D2433" s="222" t="s">
        <v>109</v>
      </c>
      <c r="E2433" s="218">
        <f t="shared" si="28"/>
        <v>117</v>
      </c>
    </row>
    <row r="2434" spans="2:5" x14ac:dyDescent="0.35">
      <c r="B2434" s="221">
        <v>45139</v>
      </c>
      <c r="C2434" s="221" t="s">
        <v>216</v>
      </c>
      <c r="D2434" s="222" t="s">
        <v>16</v>
      </c>
      <c r="E2434" s="218">
        <f t="shared" si="28"/>
        <v>180</v>
      </c>
    </row>
    <row r="2435" spans="2:5" x14ac:dyDescent="0.35">
      <c r="B2435" s="221">
        <v>45139</v>
      </c>
      <c r="C2435" s="221" t="s">
        <v>216</v>
      </c>
      <c r="D2435" s="222" t="s">
        <v>106</v>
      </c>
      <c r="E2435" s="218">
        <f t="shared" si="28"/>
        <v>93</v>
      </c>
    </row>
    <row r="2436" spans="2:5" x14ac:dyDescent="0.35">
      <c r="B2436" s="221">
        <v>45139</v>
      </c>
      <c r="C2436" s="221" t="s">
        <v>216</v>
      </c>
      <c r="D2436" s="222" t="s">
        <v>107</v>
      </c>
      <c r="E2436" s="218">
        <f t="shared" si="28"/>
        <v>85</v>
      </c>
    </row>
    <row r="2437" spans="2:5" x14ac:dyDescent="0.35">
      <c r="B2437" s="221">
        <v>45139</v>
      </c>
      <c r="C2437" s="221" t="s">
        <v>216</v>
      </c>
      <c r="D2437" s="222" t="s">
        <v>108</v>
      </c>
      <c r="E2437" s="218">
        <f t="shared" si="28"/>
        <v>98</v>
      </c>
    </row>
    <row r="2438" spans="2:5" x14ac:dyDescent="0.35">
      <c r="B2438" s="221">
        <v>45139</v>
      </c>
      <c r="C2438" s="221" t="s">
        <v>216</v>
      </c>
      <c r="D2438" s="222" t="s">
        <v>109</v>
      </c>
      <c r="E2438" s="218">
        <f t="shared" si="28"/>
        <v>121</v>
      </c>
    </row>
    <row r="2439" spans="2:5" x14ac:dyDescent="0.35">
      <c r="B2439" s="221">
        <v>45170</v>
      </c>
      <c r="C2439" s="221" t="s">
        <v>216</v>
      </c>
      <c r="D2439" s="222" t="s">
        <v>16</v>
      </c>
      <c r="E2439" s="218">
        <f t="shared" si="28"/>
        <v>183</v>
      </c>
    </row>
    <row r="2440" spans="2:5" x14ac:dyDescent="0.35">
      <c r="B2440" s="221">
        <v>45170</v>
      </c>
      <c r="C2440" s="221" t="s">
        <v>216</v>
      </c>
      <c r="D2440" s="222" t="s">
        <v>106</v>
      </c>
      <c r="E2440" s="218">
        <f t="shared" si="28"/>
        <v>96</v>
      </c>
    </row>
    <row r="2441" spans="2:5" x14ac:dyDescent="0.35">
      <c r="B2441" s="221">
        <v>45170</v>
      </c>
      <c r="C2441" s="221" t="s">
        <v>216</v>
      </c>
      <c r="D2441" s="222" t="s">
        <v>107</v>
      </c>
      <c r="E2441" s="218">
        <f t="shared" si="28"/>
        <v>87</v>
      </c>
    </row>
    <row r="2442" spans="2:5" x14ac:dyDescent="0.35">
      <c r="B2442" s="221">
        <v>45170</v>
      </c>
      <c r="C2442" s="221" t="s">
        <v>216</v>
      </c>
      <c r="D2442" s="222" t="s">
        <v>108</v>
      </c>
      <c r="E2442" s="218">
        <f t="shared" si="28"/>
        <v>95</v>
      </c>
    </row>
    <row r="2443" spans="2:5" x14ac:dyDescent="0.35">
      <c r="B2443" s="221">
        <v>45170</v>
      </c>
      <c r="C2443" s="221" t="s">
        <v>216</v>
      </c>
      <c r="D2443" s="222" t="s">
        <v>109</v>
      </c>
      <c r="E2443" s="218">
        <f t="shared" si="28"/>
        <v>125</v>
      </c>
    </row>
    <row r="2444" spans="2:5" x14ac:dyDescent="0.35">
      <c r="B2444" s="221">
        <v>45200</v>
      </c>
      <c r="C2444" s="221" t="s">
        <v>217</v>
      </c>
      <c r="D2444" s="222" t="s">
        <v>16</v>
      </c>
      <c r="E2444" s="218">
        <f t="shared" si="28"/>
        <v>183</v>
      </c>
    </row>
    <row r="2445" spans="2:5" x14ac:dyDescent="0.35">
      <c r="B2445" s="221">
        <v>45200</v>
      </c>
      <c r="C2445" s="221" t="s">
        <v>217</v>
      </c>
      <c r="D2445" s="222" t="s">
        <v>106</v>
      </c>
      <c r="E2445" s="218">
        <f t="shared" si="28"/>
        <v>95</v>
      </c>
    </row>
    <row r="2446" spans="2:5" x14ac:dyDescent="0.35">
      <c r="B2446" s="221">
        <v>45200</v>
      </c>
      <c r="C2446" s="221" t="s">
        <v>217</v>
      </c>
      <c r="D2446" s="222" t="s">
        <v>107</v>
      </c>
      <c r="E2446" s="218">
        <f t="shared" si="28"/>
        <v>89</v>
      </c>
    </row>
    <row r="2447" spans="2:5" x14ac:dyDescent="0.35">
      <c r="B2447" s="221">
        <v>45200</v>
      </c>
      <c r="C2447" s="221" t="s">
        <v>217</v>
      </c>
      <c r="D2447" s="222" t="s">
        <v>108</v>
      </c>
      <c r="E2447" s="218">
        <f t="shared" si="28"/>
        <v>97</v>
      </c>
    </row>
    <row r="2448" spans="2:5" x14ac:dyDescent="0.35">
      <c r="B2448" s="221">
        <v>45200</v>
      </c>
      <c r="C2448" s="221" t="s">
        <v>217</v>
      </c>
      <c r="D2448" s="222" t="s">
        <v>109</v>
      </c>
      <c r="E2448" s="218">
        <f t="shared" si="28"/>
        <v>126</v>
      </c>
    </row>
    <row r="2449" spans="2:5" x14ac:dyDescent="0.35">
      <c r="B2449" s="221">
        <v>45231</v>
      </c>
      <c r="C2449" s="221" t="s">
        <v>217</v>
      </c>
      <c r="D2449" s="222" t="s">
        <v>16</v>
      </c>
      <c r="E2449" s="218">
        <f t="shared" si="28"/>
        <v>184</v>
      </c>
    </row>
    <row r="2450" spans="2:5" x14ac:dyDescent="0.35">
      <c r="B2450" s="221">
        <v>45231</v>
      </c>
      <c r="C2450" s="221" t="s">
        <v>217</v>
      </c>
      <c r="D2450" s="222" t="s">
        <v>106</v>
      </c>
      <c r="E2450" s="218">
        <f t="shared" ref="E2450:E2513" si="29">SUMIFS($E$5:$E$2383,$B$5:$B$2383,$B2450,$A$5:$A$2383,$D2450)</f>
        <v>95</v>
      </c>
    </row>
    <row r="2451" spans="2:5" x14ac:dyDescent="0.35">
      <c r="B2451" s="221">
        <v>45231</v>
      </c>
      <c r="C2451" s="221" t="s">
        <v>217</v>
      </c>
      <c r="D2451" s="222" t="s">
        <v>107</v>
      </c>
      <c r="E2451" s="218">
        <f t="shared" si="29"/>
        <v>94</v>
      </c>
    </row>
    <row r="2452" spans="2:5" x14ac:dyDescent="0.35">
      <c r="B2452" s="221">
        <v>45231</v>
      </c>
      <c r="C2452" s="221" t="s">
        <v>217</v>
      </c>
      <c r="D2452" s="222" t="s">
        <v>108</v>
      </c>
      <c r="E2452" s="218">
        <f t="shared" si="29"/>
        <v>100</v>
      </c>
    </row>
    <row r="2453" spans="2:5" x14ac:dyDescent="0.35">
      <c r="B2453" s="221">
        <v>45231</v>
      </c>
      <c r="C2453" s="221" t="s">
        <v>217</v>
      </c>
      <c r="D2453" s="222" t="s">
        <v>109</v>
      </c>
      <c r="E2453" s="218">
        <f t="shared" si="29"/>
        <v>128</v>
      </c>
    </row>
    <row r="2454" spans="2:5" x14ac:dyDescent="0.35">
      <c r="B2454" s="221">
        <v>45261</v>
      </c>
      <c r="C2454" s="221" t="s">
        <v>217</v>
      </c>
      <c r="D2454" s="222" t="s">
        <v>16</v>
      </c>
      <c r="E2454" s="218">
        <f t="shared" si="29"/>
        <v>183</v>
      </c>
    </row>
    <row r="2455" spans="2:5" x14ac:dyDescent="0.35">
      <c r="B2455" s="221">
        <v>45261</v>
      </c>
      <c r="C2455" s="221" t="s">
        <v>217</v>
      </c>
      <c r="D2455" s="222" t="s">
        <v>106</v>
      </c>
      <c r="E2455" s="218">
        <f t="shared" si="29"/>
        <v>97</v>
      </c>
    </row>
    <row r="2456" spans="2:5" x14ac:dyDescent="0.35">
      <c r="B2456" s="221">
        <v>45261</v>
      </c>
      <c r="C2456" s="221" t="s">
        <v>217</v>
      </c>
      <c r="D2456" s="222" t="s">
        <v>107</v>
      </c>
      <c r="E2456" s="218">
        <f t="shared" si="29"/>
        <v>97</v>
      </c>
    </row>
    <row r="2457" spans="2:5" x14ac:dyDescent="0.35">
      <c r="B2457" s="221">
        <v>45261</v>
      </c>
      <c r="C2457" s="221" t="s">
        <v>217</v>
      </c>
      <c r="D2457" s="222" t="s">
        <v>108</v>
      </c>
      <c r="E2457" s="218">
        <f t="shared" si="29"/>
        <v>105</v>
      </c>
    </row>
    <row r="2458" spans="2:5" x14ac:dyDescent="0.35">
      <c r="B2458" s="221">
        <v>45261</v>
      </c>
      <c r="C2458" s="221" t="s">
        <v>217</v>
      </c>
      <c r="D2458" s="222" t="s">
        <v>109</v>
      </c>
      <c r="E2458" s="218">
        <f t="shared" si="29"/>
        <v>131</v>
      </c>
    </row>
    <row r="2459" spans="2:5" x14ac:dyDescent="0.35">
      <c r="B2459" s="221">
        <v>45292</v>
      </c>
      <c r="C2459" s="221" t="s">
        <v>218</v>
      </c>
      <c r="D2459" s="222" t="s">
        <v>16</v>
      </c>
      <c r="E2459" s="218">
        <f t="shared" si="29"/>
        <v>170</v>
      </c>
    </row>
    <row r="2460" spans="2:5" x14ac:dyDescent="0.35">
      <c r="B2460" s="221">
        <v>45292</v>
      </c>
      <c r="C2460" s="221" t="s">
        <v>218</v>
      </c>
      <c r="D2460" s="222" t="s">
        <v>106</v>
      </c>
      <c r="E2460" s="218">
        <f t="shared" si="29"/>
        <v>93</v>
      </c>
    </row>
    <row r="2461" spans="2:5" x14ac:dyDescent="0.35">
      <c r="B2461" s="221">
        <v>45292</v>
      </c>
      <c r="C2461" s="221" t="s">
        <v>218</v>
      </c>
      <c r="D2461" s="222" t="s">
        <v>107</v>
      </c>
      <c r="E2461" s="218">
        <f t="shared" si="29"/>
        <v>87</v>
      </c>
    </row>
    <row r="2462" spans="2:5" x14ac:dyDescent="0.35">
      <c r="B2462" s="221">
        <v>45292</v>
      </c>
      <c r="C2462" s="221" t="s">
        <v>218</v>
      </c>
      <c r="D2462" s="222" t="s">
        <v>108</v>
      </c>
      <c r="E2462" s="218">
        <f t="shared" si="29"/>
        <v>101</v>
      </c>
    </row>
    <row r="2463" spans="2:5" x14ac:dyDescent="0.35">
      <c r="B2463" s="221">
        <v>45292</v>
      </c>
      <c r="C2463" s="221" t="s">
        <v>218</v>
      </c>
      <c r="D2463" s="222" t="s">
        <v>109</v>
      </c>
      <c r="E2463" s="218">
        <f t="shared" si="29"/>
        <v>124</v>
      </c>
    </row>
    <row r="2464" spans="2:5" x14ac:dyDescent="0.35">
      <c r="B2464" s="221">
        <v>45323</v>
      </c>
      <c r="C2464" s="221" t="s">
        <v>218</v>
      </c>
      <c r="D2464" s="222" t="s">
        <v>16</v>
      </c>
      <c r="E2464" s="218">
        <f t="shared" si="29"/>
        <v>190</v>
      </c>
    </row>
    <row r="2465" spans="2:5" x14ac:dyDescent="0.35">
      <c r="B2465" s="221">
        <v>45323</v>
      </c>
      <c r="C2465" s="221" t="s">
        <v>218</v>
      </c>
      <c r="D2465" s="222" t="s">
        <v>106</v>
      </c>
      <c r="E2465" s="218">
        <f t="shared" si="29"/>
        <v>99</v>
      </c>
    </row>
    <row r="2466" spans="2:5" x14ac:dyDescent="0.35">
      <c r="B2466" s="221">
        <v>45323</v>
      </c>
      <c r="C2466" s="221" t="s">
        <v>218</v>
      </c>
      <c r="D2466" s="222" t="s">
        <v>107</v>
      </c>
      <c r="E2466" s="218">
        <f t="shared" si="29"/>
        <v>93</v>
      </c>
    </row>
    <row r="2467" spans="2:5" x14ac:dyDescent="0.35">
      <c r="B2467" s="221">
        <v>45323</v>
      </c>
      <c r="C2467" s="221" t="s">
        <v>218</v>
      </c>
      <c r="D2467" s="222" t="s">
        <v>108</v>
      </c>
      <c r="E2467" s="218">
        <f t="shared" si="29"/>
        <v>104</v>
      </c>
    </row>
    <row r="2468" spans="2:5" x14ac:dyDescent="0.35">
      <c r="B2468" s="221">
        <v>45323</v>
      </c>
      <c r="C2468" s="221" t="s">
        <v>218</v>
      </c>
      <c r="D2468" s="222" t="s">
        <v>109</v>
      </c>
      <c r="E2468" s="218">
        <f t="shared" si="29"/>
        <v>140</v>
      </c>
    </row>
    <row r="2469" spans="2:5" x14ac:dyDescent="0.35">
      <c r="B2469" s="221">
        <v>45352</v>
      </c>
      <c r="C2469" s="221" t="s">
        <v>218</v>
      </c>
      <c r="D2469" s="222" t="s">
        <v>16</v>
      </c>
      <c r="E2469" s="218">
        <f t="shared" si="29"/>
        <v>184</v>
      </c>
    </row>
    <row r="2470" spans="2:5" x14ac:dyDescent="0.35">
      <c r="B2470" s="221">
        <v>45352</v>
      </c>
      <c r="C2470" s="221" t="s">
        <v>218</v>
      </c>
      <c r="D2470" s="222" t="s">
        <v>106</v>
      </c>
      <c r="E2470" s="218">
        <f t="shared" si="29"/>
        <v>98</v>
      </c>
    </row>
    <row r="2471" spans="2:5" x14ac:dyDescent="0.35">
      <c r="B2471" s="221">
        <v>45352</v>
      </c>
      <c r="C2471" s="221" t="s">
        <v>218</v>
      </c>
      <c r="D2471" s="222" t="s">
        <v>107</v>
      </c>
      <c r="E2471" s="218">
        <f t="shared" si="29"/>
        <v>86</v>
      </c>
    </row>
    <row r="2472" spans="2:5" x14ac:dyDescent="0.35">
      <c r="B2472" s="221">
        <v>45352</v>
      </c>
      <c r="C2472" s="221" t="s">
        <v>218</v>
      </c>
      <c r="D2472" s="222" t="s">
        <v>108</v>
      </c>
      <c r="E2472" s="218">
        <f t="shared" si="29"/>
        <v>104</v>
      </c>
    </row>
    <row r="2473" spans="2:5" x14ac:dyDescent="0.35">
      <c r="B2473" s="221">
        <v>45352</v>
      </c>
      <c r="C2473" s="221" t="s">
        <v>218</v>
      </c>
      <c r="D2473" s="222" t="s">
        <v>109</v>
      </c>
      <c r="E2473" s="218">
        <f t="shared" si="29"/>
        <v>139</v>
      </c>
    </row>
    <row r="2474" spans="2:5" x14ac:dyDescent="0.35">
      <c r="B2474" s="221">
        <v>45383</v>
      </c>
      <c r="C2474" s="221" t="s">
        <v>219</v>
      </c>
      <c r="D2474" s="222" t="s">
        <v>16</v>
      </c>
      <c r="E2474" s="218">
        <f t="shared" si="29"/>
        <v>185</v>
      </c>
    </row>
    <row r="2475" spans="2:5" x14ac:dyDescent="0.35">
      <c r="B2475" s="221">
        <v>45383</v>
      </c>
      <c r="C2475" s="221" t="s">
        <v>219</v>
      </c>
      <c r="D2475" s="222" t="s">
        <v>106</v>
      </c>
      <c r="E2475" s="218">
        <f t="shared" si="29"/>
        <v>96</v>
      </c>
    </row>
    <row r="2476" spans="2:5" x14ac:dyDescent="0.35">
      <c r="B2476" s="221">
        <v>45383</v>
      </c>
      <c r="C2476" s="221" t="s">
        <v>219</v>
      </c>
      <c r="D2476" s="222" t="s">
        <v>107</v>
      </c>
      <c r="E2476" s="218">
        <f t="shared" si="29"/>
        <v>90</v>
      </c>
    </row>
    <row r="2477" spans="2:5" x14ac:dyDescent="0.35">
      <c r="B2477" s="221">
        <v>45383</v>
      </c>
      <c r="C2477" s="221" t="s">
        <v>219</v>
      </c>
      <c r="D2477" s="222" t="s">
        <v>108</v>
      </c>
      <c r="E2477" s="218">
        <f t="shared" si="29"/>
        <v>102</v>
      </c>
    </row>
    <row r="2478" spans="2:5" x14ac:dyDescent="0.35">
      <c r="B2478" s="221">
        <v>45383</v>
      </c>
      <c r="C2478" s="221" t="s">
        <v>219</v>
      </c>
      <c r="D2478" s="222" t="s">
        <v>109</v>
      </c>
      <c r="E2478" s="218">
        <f t="shared" si="29"/>
        <v>143</v>
      </c>
    </row>
    <row r="2479" spans="2:5" x14ac:dyDescent="0.35">
      <c r="B2479" s="221">
        <v>45413</v>
      </c>
      <c r="C2479" s="221" t="s">
        <v>219</v>
      </c>
      <c r="D2479" s="222" t="s">
        <v>16</v>
      </c>
      <c r="E2479" s="218">
        <f t="shared" si="29"/>
        <v>182</v>
      </c>
    </row>
    <row r="2480" spans="2:5" x14ac:dyDescent="0.35">
      <c r="B2480" s="221">
        <v>45413</v>
      </c>
      <c r="C2480" s="221" t="s">
        <v>219</v>
      </c>
      <c r="D2480" s="222" t="s">
        <v>106</v>
      </c>
      <c r="E2480" s="218">
        <f t="shared" si="29"/>
        <v>99</v>
      </c>
    </row>
    <row r="2481" spans="2:5" x14ac:dyDescent="0.35">
      <c r="B2481" s="221">
        <v>45413</v>
      </c>
      <c r="C2481" s="221" t="s">
        <v>219</v>
      </c>
      <c r="D2481" s="222" t="s">
        <v>107</v>
      </c>
      <c r="E2481" s="218">
        <f t="shared" si="29"/>
        <v>90</v>
      </c>
    </row>
    <row r="2482" spans="2:5" x14ac:dyDescent="0.35">
      <c r="B2482" s="221">
        <v>45413</v>
      </c>
      <c r="C2482" s="221" t="s">
        <v>219</v>
      </c>
      <c r="D2482" s="222" t="s">
        <v>108</v>
      </c>
      <c r="E2482" s="218">
        <f t="shared" si="29"/>
        <v>105</v>
      </c>
    </row>
    <row r="2483" spans="2:5" x14ac:dyDescent="0.35">
      <c r="B2483" s="221">
        <v>45413</v>
      </c>
      <c r="C2483" s="221" t="s">
        <v>219</v>
      </c>
      <c r="D2483" s="222" t="s">
        <v>109</v>
      </c>
      <c r="E2483" s="218">
        <f t="shared" si="29"/>
        <v>142</v>
      </c>
    </row>
    <row r="2484" spans="2:5" x14ac:dyDescent="0.35">
      <c r="B2484" s="221">
        <v>45444</v>
      </c>
      <c r="C2484" s="221" t="s">
        <v>219</v>
      </c>
      <c r="D2484" s="222" t="s">
        <v>16</v>
      </c>
      <c r="E2484" s="218">
        <f t="shared" si="29"/>
        <v>182</v>
      </c>
    </row>
    <row r="2485" spans="2:5" x14ac:dyDescent="0.35">
      <c r="B2485" s="221">
        <v>45444</v>
      </c>
      <c r="C2485" s="221" t="s">
        <v>219</v>
      </c>
      <c r="D2485" s="222" t="s">
        <v>106</v>
      </c>
      <c r="E2485" s="218">
        <f t="shared" si="29"/>
        <v>97</v>
      </c>
    </row>
    <row r="2486" spans="2:5" x14ac:dyDescent="0.35">
      <c r="B2486" s="221">
        <v>45444</v>
      </c>
      <c r="C2486" s="221" t="s">
        <v>219</v>
      </c>
      <c r="D2486" s="222" t="s">
        <v>107</v>
      </c>
      <c r="E2486" s="218">
        <f t="shared" si="29"/>
        <v>90</v>
      </c>
    </row>
    <row r="2487" spans="2:5" x14ac:dyDescent="0.35">
      <c r="B2487" s="221">
        <v>45444</v>
      </c>
      <c r="C2487" s="221" t="s">
        <v>219</v>
      </c>
      <c r="D2487" s="222" t="s">
        <v>108</v>
      </c>
      <c r="E2487" s="218">
        <f t="shared" si="29"/>
        <v>107</v>
      </c>
    </row>
    <row r="2488" spans="2:5" x14ac:dyDescent="0.35">
      <c r="B2488" s="221">
        <v>45444</v>
      </c>
      <c r="C2488" s="221" t="s">
        <v>219</v>
      </c>
      <c r="D2488" s="222" t="s">
        <v>109</v>
      </c>
      <c r="E2488" s="218">
        <f t="shared" si="29"/>
        <v>141</v>
      </c>
    </row>
    <row r="2489" spans="2:5" x14ac:dyDescent="0.35">
      <c r="B2489" s="221">
        <v>45474</v>
      </c>
      <c r="C2489" s="221" t="s">
        <v>220</v>
      </c>
      <c r="D2489" s="222" t="s">
        <v>16</v>
      </c>
      <c r="E2489" s="218">
        <f t="shared" si="29"/>
        <v>182</v>
      </c>
    </row>
    <row r="2490" spans="2:5" x14ac:dyDescent="0.35">
      <c r="B2490" s="221">
        <v>45474</v>
      </c>
      <c r="C2490" s="221" t="s">
        <v>220</v>
      </c>
      <c r="D2490" s="222" t="s">
        <v>106</v>
      </c>
      <c r="E2490" s="218">
        <f t="shared" si="29"/>
        <v>96</v>
      </c>
    </row>
    <row r="2491" spans="2:5" x14ac:dyDescent="0.35">
      <c r="B2491" s="221">
        <v>45474</v>
      </c>
      <c r="C2491" s="221" t="s">
        <v>220</v>
      </c>
      <c r="D2491" s="222" t="s">
        <v>107</v>
      </c>
      <c r="E2491" s="218">
        <f t="shared" si="29"/>
        <v>90</v>
      </c>
    </row>
    <row r="2492" spans="2:5" x14ac:dyDescent="0.35">
      <c r="B2492" s="221">
        <v>45474</v>
      </c>
      <c r="C2492" s="221" t="s">
        <v>220</v>
      </c>
      <c r="D2492" s="222" t="s">
        <v>108</v>
      </c>
      <c r="E2492" s="218">
        <f t="shared" si="29"/>
        <v>108</v>
      </c>
    </row>
    <row r="2493" spans="2:5" x14ac:dyDescent="0.35">
      <c r="B2493" s="221">
        <v>45474</v>
      </c>
      <c r="C2493" s="221" t="s">
        <v>220</v>
      </c>
      <c r="D2493" s="222" t="s">
        <v>109</v>
      </c>
      <c r="E2493" s="218">
        <f t="shared" si="29"/>
        <v>146</v>
      </c>
    </row>
    <row r="2494" spans="2:5" x14ac:dyDescent="0.35">
      <c r="B2494" s="221">
        <v>45505</v>
      </c>
      <c r="C2494" s="221" t="s">
        <v>220</v>
      </c>
      <c r="D2494" s="222" t="s">
        <v>16</v>
      </c>
      <c r="E2494" s="218">
        <f t="shared" si="29"/>
        <v>175</v>
      </c>
    </row>
    <row r="2495" spans="2:5" x14ac:dyDescent="0.35">
      <c r="B2495" s="221">
        <v>45505</v>
      </c>
      <c r="C2495" s="221" t="s">
        <v>220</v>
      </c>
      <c r="D2495" s="222" t="s">
        <v>106</v>
      </c>
      <c r="E2495" s="218">
        <f t="shared" si="29"/>
        <v>97</v>
      </c>
    </row>
    <row r="2496" spans="2:5" x14ac:dyDescent="0.35">
      <c r="B2496" s="221">
        <v>45505</v>
      </c>
      <c r="C2496" s="221" t="s">
        <v>220</v>
      </c>
      <c r="D2496" s="222" t="s">
        <v>107</v>
      </c>
      <c r="E2496" s="218">
        <f t="shared" si="29"/>
        <v>90</v>
      </c>
    </row>
    <row r="2497" spans="2:5" x14ac:dyDescent="0.35">
      <c r="B2497" s="221">
        <v>45505</v>
      </c>
      <c r="C2497" s="221" t="s">
        <v>220</v>
      </c>
      <c r="D2497" s="222" t="s">
        <v>108</v>
      </c>
      <c r="E2497" s="218">
        <f t="shared" si="29"/>
        <v>105</v>
      </c>
    </row>
    <row r="2498" spans="2:5" x14ac:dyDescent="0.35">
      <c r="B2498" s="221">
        <v>45505</v>
      </c>
      <c r="C2498" s="221" t="s">
        <v>220</v>
      </c>
      <c r="D2498" s="222" t="s">
        <v>109</v>
      </c>
      <c r="E2498" s="218">
        <f t="shared" si="29"/>
        <v>143</v>
      </c>
    </row>
    <row r="2499" spans="2:5" x14ac:dyDescent="0.35">
      <c r="B2499" s="221">
        <v>45536</v>
      </c>
      <c r="C2499" s="221" t="s">
        <v>220</v>
      </c>
      <c r="D2499" s="222" t="s">
        <v>16</v>
      </c>
      <c r="E2499" s="218">
        <f t="shared" si="29"/>
        <v>174.5</v>
      </c>
    </row>
    <row r="2500" spans="2:5" x14ac:dyDescent="0.35">
      <c r="B2500" s="221">
        <v>45536</v>
      </c>
      <c r="C2500" s="221" t="s">
        <v>220</v>
      </c>
      <c r="D2500" s="222" t="s">
        <v>106</v>
      </c>
      <c r="E2500" s="218">
        <f t="shared" si="29"/>
        <v>97</v>
      </c>
    </row>
    <row r="2501" spans="2:5" x14ac:dyDescent="0.35">
      <c r="B2501" s="221">
        <v>45536</v>
      </c>
      <c r="C2501" s="221" t="s">
        <v>220</v>
      </c>
      <c r="D2501" s="222" t="s">
        <v>107</v>
      </c>
      <c r="E2501" s="218">
        <f t="shared" si="29"/>
        <v>88</v>
      </c>
    </row>
    <row r="2502" spans="2:5" x14ac:dyDescent="0.35">
      <c r="B2502" s="221">
        <v>45536</v>
      </c>
      <c r="C2502" s="221" t="s">
        <v>220</v>
      </c>
      <c r="D2502" s="222" t="s">
        <v>108</v>
      </c>
      <c r="E2502" s="218">
        <f t="shared" si="29"/>
        <v>103</v>
      </c>
    </row>
    <row r="2503" spans="2:5" x14ac:dyDescent="0.35">
      <c r="B2503" s="221">
        <v>45536</v>
      </c>
      <c r="C2503" s="221" t="s">
        <v>220</v>
      </c>
      <c r="D2503" s="222" t="s">
        <v>109</v>
      </c>
      <c r="E2503" s="218">
        <f t="shared" si="29"/>
        <v>143</v>
      </c>
    </row>
    <row r="2504" spans="2:5" x14ac:dyDescent="0.35">
      <c r="B2504" s="221">
        <v>45566</v>
      </c>
      <c r="C2504" s="221" t="s">
        <v>221</v>
      </c>
      <c r="D2504" s="222" t="s">
        <v>16</v>
      </c>
      <c r="E2504" s="218">
        <f t="shared" si="29"/>
        <v>172</v>
      </c>
    </row>
    <row r="2505" spans="2:5" x14ac:dyDescent="0.35">
      <c r="B2505" s="221">
        <v>45566</v>
      </c>
      <c r="C2505" s="221" t="s">
        <v>221</v>
      </c>
      <c r="D2505" s="222" t="s">
        <v>106</v>
      </c>
      <c r="E2505" s="218">
        <f t="shared" si="29"/>
        <v>97</v>
      </c>
    </row>
    <row r="2506" spans="2:5" x14ac:dyDescent="0.35">
      <c r="B2506" s="221">
        <v>45566</v>
      </c>
      <c r="C2506" s="221" t="s">
        <v>221</v>
      </c>
      <c r="D2506" s="222" t="s">
        <v>107</v>
      </c>
      <c r="E2506" s="218">
        <f t="shared" si="29"/>
        <v>82</v>
      </c>
    </row>
    <row r="2507" spans="2:5" x14ac:dyDescent="0.35">
      <c r="B2507" s="221">
        <v>45566</v>
      </c>
      <c r="C2507" s="221" t="s">
        <v>221</v>
      </c>
      <c r="D2507" s="222" t="s">
        <v>108</v>
      </c>
      <c r="E2507" s="218">
        <f t="shared" si="29"/>
        <v>100</v>
      </c>
    </row>
    <row r="2508" spans="2:5" x14ac:dyDescent="0.35">
      <c r="B2508" s="221">
        <v>45566</v>
      </c>
      <c r="C2508" s="221" t="s">
        <v>221</v>
      </c>
      <c r="D2508" s="222" t="s">
        <v>109</v>
      </c>
      <c r="E2508" s="218">
        <f t="shared" si="29"/>
        <v>145</v>
      </c>
    </row>
    <row r="2509" spans="2:5" x14ac:dyDescent="0.35">
      <c r="B2509" s="221">
        <v>45597</v>
      </c>
      <c r="C2509" s="221" t="s">
        <v>221</v>
      </c>
      <c r="D2509" s="222" t="s">
        <v>16</v>
      </c>
      <c r="E2509" s="218">
        <f t="shared" si="29"/>
        <v>176</v>
      </c>
    </row>
    <row r="2510" spans="2:5" x14ac:dyDescent="0.35">
      <c r="B2510" s="221">
        <v>45597</v>
      </c>
      <c r="C2510" s="221" t="s">
        <v>221</v>
      </c>
      <c r="D2510" s="222" t="s">
        <v>106</v>
      </c>
      <c r="E2510" s="218">
        <f t="shared" si="29"/>
        <v>97</v>
      </c>
    </row>
    <row r="2511" spans="2:5" x14ac:dyDescent="0.35">
      <c r="B2511" s="221">
        <v>45597</v>
      </c>
      <c r="C2511" s="221" t="s">
        <v>221</v>
      </c>
      <c r="D2511" s="222" t="s">
        <v>107</v>
      </c>
      <c r="E2511" s="218">
        <f t="shared" si="29"/>
        <v>85</v>
      </c>
    </row>
    <row r="2512" spans="2:5" x14ac:dyDescent="0.35">
      <c r="B2512" s="221">
        <v>45597</v>
      </c>
      <c r="C2512" s="221" t="s">
        <v>221</v>
      </c>
      <c r="D2512" s="222" t="s">
        <v>108</v>
      </c>
      <c r="E2512" s="218">
        <f t="shared" si="29"/>
        <v>100</v>
      </c>
    </row>
    <row r="2513" spans="2:5" x14ac:dyDescent="0.35">
      <c r="B2513" s="221">
        <v>45597</v>
      </c>
      <c r="C2513" s="221" t="s">
        <v>221</v>
      </c>
      <c r="D2513" s="222" t="s">
        <v>109</v>
      </c>
      <c r="E2513" s="218">
        <f t="shared" si="29"/>
        <v>146</v>
      </c>
    </row>
    <row r="2514" spans="2:5" x14ac:dyDescent="0.35">
      <c r="B2514" s="221">
        <v>45627</v>
      </c>
      <c r="C2514" s="221" t="s">
        <v>221</v>
      </c>
      <c r="D2514" s="222" t="s">
        <v>16</v>
      </c>
      <c r="E2514" s="218">
        <f t="shared" ref="E2514:E2577" si="30">SUMIFS($E$5:$E$2383,$B$5:$B$2383,$B2514,$A$5:$A$2383,$D2514)</f>
        <v>179</v>
      </c>
    </row>
    <row r="2515" spans="2:5" x14ac:dyDescent="0.35">
      <c r="B2515" s="221">
        <v>45627</v>
      </c>
      <c r="C2515" s="221" t="s">
        <v>221</v>
      </c>
      <c r="D2515" s="222" t="s">
        <v>106</v>
      </c>
      <c r="E2515" s="218">
        <f t="shared" si="30"/>
        <v>94</v>
      </c>
    </row>
    <row r="2516" spans="2:5" x14ac:dyDescent="0.35">
      <c r="B2516" s="221">
        <v>45627</v>
      </c>
      <c r="C2516" s="221" t="s">
        <v>221</v>
      </c>
      <c r="D2516" s="222" t="s">
        <v>107</v>
      </c>
      <c r="E2516" s="218">
        <f t="shared" si="30"/>
        <v>86</v>
      </c>
    </row>
    <row r="2517" spans="2:5" x14ac:dyDescent="0.35">
      <c r="B2517" s="221">
        <v>45627</v>
      </c>
      <c r="C2517" s="221" t="s">
        <v>221</v>
      </c>
      <c r="D2517" s="222" t="s">
        <v>108</v>
      </c>
      <c r="E2517" s="218">
        <f t="shared" si="30"/>
        <v>99</v>
      </c>
    </row>
    <row r="2518" spans="2:5" x14ac:dyDescent="0.35">
      <c r="B2518" s="221">
        <v>45627</v>
      </c>
      <c r="C2518" s="221" t="s">
        <v>221</v>
      </c>
      <c r="D2518" s="222" t="s">
        <v>109</v>
      </c>
      <c r="E2518" s="218">
        <f t="shared" si="30"/>
        <v>149</v>
      </c>
    </row>
    <row r="2519" spans="2:5" x14ac:dyDescent="0.35">
      <c r="B2519" s="221">
        <v>45658</v>
      </c>
      <c r="C2519" s="221" t="s">
        <v>222</v>
      </c>
      <c r="D2519" s="222" t="s">
        <v>16</v>
      </c>
      <c r="E2519" s="218">
        <f t="shared" si="30"/>
        <v>179</v>
      </c>
    </row>
    <row r="2520" spans="2:5" x14ac:dyDescent="0.35">
      <c r="B2520" s="221">
        <v>45658</v>
      </c>
      <c r="C2520" s="221" t="s">
        <v>222</v>
      </c>
      <c r="D2520" s="222" t="s">
        <v>106</v>
      </c>
      <c r="E2520" s="218">
        <f t="shared" si="30"/>
        <v>92</v>
      </c>
    </row>
    <row r="2521" spans="2:5" x14ac:dyDescent="0.35">
      <c r="B2521" s="221">
        <v>45658</v>
      </c>
      <c r="C2521" s="221" t="s">
        <v>222</v>
      </c>
      <c r="D2521" s="222" t="s">
        <v>107</v>
      </c>
      <c r="E2521" s="218">
        <f t="shared" si="30"/>
        <v>90</v>
      </c>
    </row>
    <row r="2522" spans="2:5" x14ac:dyDescent="0.35">
      <c r="B2522" s="221">
        <v>45658</v>
      </c>
      <c r="C2522" s="221" t="s">
        <v>222</v>
      </c>
      <c r="D2522" s="222" t="s">
        <v>108</v>
      </c>
      <c r="E2522" s="218">
        <f t="shared" si="30"/>
        <v>98</v>
      </c>
    </row>
    <row r="2523" spans="2:5" x14ac:dyDescent="0.35">
      <c r="B2523" s="221">
        <v>45658</v>
      </c>
      <c r="C2523" s="221" t="s">
        <v>222</v>
      </c>
      <c r="D2523" s="222" t="s">
        <v>109</v>
      </c>
      <c r="E2523" s="218">
        <f t="shared" si="30"/>
        <v>153</v>
      </c>
    </row>
    <row r="2524" spans="2:5" x14ac:dyDescent="0.35">
      <c r="B2524" s="221">
        <v>45689</v>
      </c>
      <c r="C2524" s="221" t="s">
        <v>222</v>
      </c>
      <c r="D2524" s="222" t="s">
        <v>16</v>
      </c>
      <c r="E2524" s="218">
        <f t="shared" si="30"/>
        <v>183</v>
      </c>
    </row>
    <row r="2525" spans="2:5" x14ac:dyDescent="0.35">
      <c r="B2525" s="221">
        <v>45689</v>
      </c>
      <c r="C2525" s="221" t="s">
        <v>222</v>
      </c>
      <c r="D2525" s="222" t="s">
        <v>106</v>
      </c>
      <c r="E2525" s="218">
        <f t="shared" si="30"/>
        <v>96</v>
      </c>
    </row>
    <row r="2526" spans="2:5" x14ac:dyDescent="0.35">
      <c r="B2526" s="221">
        <v>45689</v>
      </c>
      <c r="C2526" s="221" t="s">
        <v>222</v>
      </c>
      <c r="D2526" s="222" t="s">
        <v>107</v>
      </c>
      <c r="E2526" s="218">
        <f t="shared" si="30"/>
        <v>85.5</v>
      </c>
    </row>
    <row r="2527" spans="2:5" x14ac:dyDescent="0.35">
      <c r="B2527" s="221">
        <v>45689</v>
      </c>
      <c r="C2527" s="221" t="s">
        <v>222</v>
      </c>
      <c r="D2527" s="222" t="s">
        <v>108</v>
      </c>
      <c r="E2527" s="218">
        <f t="shared" si="30"/>
        <v>101</v>
      </c>
    </row>
    <row r="2528" spans="2:5" x14ac:dyDescent="0.35">
      <c r="B2528" s="221">
        <v>45689</v>
      </c>
      <c r="C2528" s="221" t="s">
        <v>222</v>
      </c>
      <c r="D2528" s="222" t="s">
        <v>109</v>
      </c>
      <c r="E2528" s="218">
        <f t="shared" si="30"/>
        <v>154</v>
      </c>
    </row>
    <row r="2529" spans="2:5" x14ac:dyDescent="0.35">
      <c r="B2529" s="221">
        <v>45717</v>
      </c>
      <c r="C2529" s="221" t="s">
        <v>222</v>
      </c>
      <c r="D2529" s="222" t="s">
        <v>16</v>
      </c>
      <c r="E2529" s="218">
        <f t="shared" si="30"/>
        <v>182</v>
      </c>
    </row>
    <row r="2530" spans="2:5" x14ac:dyDescent="0.35">
      <c r="B2530" s="221">
        <v>45717</v>
      </c>
      <c r="C2530" s="221" t="s">
        <v>222</v>
      </c>
      <c r="D2530" s="222" t="s">
        <v>106</v>
      </c>
      <c r="E2530" s="218">
        <f t="shared" si="30"/>
        <v>98</v>
      </c>
    </row>
    <row r="2531" spans="2:5" x14ac:dyDescent="0.35">
      <c r="B2531" s="221">
        <v>45717</v>
      </c>
      <c r="C2531" s="221" t="s">
        <v>222</v>
      </c>
      <c r="D2531" s="222" t="s">
        <v>107</v>
      </c>
      <c r="E2531" s="218">
        <f t="shared" si="30"/>
        <v>84.5</v>
      </c>
    </row>
    <row r="2532" spans="2:5" x14ac:dyDescent="0.35">
      <c r="B2532" s="221">
        <v>45717</v>
      </c>
      <c r="C2532" s="221" t="s">
        <v>222</v>
      </c>
      <c r="D2532" s="222" t="s">
        <v>108</v>
      </c>
      <c r="E2532" s="218">
        <f t="shared" si="30"/>
        <v>104</v>
      </c>
    </row>
    <row r="2533" spans="2:5" x14ac:dyDescent="0.35">
      <c r="B2533" s="221">
        <v>45717</v>
      </c>
      <c r="C2533" s="221" t="s">
        <v>222</v>
      </c>
      <c r="D2533" s="222" t="s">
        <v>109</v>
      </c>
      <c r="E2533" s="218">
        <f t="shared" si="30"/>
        <v>151</v>
      </c>
    </row>
    <row r="2534" spans="2:5" x14ac:dyDescent="0.35">
      <c r="B2534" s="221">
        <v>45748</v>
      </c>
      <c r="C2534" s="221" t="s">
        <v>223</v>
      </c>
      <c r="D2534" s="222" t="s">
        <v>16</v>
      </c>
      <c r="E2534" s="218">
        <f t="shared" si="30"/>
        <v>186</v>
      </c>
    </row>
    <row r="2535" spans="2:5" x14ac:dyDescent="0.35">
      <c r="B2535" s="221">
        <v>45748</v>
      </c>
      <c r="C2535" s="221" t="s">
        <v>223</v>
      </c>
      <c r="D2535" s="222" t="s">
        <v>106</v>
      </c>
      <c r="E2535" s="218">
        <f t="shared" si="30"/>
        <v>100</v>
      </c>
    </row>
    <row r="2536" spans="2:5" x14ac:dyDescent="0.35">
      <c r="B2536" s="221">
        <v>45748</v>
      </c>
      <c r="C2536" s="221" t="s">
        <v>223</v>
      </c>
      <c r="D2536" s="222" t="s">
        <v>107</v>
      </c>
      <c r="E2536" s="218">
        <f t="shared" si="30"/>
        <v>82.5</v>
      </c>
    </row>
    <row r="2537" spans="2:5" x14ac:dyDescent="0.35">
      <c r="B2537" s="221">
        <v>45748</v>
      </c>
      <c r="C2537" s="221" t="s">
        <v>223</v>
      </c>
      <c r="D2537" s="222" t="s">
        <v>108</v>
      </c>
      <c r="E2537" s="218">
        <f t="shared" si="30"/>
        <v>103</v>
      </c>
    </row>
    <row r="2538" spans="2:5" x14ac:dyDescent="0.35">
      <c r="B2538" s="221">
        <v>45748</v>
      </c>
      <c r="C2538" s="221" t="s">
        <v>223</v>
      </c>
      <c r="D2538" s="222" t="s">
        <v>109</v>
      </c>
      <c r="E2538" s="218">
        <f t="shared" si="30"/>
        <v>162</v>
      </c>
    </row>
    <row r="2539" spans="2:5" x14ac:dyDescent="0.35">
      <c r="B2539" s="221">
        <v>45778</v>
      </c>
      <c r="C2539" s="221" t="s">
        <v>223</v>
      </c>
      <c r="D2539" s="222" t="s">
        <v>16</v>
      </c>
      <c r="E2539" s="218">
        <f t="shared" si="30"/>
        <v>188</v>
      </c>
    </row>
    <row r="2540" spans="2:5" x14ac:dyDescent="0.35">
      <c r="B2540" s="221">
        <v>45778</v>
      </c>
      <c r="C2540" s="221" t="s">
        <v>223</v>
      </c>
      <c r="D2540" s="222" t="s">
        <v>106</v>
      </c>
      <c r="E2540" s="218">
        <f t="shared" si="30"/>
        <v>102</v>
      </c>
    </row>
    <row r="2541" spans="2:5" x14ac:dyDescent="0.35">
      <c r="B2541" s="221">
        <v>45778</v>
      </c>
      <c r="C2541" s="221" t="s">
        <v>223</v>
      </c>
      <c r="D2541" s="222" t="s">
        <v>107</v>
      </c>
      <c r="E2541" s="218">
        <f t="shared" si="30"/>
        <v>81.5</v>
      </c>
    </row>
    <row r="2542" spans="2:5" x14ac:dyDescent="0.35">
      <c r="B2542" s="221">
        <v>45778</v>
      </c>
      <c r="C2542" s="221" t="s">
        <v>223</v>
      </c>
      <c r="D2542" s="222" t="s">
        <v>108</v>
      </c>
      <c r="E2542" s="218">
        <f t="shared" si="30"/>
        <v>101</v>
      </c>
    </row>
    <row r="2543" spans="2:5" x14ac:dyDescent="0.35">
      <c r="B2543" s="221">
        <v>45778</v>
      </c>
      <c r="C2543" s="221" t="s">
        <v>223</v>
      </c>
      <c r="D2543" s="222" t="s">
        <v>109</v>
      </c>
      <c r="E2543" s="218">
        <f t="shared" si="30"/>
        <v>163</v>
      </c>
    </row>
    <row r="2544" spans="2:5" x14ac:dyDescent="0.35">
      <c r="B2544" s="221">
        <v>45809</v>
      </c>
      <c r="C2544" s="221" t="s">
        <v>223</v>
      </c>
      <c r="D2544" s="222" t="s">
        <v>16</v>
      </c>
      <c r="E2544" s="218">
        <f t="shared" si="30"/>
        <v>182</v>
      </c>
    </row>
    <row r="2545" spans="2:5" x14ac:dyDescent="0.35">
      <c r="B2545" s="221">
        <v>45809</v>
      </c>
      <c r="C2545" s="221" t="s">
        <v>223</v>
      </c>
      <c r="D2545" s="222" t="s">
        <v>106</v>
      </c>
      <c r="E2545" s="218">
        <f t="shared" si="30"/>
        <v>104</v>
      </c>
    </row>
    <row r="2546" spans="2:5" x14ac:dyDescent="0.35">
      <c r="B2546" s="221">
        <v>45809</v>
      </c>
      <c r="C2546" s="221" t="s">
        <v>223</v>
      </c>
      <c r="D2546" s="222" t="s">
        <v>107</v>
      </c>
      <c r="E2546" s="218">
        <f t="shared" si="30"/>
        <v>77.5</v>
      </c>
    </row>
    <row r="2547" spans="2:5" x14ac:dyDescent="0.35">
      <c r="B2547" s="221">
        <v>45809</v>
      </c>
      <c r="C2547" s="221" t="s">
        <v>223</v>
      </c>
      <c r="D2547" s="222" t="s">
        <v>108</v>
      </c>
      <c r="E2547" s="218">
        <f t="shared" si="30"/>
        <v>102</v>
      </c>
    </row>
    <row r="2548" spans="2:5" x14ac:dyDescent="0.35">
      <c r="B2548" s="221">
        <v>45809</v>
      </c>
      <c r="C2548" s="221" t="s">
        <v>223</v>
      </c>
      <c r="D2548" s="222" t="s">
        <v>109</v>
      </c>
      <c r="E2548" s="218">
        <f t="shared" si="30"/>
        <v>163</v>
      </c>
    </row>
    <row r="2549" spans="2:5" x14ac:dyDescent="0.35">
      <c r="B2549" s="221">
        <v>45839</v>
      </c>
      <c r="C2549" s="221" t="s">
        <v>224</v>
      </c>
      <c r="D2549" s="222" t="s">
        <v>16</v>
      </c>
      <c r="E2549" s="218">
        <f t="shared" si="30"/>
        <v>180</v>
      </c>
    </row>
    <row r="2550" spans="2:5" x14ac:dyDescent="0.35">
      <c r="B2550" s="221">
        <v>45839</v>
      </c>
      <c r="C2550" s="221" t="s">
        <v>224</v>
      </c>
      <c r="D2550" s="222" t="s">
        <v>106</v>
      </c>
      <c r="E2550" s="218">
        <f t="shared" si="30"/>
        <v>104</v>
      </c>
    </row>
    <row r="2551" spans="2:5" x14ac:dyDescent="0.35">
      <c r="B2551" s="221">
        <v>45839</v>
      </c>
      <c r="C2551" s="221" t="s">
        <v>224</v>
      </c>
      <c r="D2551" s="222" t="s">
        <v>107</v>
      </c>
      <c r="E2551" s="218">
        <f t="shared" si="30"/>
        <v>80.5</v>
      </c>
    </row>
    <row r="2552" spans="2:5" x14ac:dyDescent="0.35">
      <c r="B2552" s="221">
        <v>45839</v>
      </c>
      <c r="C2552" s="221" t="s">
        <v>224</v>
      </c>
      <c r="D2552" s="222" t="s">
        <v>108</v>
      </c>
      <c r="E2552" s="218">
        <f t="shared" si="30"/>
        <v>104</v>
      </c>
    </row>
    <row r="2553" spans="2:5" x14ac:dyDescent="0.35">
      <c r="B2553" s="221">
        <v>45839</v>
      </c>
      <c r="C2553" s="221" t="s">
        <v>224</v>
      </c>
      <c r="D2553" s="222" t="s">
        <v>109</v>
      </c>
      <c r="E2553" s="218">
        <f t="shared" si="30"/>
        <v>161</v>
      </c>
    </row>
    <row r="2554" spans="2:5" x14ac:dyDescent="0.35">
      <c r="B2554" s="221">
        <v>45870</v>
      </c>
      <c r="C2554" s="221" t="s">
        <v>224</v>
      </c>
      <c r="D2554" s="222" t="s">
        <v>16</v>
      </c>
      <c r="E2554" s="218">
        <f t="shared" si="30"/>
        <v>183</v>
      </c>
    </row>
    <row r="2555" spans="2:5" x14ac:dyDescent="0.35">
      <c r="B2555" s="221">
        <v>45870</v>
      </c>
      <c r="C2555" s="221" t="s">
        <v>224</v>
      </c>
      <c r="D2555" s="222" t="s">
        <v>106</v>
      </c>
      <c r="E2555" s="218">
        <f t="shared" si="30"/>
        <v>102</v>
      </c>
    </row>
    <row r="2556" spans="2:5" x14ac:dyDescent="0.35">
      <c r="B2556" s="221">
        <v>45870</v>
      </c>
      <c r="C2556" s="221" t="s">
        <v>224</v>
      </c>
      <c r="D2556" s="222" t="s">
        <v>107</v>
      </c>
      <c r="E2556" s="218">
        <f t="shared" si="30"/>
        <v>79.5</v>
      </c>
    </row>
    <row r="2557" spans="2:5" x14ac:dyDescent="0.35">
      <c r="B2557" s="221">
        <v>45870</v>
      </c>
      <c r="C2557" s="221" t="s">
        <v>224</v>
      </c>
      <c r="D2557" s="222" t="s">
        <v>108</v>
      </c>
      <c r="E2557" s="218">
        <f t="shared" si="30"/>
        <v>105</v>
      </c>
    </row>
    <row r="2558" spans="2:5" x14ac:dyDescent="0.35">
      <c r="B2558" s="221">
        <v>45870</v>
      </c>
      <c r="C2558" s="221" t="s">
        <v>224</v>
      </c>
      <c r="D2558" s="222" t="s">
        <v>109</v>
      </c>
      <c r="E2558" s="218">
        <f t="shared" si="30"/>
        <v>155</v>
      </c>
    </row>
    <row r="2559" spans="2:5" x14ac:dyDescent="0.35">
      <c r="B2559" s="221">
        <v>45901</v>
      </c>
      <c r="C2559" s="221" t="s">
        <v>224</v>
      </c>
      <c r="D2559" s="222" t="s">
        <v>16</v>
      </c>
      <c r="E2559" s="218">
        <f t="shared" si="30"/>
        <v>175</v>
      </c>
    </row>
    <row r="2560" spans="2:5" x14ac:dyDescent="0.35">
      <c r="B2560" s="221">
        <v>45901</v>
      </c>
      <c r="C2560" s="221" t="s">
        <v>224</v>
      </c>
      <c r="D2560" s="222" t="s">
        <v>106</v>
      </c>
      <c r="E2560" s="218">
        <f t="shared" si="30"/>
        <v>100</v>
      </c>
    </row>
    <row r="2561" spans="2:5" x14ac:dyDescent="0.35">
      <c r="B2561" s="221">
        <v>45901</v>
      </c>
      <c r="C2561" s="221" t="s">
        <v>224</v>
      </c>
      <c r="D2561" s="222" t="s">
        <v>107</v>
      </c>
      <c r="E2561" s="218">
        <f t="shared" si="30"/>
        <v>77.5</v>
      </c>
    </row>
    <row r="2562" spans="2:5" x14ac:dyDescent="0.35">
      <c r="B2562" s="221">
        <v>45901</v>
      </c>
      <c r="C2562" s="221" t="s">
        <v>224</v>
      </c>
      <c r="D2562" s="222" t="s">
        <v>108</v>
      </c>
      <c r="E2562" s="218">
        <f>SUMIFS($E$5:$E$2383,$B$5:$B$2383,$B2562,$A$5:$A$2383,$D2562)</f>
        <v>109</v>
      </c>
    </row>
    <row r="2563" spans="2:5" x14ac:dyDescent="0.35">
      <c r="B2563" s="221">
        <v>45901</v>
      </c>
      <c r="C2563" s="221" t="s">
        <v>224</v>
      </c>
      <c r="D2563" s="222" t="s">
        <v>109</v>
      </c>
      <c r="E2563" s="218">
        <f t="shared" si="30"/>
        <v>153</v>
      </c>
    </row>
    <row r="2564" spans="2:5" x14ac:dyDescent="0.35">
      <c r="B2564" s="221">
        <v>45931</v>
      </c>
      <c r="C2564" s="221" t="s">
        <v>225</v>
      </c>
      <c r="D2564" s="222" t="s">
        <v>16</v>
      </c>
      <c r="E2564" s="218">
        <f t="shared" si="30"/>
        <v>178</v>
      </c>
    </row>
    <row r="2565" spans="2:5" x14ac:dyDescent="0.35">
      <c r="B2565" s="221">
        <v>45931</v>
      </c>
      <c r="C2565" s="221" t="s">
        <v>225</v>
      </c>
      <c r="D2565" s="222" t="s">
        <v>106</v>
      </c>
      <c r="E2565" s="218">
        <f t="shared" si="30"/>
        <v>97</v>
      </c>
    </row>
    <row r="2566" spans="2:5" x14ac:dyDescent="0.35">
      <c r="B2566" s="221">
        <v>45931</v>
      </c>
      <c r="C2566" s="221" t="s">
        <v>225</v>
      </c>
      <c r="D2566" s="222" t="s">
        <v>107</v>
      </c>
      <c r="E2566" s="218">
        <f t="shared" si="30"/>
        <v>79</v>
      </c>
    </row>
    <row r="2567" spans="2:5" x14ac:dyDescent="0.35">
      <c r="B2567" s="221">
        <v>45931</v>
      </c>
      <c r="C2567" s="221" t="s">
        <v>225</v>
      </c>
      <c r="D2567" s="222" t="s">
        <v>108</v>
      </c>
      <c r="E2567" s="218">
        <f t="shared" si="30"/>
        <v>110</v>
      </c>
    </row>
    <row r="2568" spans="2:5" x14ac:dyDescent="0.35">
      <c r="B2568" s="221">
        <v>45931</v>
      </c>
      <c r="C2568" s="221" t="s">
        <v>225</v>
      </c>
      <c r="D2568" s="222" t="s">
        <v>109</v>
      </c>
      <c r="E2568" s="218">
        <f t="shared" si="30"/>
        <v>155</v>
      </c>
    </row>
    <row r="2569" spans="2:5" x14ac:dyDescent="0.35">
      <c r="B2569" s="221">
        <v>45962</v>
      </c>
      <c r="C2569" s="221" t="s">
        <v>225</v>
      </c>
      <c r="D2569" s="222" t="s">
        <v>16</v>
      </c>
      <c r="E2569" s="218">
        <f t="shared" si="30"/>
        <v>182</v>
      </c>
    </row>
    <row r="2570" spans="2:5" x14ac:dyDescent="0.35">
      <c r="B2570" s="221">
        <v>45962</v>
      </c>
      <c r="C2570" s="221" t="s">
        <v>225</v>
      </c>
      <c r="D2570" s="222" t="s">
        <v>106</v>
      </c>
      <c r="E2570" s="218">
        <f t="shared" si="30"/>
        <v>100</v>
      </c>
    </row>
    <row r="2571" spans="2:5" x14ac:dyDescent="0.35">
      <c r="B2571" s="221">
        <v>45962</v>
      </c>
      <c r="C2571" s="221" t="s">
        <v>225</v>
      </c>
      <c r="D2571" s="222" t="s">
        <v>107</v>
      </c>
      <c r="E2571" s="218">
        <f t="shared" si="30"/>
        <v>78</v>
      </c>
    </row>
    <row r="2572" spans="2:5" x14ac:dyDescent="0.35">
      <c r="B2572" s="221">
        <v>45962</v>
      </c>
      <c r="C2572" s="221" t="s">
        <v>225</v>
      </c>
      <c r="D2572" s="222" t="s">
        <v>108</v>
      </c>
      <c r="E2572" s="218">
        <f t="shared" si="30"/>
        <v>112</v>
      </c>
    </row>
    <row r="2573" spans="2:5" x14ac:dyDescent="0.35">
      <c r="B2573" s="221">
        <v>45962</v>
      </c>
      <c r="C2573" s="221" t="s">
        <v>225</v>
      </c>
      <c r="D2573" s="222" t="s">
        <v>109</v>
      </c>
      <c r="E2573" s="218">
        <f t="shared" si="30"/>
        <v>160</v>
      </c>
    </row>
    <row r="2574" spans="2:5" x14ac:dyDescent="0.35">
      <c r="B2574" s="221">
        <v>45992</v>
      </c>
      <c r="C2574" s="221" t="s">
        <v>225</v>
      </c>
      <c r="D2574" s="222" t="s">
        <v>16</v>
      </c>
      <c r="E2574" s="218">
        <f t="shared" si="30"/>
        <v>183</v>
      </c>
    </row>
    <row r="2575" spans="2:5" x14ac:dyDescent="0.35">
      <c r="B2575" s="221">
        <v>45992</v>
      </c>
      <c r="C2575" s="221" t="s">
        <v>225</v>
      </c>
      <c r="D2575" s="222" t="s">
        <v>106</v>
      </c>
      <c r="E2575" s="218">
        <f t="shared" si="30"/>
        <v>99</v>
      </c>
    </row>
    <row r="2576" spans="2:5" x14ac:dyDescent="0.35">
      <c r="B2576" s="221">
        <v>45992</v>
      </c>
      <c r="C2576" s="221" t="s">
        <v>225</v>
      </c>
      <c r="D2576" s="222" t="s">
        <v>107</v>
      </c>
      <c r="E2576" s="218">
        <f t="shared" si="30"/>
        <v>81</v>
      </c>
    </row>
    <row r="2577" spans="2:5" x14ac:dyDescent="0.35">
      <c r="B2577" s="221">
        <v>45992</v>
      </c>
      <c r="C2577" s="221" t="s">
        <v>225</v>
      </c>
      <c r="D2577" s="222" t="s">
        <v>108</v>
      </c>
      <c r="E2577" s="218">
        <f t="shared" si="30"/>
        <v>116</v>
      </c>
    </row>
    <row r="2578" spans="2:5" x14ac:dyDescent="0.35">
      <c r="B2578" s="221">
        <v>45992</v>
      </c>
      <c r="C2578" s="221" t="s">
        <v>225</v>
      </c>
      <c r="D2578" s="222" t="s">
        <v>109</v>
      </c>
      <c r="E2578" s="218">
        <f t="shared" ref="E2578" si="31">SUMIFS($E$5:$E$2383,$B$5:$B$2383,$B2578,$A$5:$A$2383,$D2578)</f>
        <v>157</v>
      </c>
    </row>
    <row r="2579" spans="2:5" hidden="1" x14ac:dyDescent="0.35">
      <c r="B2579" s="221"/>
      <c r="C2579" s="221"/>
      <c r="D2579" s="222"/>
      <c r="E2579" s="218"/>
    </row>
    <row r="2580" spans="2:5" x14ac:dyDescent="0.35">
      <c r="B2580"/>
      <c r="C2580"/>
    </row>
    <row r="2581" spans="2:5" x14ac:dyDescent="0.35">
      <c r="B2581"/>
      <c r="C2581"/>
    </row>
    <row r="2582" spans="2:5" x14ac:dyDescent="0.35">
      <c r="B2582"/>
      <c r="C2582"/>
    </row>
    <row r="2583" spans="2:5" x14ac:dyDescent="0.35">
      <c r="B2583"/>
      <c r="C2583"/>
    </row>
    <row r="2584" spans="2:5" x14ac:dyDescent="0.35">
      <c r="B2584"/>
      <c r="C2584"/>
    </row>
    <row r="2585" spans="2:5" x14ac:dyDescent="0.35">
      <c r="B2585"/>
      <c r="C2585"/>
    </row>
    <row r="2586" spans="2:5" x14ac:dyDescent="0.35">
      <c r="B2586"/>
      <c r="C2586"/>
    </row>
    <row r="2587" spans="2:5" x14ac:dyDescent="0.35">
      <c r="B2587"/>
      <c r="C2587"/>
    </row>
    <row r="2588" spans="2:5" x14ac:dyDescent="0.35">
      <c r="B2588"/>
      <c r="C2588"/>
    </row>
    <row r="2589" spans="2:5" x14ac:dyDescent="0.35">
      <c r="B2589"/>
      <c r="C2589"/>
    </row>
    <row r="2590" spans="2:5" x14ac:dyDescent="0.35">
      <c r="B2590"/>
      <c r="C2590"/>
    </row>
    <row r="2591" spans="2:5" x14ac:dyDescent="0.35">
      <c r="B2591"/>
      <c r="C2591"/>
    </row>
    <row r="2592" spans="2:5" x14ac:dyDescent="0.35">
      <c r="B2592"/>
      <c r="C2592"/>
    </row>
    <row r="2593" spans="2:3" x14ac:dyDescent="0.35">
      <c r="B2593"/>
      <c r="C2593"/>
    </row>
    <row r="2594" spans="2:3" x14ac:dyDescent="0.35">
      <c r="B2594"/>
      <c r="C2594"/>
    </row>
    <row r="2595" spans="2:3" x14ac:dyDescent="0.35">
      <c r="B2595"/>
      <c r="C2595"/>
    </row>
    <row r="2596" spans="2:3" x14ac:dyDescent="0.35">
      <c r="B2596"/>
      <c r="C2596"/>
    </row>
    <row r="2597" spans="2:3" x14ac:dyDescent="0.35">
      <c r="B2597"/>
      <c r="C2597"/>
    </row>
    <row r="2598" spans="2:3" x14ac:dyDescent="0.35">
      <c r="B2598"/>
      <c r="C2598"/>
    </row>
    <row r="2599" spans="2:3" x14ac:dyDescent="0.35">
      <c r="B2599"/>
      <c r="C2599"/>
    </row>
    <row r="2600" spans="2:3" x14ac:dyDescent="0.35">
      <c r="B2600"/>
      <c r="C2600"/>
    </row>
    <row r="2601" spans="2:3" x14ac:dyDescent="0.35">
      <c r="B2601"/>
      <c r="C2601"/>
    </row>
    <row r="2602" spans="2:3" x14ac:dyDescent="0.35">
      <c r="B2602"/>
      <c r="C2602"/>
    </row>
    <row r="2603" spans="2:3" x14ac:dyDescent="0.35">
      <c r="B2603"/>
      <c r="C2603"/>
    </row>
    <row r="2604" spans="2:3" x14ac:dyDescent="0.35">
      <c r="B2604"/>
      <c r="C2604"/>
    </row>
    <row r="2605" spans="2:3" x14ac:dyDescent="0.35">
      <c r="B2605"/>
      <c r="C2605"/>
    </row>
    <row r="2606" spans="2:3" x14ac:dyDescent="0.35">
      <c r="B2606"/>
      <c r="C2606"/>
    </row>
    <row r="2607" spans="2:3" x14ac:dyDescent="0.35">
      <c r="B2607"/>
      <c r="C2607"/>
    </row>
    <row r="2608" spans="2:3" x14ac:dyDescent="0.35">
      <c r="B2608"/>
      <c r="C2608"/>
    </row>
    <row r="2609" spans="2:3" x14ac:dyDescent="0.35">
      <c r="B2609"/>
      <c r="C2609"/>
    </row>
    <row r="2610" spans="2:3" x14ac:dyDescent="0.35">
      <c r="B2610"/>
      <c r="C2610"/>
    </row>
    <row r="2611" spans="2:3" x14ac:dyDescent="0.35">
      <c r="B2611"/>
      <c r="C2611"/>
    </row>
    <row r="2612" spans="2:3" x14ac:dyDescent="0.35">
      <c r="B2612"/>
      <c r="C2612"/>
    </row>
    <row r="2613" spans="2:3" x14ac:dyDescent="0.35">
      <c r="B2613"/>
      <c r="C2613"/>
    </row>
    <row r="2614" spans="2:3" x14ac:dyDescent="0.35">
      <c r="B2614"/>
      <c r="C2614"/>
    </row>
    <row r="2615" spans="2:3" x14ac:dyDescent="0.35">
      <c r="B2615"/>
      <c r="C2615"/>
    </row>
    <row r="2616" spans="2:3" x14ac:dyDescent="0.35">
      <c r="B2616"/>
      <c r="C2616"/>
    </row>
    <row r="2617" spans="2:3" x14ac:dyDescent="0.35">
      <c r="B2617"/>
      <c r="C2617"/>
    </row>
    <row r="2618" spans="2:3" x14ac:dyDescent="0.35">
      <c r="B2618"/>
      <c r="C2618"/>
    </row>
    <row r="2619" spans="2:3" x14ac:dyDescent="0.35">
      <c r="B2619"/>
      <c r="C2619"/>
    </row>
    <row r="2620" spans="2:3" x14ac:dyDescent="0.35">
      <c r="B2620"/>
      <c r="C2620"/>
    </row>
    <row r="2621" spans="2:3" x14ac:dyDescent="0.35">
      <c r="B2621"/>
      <c r="C2621"/>
    </row>
    <row r="2622" spans="2:3" x14ac:dyDescent="0.35">
      <c r="B2622"/>
      <c r="C2622"/>
    </row>
    <row r="2623" spans="2:3" x14ac:dyDescent="0.35">
      <c r="B2623"/>
      <c r="C2623"/>
    </row>
    <row r="2624" spans="2:3" x14ac:dyDescent="0.35">
      <c r="B2624"/>
      <c r="C2624"/>
    </row>
    <row r="2625" spans="2:3" x14ac:dyDescent="0.35">
      <c r="B2625"/>
      <c r="C2625"/>
    </row>
    <row r="2626" spans="2:3" x14ac:dyDescent="0.35">
      <c r="B2626"/>
      <c r="C2626"/>
    </row>
    <row r="2627" spans="2:3" x14ac:dyDescent="0.35">
      <c r="B2627"/>
      <c r="C2627"/>
    </row>
    <row r="2628" spans="2:3" x14ac:dyDescent="0.35">
      <c r="B2628"/>
      <c r="C2628"/>
    </row>
    <row r="2629" spans="2:3" x14ac:dyDescent="0.35">
      <c r="B2629"/>
      <c r="C2629"/>
    </row>
    <row r="2630" spans="2:3" x14ac:dyDescent="0.35">
      <c r="B2630"/>
      <c r="C2630"/>
    </row>
    <row r="2631" spans="2:3" x14ac:dyDescent="0.35">
      <c r="B2631"/>
      <c r="C2631"/>
    </row>
    <row r="2632" spans="2:3" x14ac:dyDescent="0.35">
      <c r="B2632"/>
      <c r="C2632"/>
    </row>
    <row r="2633" spans="2:3" x14ac:dyDescent="0.35">
      <c r="B2633"/>
      <c r="C2633"/>
    </row>
    <row r="2634" spans="2:3" x14ac:dyDescent="0.35">
      <c r="B2634"/>
      <c r="C2634"/>
    </row>
    <row r="2635" spans="2:3" x14ac:dyDescent="0.35">
      <c r="B2635"/>
      <c r="C2635"/>
    </row>
    <row r="2636" spans="2:3" x14ac:dyDescent="0.35">
      <c r="B2636"/>
      <c r="C2636"/>
    </row>
    <row r="2637" spans="2:3" x14ac:dyDescent="0.35">
      <c r="B2637"/>
      <c r="C2637"/>
    </row>
    <row r="2638" spans="2:3" x14ac:dyDescent="0.35">
      <c r="B2638"/>
      <c r="C2638"/>
    </row>
    <row r="2639" spans="2:3" x14ac:dyDescent="0.35">
      <c r="B2639"/>
      <c r="C2639"/>
    </row>
    <row r="2640" spans="2:3" x14ac:dyDescent="0.35">
      <c r="B2640"/>
      <c r="C2640"/>
    </row>
    <row r="2641" spans="2:3" x14ac:dyDescent="0.35">
      <c r="B2641"/>
      <c r="C2641"/>
    </row>
    <row r="2642" spans="2:3" x14ac:dyDescent="0.35">
      <c r="B2642"/>
      <c r="C2642"/>
    </row>
    <row r="2643" spans="2:3" x14ac:dyDescent="0.35">
      <c r="B2643"/>
      <c r="C2643"/>
    </row>
    <row r="2644" spans="2:3" x14ac:dyDescent="0.35">
      <c r="B2644"/>
      <c r="C2644"/>
    </row>
    <row r="2645" spans="2:3" x14ac:dyDescent="0.35">
      <c r="B2645"/>
      <c r="C2645"/>
    </row>
    <row r="2646" spans="2:3" x14ac:dyDescent="0.35">
      <c r="B2646"/>
      <c r="C2646"/>
    </row>
    <row r="2647" spans="2:3" x14ac:dyDescent="0.35">
      <c r="B2647"/>
      <c r="C2647"/>
    </row>
    <row r="2648" spans="2:3" x14ac:dyDescent="0.35">
      <c r="B2648"/>
      <c r="C2648"/>
    </row>
    <row r="2649" spans="2:3" x14ac:dyDescent="0.35">
      <c r="B2649"/>
      <c r="C2649"/>
    </row>
    <row r="2650" spans="2:3" x14ac:dyDescent="0.35">
      <c r="B2650"/>
      <c r="C2650"/>
    </row>
    <row r="2651" spans="2:3" x14ac:dyDescent="0.35">
      <c r="B2651"/>
      <c r="C2651"/>
    </row>
    <row r="2652" spans="2:3" x14ac:dyDescent="0.35">
      <c r="B2652"/>
      <c r="C2652"/>
    </row>
    <row r="2653" spans="2:3" x14ac:dyDescent="0.35">
      <c r="B2653"/>
      <c r="C2653"/>
    </row>
    <row r="2654" spans="2:3" x14ac:dyDescent="0.35">
      <c r="B2654"/>
      <c r="C2654"/>
    </row>
    <row r="2655" spans="2:3" x14ac:dyDescent="0.35">
      <c r="B2655"/>
      <c r="C2655"/>
    </row>
    <row r="2656" spans="2:3" x14ac:dyDescent="0.35">
      <c r="B2656"/>
      <c r="C2656"/>
    </row>
    <row r="2657" spans="2:3" x14ac:dyDescent="0.35">
      <c r="B2657"/>
      <c r="C2657"/>
    </row>
    <row r="2658" spans="2:3" x14ac:dyDescent="0.35">
      <c r="B2658"/>
      <c r="C2658"/>
    </row>
    <row r="2659" spans="2:3" x14ac:dyDescent="0.35">
      <c r="B2659"/>
      <c r="C2659"/>
    </row>
    <row r="2660" spans="2:3" x14ac:dyDescent="0.35">
      <c r="B2660"/>
      <c r="C2660"/>
    </row>
    <row r="2661" spans="2:3" x14ac:dyDescent="0.35">
      <c r="B2661"/>
      <c r="C2661"/>
    </row>
    <row r="2662" spans="2:3" x14ac:dyDescent="0.35">
      <c r="B2662"/>
      <c r="C2662"/>
    </row>
    <row r="2663" spans="2:3" x14ac:dyDescent="0.35">
      <c r="B2663"/>
      <c r="C2663"/>
    </row>
    <row r="2664" spans="2:3" x14ac:dyDescent="0.35">
      <c r="B2664"/>
      <c r="C2664"/>
    </row>
    <row r="2665" spans="2:3" x14ac:dyDescent="0.35">
      <c r="B2665"/>
      <c r="C2665"/>
    </row>
    <row r="2666" spans="2:3" x14ac:dyDescent="0.35">
      <c r="B2666"/>
      <c r="C2666"/>
    </row>
    <row r="2667" spans="2:3" x14ac:dyDescent="0.35">
      <c r="B2667"/>
      <c r="C2667"/>
    </row>
    <row r="2668" spans="2:3" x14ac:dyDescent="0.35">
      <c r="B2668"/>
      <c r="C2668"/>
    </row>
    <row r="2669" spans="2:3" x14ac:dyDescent="0.35">
      <c r="B2669"/>
      <c r="C2669"/>
    </row>
    <row r="2670" spans="2:3" x14ac:dyDescent="0.35">
      <c r="B2670"/>
      <c r="C2670"/>
    </row>
    <row r="2671" spans="2:3" x14ac:dyDescent="0.35">
      <c r="B2671"/>
      <c r="C2671"/>
    </row>
    <row r="2672" spans="2:3" x14ac:dyDescent="0.35">
      <c r="B2672"/>
      <c r="C2672"/>
    </row>
    <row r="2673" spans="2:3" x14ac:dyDescent="0.35">
      <c r="B2673"/>
      <c r="C2673"/>
    </row>
    <row r="2674" spans="2:3" x14ac:dyDescent="0.35">
      <c r="B2674"/>
      <c r="C2674"/>
    </row>
    <row r="2675" spans="2:3" x14ac:dyDescent="0.35">
      <c r="B2675"/>
      <c r="C2675"/>
    </row>
    <row r="2676" spans="2:3" x14ac:dyDescent="0.35">
      <c r="B2676"/>
      <c r="C2676"/>
    </row>
    <row r="2677" spans="2:3" x14ac:dyDescent="0.35">
      <c r="B2677"/>
      <c r="C2677"/>
    </row>
    <row r="2678" spans="2:3" x14ac:dyDescent="0.35">
      <c r="B2678"/>
      <c r="C2678"/>
    </row>
    <row r="2679" spans="2:3" x14ac:dyDescent="0.35">
      <c r="B2679"/>
      <c r="C2679"/>
    </row>
    <row r="2680" spans="2:3" x14ac:dyDescent="0.35">
      <c r="B2680"/>
      <c r="C2680"/>
    </row>
    <row r="2681" spans="2:3" x14ac:dyDescent="0.35">
      <c r="B2681"/>
      <c r="C2681"/>
    </row>
    <row r="2682" spans="2:3" x14ac:dyDescent="0.35">
      <c r="B2682"/>
      <c r="C2682"/>
    </row>
    <row r="2683" spans="2:3" x14ac:dyDescent="0.35">
      <c r="B2683"/>
      <c r="C2683"/>
    </row>
    <row r="2684" spans="2:3" x14ac:dyDescent="0.35">
      <c r="B2684"/>
      <c r="C2684"/>
    </row>
    <row r="2685" spans="2:3" x14ac:dyDescent="0.35">
      <c r="B2685"/>
      <c r="C2685"/>
    </row>
    <row r="2686" spans="2:3" x14ac:dyDescent="0.35">
      <c r="B2686"/>
      <c r="C2686"/>
    </row>
    <row r="2687" spans="2:3" x14ac:dyDescent="0.35">
      <c r="B2687"/>
      <c r="C2687"/>
    </row>
    <row r="2688" spans="2:3" x14ac:dyDescent="0.35">
      <c r="B2688"/>
      <c r="C2688"/>
    </row>
    <row r="2689" spans="2:3" x14ac:dyDescent="0.35">
      <c r="B2689"/>
      <c r="C2689"/>
    </row>
    <row r="2690" spans="2:3" x14ac:dyDescent="0.35">
      <c r="B2690"/>
      <c r="C2690"/>
    </row>
    <row r="2691" spans="2:3" x14ac:dyDescent="0.35">
      <c r="B2691"/>
      <c r="C2691"/>
    </row>
    <row r="2692" spans="2:3" x14ac:dyDescent="0.35">
      <c r="B2692"/>
      <c r="C2692"/>
    </row>
    <row r="2693" spans="2:3" x14ac:dyDescent="0.35">
      <c r="B2693"/>
      <c r="C2693"/>
    </row>
    <row r="2694" spans="2:3" x14ac:dyDescent="0.35">
      <c r="B2694"/>
      <c r="C2694"/>
    </row>
    <row r="2695" spans="2:3" x14ac:dyDescent="0.35">
      <c r="B2695"/>
      <c r="C2695"/>
    </row>
    <row r="2696" spans="2:3" x14ac:dyDescent="0.35">
      <c r="B2696"/>
      <c r="C2696"/>
    </row>
    <row r="2697" spans="2:3" x14ac:dyDescent="0.35">
      <c r="B2697"/>
      <c r="C2697"/>
    </row>
    <row r="2698" spans="2:3" x14ac:dyDescent="0.35">
      <c r="B2698"/>
      <c r="C2698"/>
    </row>
    <row r="2699" spans="2:3" x14ac:dyDescent="0.35">
      <c r="B2699"/>
      <c r="C2699"/>
    </row>
    <row r="2700" spans="2:3" x14ac:dyDescent="0.35">
      <c r="B2700"/>
      <c r="C2700"/>
    </row>
    <row r="2701" spans="2:3" x14ac:dyDescent="0.35">
      <c r="B2701"/>
      <c r="C2701"/>
    </row>
    <row r="2702" spans="2:3" x14ac:dyDescent="0.35">
      <c r="B2702"/>
      <c r="C2702"/>
    </row>
    <row r="2703" spans="2:3" x14ac:dyDescent="0.35">
      <c r="B2703"/>
      <c r="C2703"/>
    </row>
    <row r="2704" spans="2:3" x14ac:dyDescent="0.35">
      <c r="B2704"/>
      <c r="C2704"/>
    </row>
    <row r="2705" spans="2:3" x14ac:dyDescent="0.35">
      <c r="B2705"/>
      <c r="C2705"/>
    </row>
    <row r="2706" spans="2:3" x14ac:dyDescent="0.35">
      <c r="B2706"/>
      <c r="C2706"/>
    </row>
    <row r="2707" spans="2:3" x14ac:dyDescent="0.35">
      <c r="B2707"/>
      <c r="C2707"/>
    </row>
    <row r="2708" spans="2:3" x14ac:dyDescent="0.35">
      <c r="B2708"/>
      <c r="C2708"/>
    </row>
    <row r="2709" spans="2:3" x14ac:dyDescent="0.35">
      <c r="B2709"/>
      <c r="C2709"/>
    </row>
    <row r="2710" spans="2:3" x14ac:dyDescent="0.35">
      <c r="B2710"/>
      <c r="C2710"/>
    </row>
    <row r="2711" spans="2:3" x14ac:dyDescent="0.35">
      <c r="B2711"/>
      <c r="C2711"/>
    </row>
    <row r="2712" spans="2:3" x14ac:dyDescent="0.35">
      <c r="B2712"/>
      <c r="C2712"/>
    </row>
    <row r="2713" spans="2:3" x14ac:dyDescent="0.35">
      <c r="B2713"/>
      <c r="C2713"/>
    </row>
    <row r="2714" spans="2:3" x14ac:dyDescent="0.35">
      <c r="B2714"/>
      <c r="C2714"/>
    </row>
    <row r="2715" spans="2:3" x14ac:dyDescent="0.35">
      <c r="B2715"/>
      <c r="C2715"/>
    </row>
    <row r="2716" spans="2:3" x14ac:dyDescent="0.35">
      <c r="B2716"/>
      <c r="C2716"/>
    </row>
    <row r="2717" spans="2:3" x14ac:dyDescent="0.35">
      <c r="B2717"/>
      <c r="C2717"/>
    </row>
    <row r="2718" spans="2:3" x14ac:dyDescent="0.35">
      <c r="B2718"/>
      <c r="C2718"/>
    </row>
    <row r="2719" spans="2:3" x14ac:dyDescent="0.35">
      <c r="B2719"/>
      <c r="C2719"/>
    </row>
    <row r="2720" spans="2:3" x14ac:dyDescent="0.35">
      <c r="B2720"/>
      <c r="C2720"/>
    </row>
    <row r="2721" spans="2:3" x14ac:dyDescent="0.35">
      <c r="B2721"/>
      <c r="C2721"/>
    </row>
    <row r="2722" spans="2:3" x14ac:dyDescent="0.35">
      <c r="B2722"/>
      <c r="C2722"/>
    </row>
    <row r="2723" spans="2:3" x14ac:dyDescent="0.35">
      <c r="B2723"/>
      <c r="C2723"/>
    </row>
    <row r="2724" spans="2:3" x14ac:dyDescent="0.35">
      <c r="B2724"/>
      <c r="C2724"/>
    </row>
    <row r="2725" spans="2:3" x14ac:dyDescent="0.35">
      <c r="B2725"/>
      <c r="C2725"/>
    </row>
    <row r="2726" spans="2:3" x14ac:dyDescent="0.35">
      <c r="B2726"/>
      <c r="C2726"/>
    </row>
    <row r="2727" spans="2:3" x14ac:dyDescent="0.35">
      <c r="B2727"/>
      <c r="C2727"/>
    </row>
    <row r="2728" spans="2:3" x14ac:dyDescent="0.35">
      <c r="B2728"/>
      <c r="C2728"/>
    </row>
    <row r="2729" spans="2:3" x14ac:dyDescent="0.35">
      <c r="B2729"/>
      <c r="C2729"/>
    </row>
    <row r="2730" spans="2:3" x14ac:dyDescent="0.35">
      <c r="B2730"/>
      <c r="C2730"/>
    </row>
    <row r="2731" spans="2:3" x14ac:dyDescent="0.35">
      <c r="B2731"/>
      <c r="C2731"/>
    </row>
    <row r="2732" spans="2:3" x14ac:dyDescent="0.35">
      <c r="B2732"/>
      <c r="C2732"/>
    </row>
    <row r="2733" spans="2:3" x14ac:dyDescent="0.35">
      <c r="B2733"/>
      <c r="C2733"/>
    </row>
    <row r="2734" spans="2:3" x14ac:dyDescent="0.35">
      <c r="B2734"/>
      <c r="C2734"/>
    </row>
    <row r="2735" spans="2:3" x14ac:dyDescent="0.35">
      <c r="B2735"/>
      <c r="C2735"/>
    </row>
    <row r="2736" spans="2:3" x14ac:dyDescent="0.35">
      <c r="B2736"/>
      <c r="C2736"/>
    </row>
    <row r="2737" spans="2:3" x14ac:dyDescent="0.35">
      <c r="B2737"/>
      <c r="C2737"/>
    </row>
    <row r="2738" spans="2:3" x14ac:dyDescent="0.35">
      <c r="B2738"/>
      <c r="C2738"/>
    </row>
    <row r="2739" spans="2:3" x14ac:dyDescent="0.35">
      <c r="B2739"/>
      <c r="C2739"/>
    </row>
    <row r="2740" spans="2:3" x14ac:dyDescent="0.35">
      <c r="B2740"/>
      <c r="C2740"/>
    </row>
    <row r="2741" spans="2:3" x14ac:dyDescent="0.35">
      <c r="B2741"/>
      <c r="C2741"/>
    </row>
    <row r="2742" spans="2:3" x14ac:dyDescent="0.35">
      <c r="B2742"/>
      <c r="C2742"/>
    </row>
    <row r="2743" spans="2:3" x14ac:dyDescent="0.35">
      <c r="B2743"/>
      <c r="C2743"/>
    </row>
    <row r="2744" spans="2:3" x14ac:dyDescent="0.35">
      <c r="B2744"/>
      <c r="C2744"/>
    </row>
    <row r="2745" spans="2:3" x14ac:dyDescent="0.35">
      <c r="B2745"/>
      <c r="C2745"/>
    </row>
    <row r="2746" spans="2:3" x14ac:dyDescent="0.35">
      <c r="B2746"/>
      <c r="C2746"/>
    </row>
    <row r="2747" spans="2:3" x14ac:dyDescent="0.35">
      <c r="B2747"/>
      <c r="C2747"/>
    </row>
    <row r="2748" spans="2:3" x14ac:dyDescent="0.35">
      <c r="B2748"/>
      <c r="C2748"/>
    </row>
    <row r="2749" spans="2:3" x14ac:dyDescent="0.35">
      <c r="B2749"/>
      <c r="C2749"/>
    </row>
    <row r="2750" spans="2:3" x14ac:dyDescent="0.35">
      <c r="B2750"/>
      <c r="C2750"/>
    </row>
    <row r="2751" spans="2:3" x14ac:dyDescent="0.35">
      <c r="B2751"/>
      <c r="C2751"/>
    </row>
    <row r="2752" spans="2:3" x14ac:dyDescent="0.35">
      <c r="B2752"/>
      <c r="C2752"/>
    </row>
    <row r="2753" spans="2:3" x14ac:dyDescent="0.35">
      <c r="B2753"/>
      <c r="C2753"/>
    </row>
    <row r="2754" spans="2:3" x14ac:dyDescent="0.35">
      <c r="B2754"/>
      <c r="C2754"/>
    </row>
    <row r="2755" spans="2:3" x14ac:dyDescent="0.35">
      <c r="B2755"/>
      <c r="C2755"/>
    </row>
    <row r="2756" spans="2:3" x14ac:dyDescent="0.35">
      <c r="B2756"/>
      <c r="C2756"/>
    </row>
    <row r="2757" spans="2:3" x14ac:dyDescent="0.35">
      <c r="B2757"/>
      <c r="C2757"/>
    </row>
    <row r="2758" spans="2:3" x14ac:dyDescent="0.35">
      <c r="B2758"/>
      <c r="C2758"/>
    </row>
    <row r="2759" spans="2:3" x14ac:dyDescent="0.35">
      <c r="B2759"/>
      <c r="C2759"/>
    </row>
    <row r="2760" spans="2:3" x14ac:dyDescent="0.35">
      <c r="B2760"/>
      <c r="C2760"/>
    </row>
    <row r="2761" spans="2:3" x14ac:dyDescent="0.35">
      <c r="B2761"/>
      <c r="C2761"/>
    </row>
    <row r="2762" spans="2:3" x14ac:dyDescent="0.35">
      <c r="B2762"/>
      <c r="C2762"/>
    </row>
    <row r="2763" spans="2:3" x14ac:dyDescent="0.35">
      <c r="B2763"/>
      <c r="C2763"/>
    </row>
    <row r="2764" spans="2:3" x14ac:dyDescent="0.35">
      <c r="B2764"/>
      <c r="C2764"/>
    </row>
    <row r="2765" spans="2:3" x14ac:dyDescent="0.35">
      <c r="B2765"/>
      <c r="C2765"/>
    </row>
    <row r="2766" spans="2:3" x14ac:dyDescent="0.35">
      <c r="B2766"/>
      <c r="C2766"/>
    </row>
    <row r="2767" spans="2:3" x14ac:dyDescent="0.35">
      <c r="B2767"/>
      <c r="C2767"/>
    </row>
    <row r="2768" spans="2:3" x14ac:dyDescent="0.35">
      <c r="B2768"/>
      <c r="C2768"/>
    </row>
    <row r="2769" spans="2:3" x14ac:dyDescent="0.35">
      <c r="B2769"/>
      <c r="C2769"/>
    </row>
    <row r="2770" spans="2:3" x14ac:dyDescent="0.35">
      <c r="B2770"/>
      <c r="C2770"/>
    </row>
    <row r="2771" spans="2:3" x14ac:dyDescent="0.35">
      <c r="B2771"/>
      <c r="C2771"/>
    </row>
    <row r="2772" spans="2:3" x14ac:dyDescent="0.35">
      <c r="B2772"/>
      <c r="C2772"/>
    </row>
    <row r="2773" spans="2:3" x14ac:dyDescent="0.35">
      <c r="B2773"/>
      <c r="C2773"/>
    </row>
    <row r="2774" spans="2:3" x14ac:dyDescent="0.35">
      <c r="B2774"/>
      <c r="C2774"/>
    </row>
    <row r="2775" spans="2:3" x14ac:dyDescent="0.35">
      <c r="B2775"/>
      <c r="C2775"/>
    </row>
    <row r="2776" spans="2:3" x14ac:dyDescent="0.35">
      <c r="B2776"/>
      <c r="C2776"/>
    </row>
    <row r="2777" spans="2:3" x14ac:dyDescent="0.35">
      <c r="B2777"/>
      <c r="C2777"/>
    </row>
    <row r="2778" spans="2:3" x14ac:dyDescent="0.35">
      <c r="B2778"/>
      <c r="C2778"/>
    </row>
    <row r="2779" spans="2:3" x14ac:dyDescent="0.35">
      <c r="B2779"/>
      <c r="C2779"/>
    </row>
    <row r="2780" spans="2:3" x14ac:dyDescent="0.35">
      <c r="B2780"/>
      <c r="C2780"/>
    </row>
    <row r="2781" spans="2:3" x14ac:dyDescent="0.35">
      <c r="B2781"/>
      <c r="C2781"/>
    </row>
    <row r="2782" spans="2:3" x14ac:dyDescent="0.35">
      <c r="B2782"/>
      <c r="C2782"/>
    </row>
    <row r="2783" spans="2:3" x14ac:dyDescent="0.35">
      <c r="B2783"/>
      <c r="C2783"/>
    </row>
    <row r="2784" spans="2:3" x14ac:dyDescent="0.35">
      <c r="B2784"/>
      <c r="C2784"/>
    </row>
    <row r="2785" spans="2:3" x14ac:dyDescent="0.35">
      <c r="B2785"/>
      <c r="C2785"/>
    </row>
    <row r="2786" spans="2:3" x14ac:dyDescent="0.35">
      <c r="B2786"/>
      <c r="C2786"/>
    </row>
    <row r="2787" spans="2:3" x14ac:dyDescent="0.35">
      <c r="B2787"/>
      <c r="C2787"/>
    </row>
    <row r="2788" spans="2:3" x14ac:dyDescent="0.35">
      <c r="B2788"/>
      <c r="C2788"/>
    </row>
    <row r="2789" spans="2:3" x14ac:dyDescent="0.35">
      <c r="B2789"/>
      <c r="C2789"/>
    </row>
    <row r="2790" spans="2:3" x14ac:dyDescent="0.35">
      <c r="B2790"/>
      <c r="C2790"/>
    </row>
    <row r="2791" spans="2:3" x14ac:dyDescent="0.35">
      <c r="B2791"/>
      <c r="C2791"/>
    </row>
    <row r="2792" spans="2:3" x14ac:dyDescent="0.35">
      <c r="B2792"/>
      <c r="C2792"/>
    </row>
    <row r="2793" spans="2:3" x14ac:dyDescent="0.35">
      <c r="B2793"/>
      <c r="C2793"/>
    </row>
    <row r="2794" spans="2:3" x14ac:dyDescent="0.35">
      <c r="B2794"/>
      <c r="C2794"/>
    </row>
    <row r="2795" spans="2:3" x14ac:dyDescent="0.35">
      <c r="B2795"/>
      <c r="C2795"/>
    </row>
    <row r="2796" spans="2:3" x14ac:dyDescent="0.35">
      <c r="B2796"/>
      <c r="C2796"/>
    </row>
    <row r="2797" spans="2:3" x14ac:dyDescent="0.35">
      <c r="B2797"/>
      <c r="C2797"/>
    </row>
    <row r="2798" spans="2:3" x14ac:dyDescent="0.35">
      <c r="B2798"/>
      <c r="C2798"/>
    </row>
    <row r="2799" spans="2:3" x14ac:dyDescent="0.35">
      <c r="B2799"/>
      <c r="C2799"/>
    </row>
    <row r="2800" spans="2:3" x14ac:dyDescent="0.35">
      <c r="B2800"/>
      <c r="C2800"/>
    </row>
    <row r="2801" spans="2:3" x14ac:dyDescent="0.35">
      <c r="B2801"/>
      <c r="C2801"/>
    </row>
    <row r="2802" spans="2:3" x14ac:dyDescent="0.35">
      <c r="B2802"/>
      <c r="C2802"/>
    </row>
    <row r="2803" spans="2:3" x14ac:dyDescent="0.35">
      <c r="B2803"/>
      <c r="C2803"/>
    </row>
    <row r="2804" spans="2:3" x14ac:dyDescent="0.35">
      <c r="B2804"/>
      <c r="C2804"/>
    </row>
    <row r="2805" spans="2:3" x14ac:dyDescent="0.35">
      <c r="B2805"/>
      <c r="C2805"/>
    </row>
    <row r="2806" spans="2:3" x14ac:dyDescent="0.35">
      <c r="B2806"/>
      <c r="C2806"/>
    </row>
    <row r="2807" spans="2:3" x14ac:dyDescent="0.35">
      <c r="B2807"/>
      <c r="C2807"/>
    </row>
    <row r="2808" spans="2:3" x14ac:dyDescent="0.35">
      <c r="B2808"/>
      <c r="C2808"/>
    </row>
    <row r="2809" spans="2:3" x14ac:dyDescent="0.35">
      <c r="B2809"/>
      <c r="C2809"/>
    </row>
    <row r="2810" spans="2:3" x14ac:dyDescent="0.35">
      <c r="B2810"/>
      <c r="C2810"/>
    </row>
    <row r="2811" spans="2:3" x14ac:dyDescent="0.35">
      <c r="B2811"/>
      <c r="C2811"/>
    </row>
    <row r="2812" spans="2:3" x14ac:dyDescent="0.35">
      <c r="B2812"/>
      <c r="C2812"/>
    </row>
    <row r="2813" spans="2:3" x14ac:dyDescent="0.35">
      <c r="B2813"/>
      <c r="C2813"/>
    </row>
    <row r="2814" spans="2:3" x14ac:dyDescent="0.35">
      <c r="B2814"/>
      <c r="C2814"/>
    </row>
    <row r="2815" spans="2:3" x14ac:dyDescent="0.35">
      <c r="B2815"/>
      <c r="C2815"/>
    </row>
    <row r="2816" spans="2:3" x14ac:dyDescent="0.35">
      <c r="B2816"/>
      <c r="C2816"/>
    </row>
    <row r="2817" spans="2:3" x14ac:dyDescent="0.35">
      <c r="B2817"/>
      <c r="C2817"/>
    </row>
    <row r="2818" spans="2:3" x14ac:dyDescent="0.35">
      <c r="B2818"/>
      <c r="C2818"/>
    </row>
    <row r="2819" spans="2:3" x14ac:dyDescent="0.35">
      <c r="B2819"/>
      <c r="C2819"/>
    </row>
    <row r="2820" spans="2:3" x14ac:dyDescent="0.35">
      <c r="B2820"/>
      <c r="C2820"/>
    </row>
    <row r="2821" spans="2:3" x14ac:dyDescent="0.35">
      <c r="B2821"/>
      <c r="C2821"/>
    </row>
    <row r="2822" spans="2:3" x14ac:dyDescent="0.35">
      <c r="B2822"/>
      <c r="C2822"/>
    </row>
    <row r="2823" spans="2:3" x14ac:dyDescent="0.35">
      <c r="B2823"/>
      <c r="C2823"/>
    </row>
    <row r="2824" spans="2:3" x14ac:dyDescent="0.35">
      <c r="B2824"/>
      <c r="C2824"/>
    </row>
    <row r="2825" spans="2:3" x14ac:dyDescent="0.35">
      <c r="B2825"/>
      <c r="C2825"/>
    </row>
    <row r="2826" spans="2:3" x14ac:dyDescent="0.35">
      <c r="B2826"/>
      <c r="C2826"/>
    </row>
    <row r="2827" spans="2:3" x14ac:dyDescent="0.35">
      <c r="B2827"/>
      <c r="C2827"/>
    </row>
    <row r="2828" spans="2:3" x14ac:dyDescent="0.35">
      <c r="B2828"/>
      <c r="C2828"/>
    </row>
    <row r="2829" spans="2:3" x14ac:dyDescent="0.35">
      <c r="B2829"/>
      <c r="C2829"/>
    </row>
    <row r="2830" spans="2:3" x14ac:dyDescent="0.35">
      <c r="B2830"/>
      <c r="C2830"/>
    </row>
    <row r="2831" spans="2:3" x14ac:dyDescent="0.35">
      <c r="B2831"/>
      <c r="C2831"/>
    </row>
    <row r="2832" spans="2:3" x14ac:dyDescent="0.35">
      <c r="B2832"/>
      <c r="C2832"/>
    </row>
    <row r="2833" spans="2:3" x14ac:dyDescent="0.35">
      <c r="B2833"/>
      <c r="C2833"/>
    </row>
    <row r="2834" spans="2:3" x14ac:dyDescent="0.35">
      <c r="B2834"/>
      <c r="C2834"/>
    </row>
    <row r="2835" spans="2:3" x14ac:dyDescent="0.35">
      <c r="B2835"/>
      <c r="C2835"/>
    </row>
    <row r="2836" spans="2:3" x14ac:dyDescent="0.35">
      <c r="B2836"/>
      <c r="C2836"/>
    </row>
    <row r="2837" spans="2:3" x14ac:dyDescent="0.35">
      <c r="B2837"/>
      <c r="C2837"/>
    </row>
    <row r="2838" spans="2:3" x14ac:dyDescent="0.35">
      <c r="B2838"/>
      <c r="C2838"/>
    </row>
    <row r="2839" spans="2:3" x14ac:dyDescent="0.35">
      <c r="B2839"/>
      <c r="C2839"/>
    </row>
    <row r="2840" spans="2:3" x14ac:dyDescent="0.35">
      <c r="B2840"/>
      <c r="C2840"/>
    </row>
    <row r="2841" spans="2:3" x14ac:dyDescent="0.35">
      <c r="B2841"/>
      <c r="C2841"/>
    </row>
    <row r="2842" spans="2:3" x14ac:dyDescent="0.35">
      <c r="B2842"/>
      <c r="C2842"/>
    </row>
    <row r="2843" spans="2:3" x14ac:dyDescent="0.35">
      <c r="B2843"/>
      <c r="C2843"/>
    </row>
    <row r="2844" spans="2:3" x14ac:dyDescent="0.35">
      <c r="B2844"/>
      <c r="C2844"/>
    </row>
    <row r="2845" spans="2:3" x14ac:dyDescent="0.35">
      <c r="B2845"/>
      <c r="C2845"/>
    </row>
    <row r="2846" spans="2:3" x14ac:dyDescent="0.35">
      <c r="B2846"/>
      <c r="C2846"/>
    </row>
    <row r="2847" spans="2:3" x14ac:dyDescent="0.35">
      <c r="B2847"/>
      <c r="C2847"/>
    </row>
    <row r="2848" spans="2:3" x14ac:dyDescent="0.35">
      <c r="B2848"/>
      <c r="C2848"/>
    </row>
    <row r="2849" spans="2:3" x14ac:dyDescent="0.35">
      <c r="B2849"/>
      <c r="C2849"/>
    </row>
    <row r="2850" spans="2:3" x14ac:dyDescent="0.35">
      <c r="B2850"/>
      <c r="C2850"/>
    </row>
    <row r="2851" spans="2:3" x14ac:dyDescent="0.35">
      <c r="B2851"/>
      <c r="C2851"/>
    </row>
    <row r="2852" spans="2:3" x14ac:dyDescent="0.35">
      <c r="B2852"/>
      <c r="C2852"/>
    </row>
    <row r="2853" spans="2:3" x14ac:dyDescent="0.35">
      <c r="B2853"/>
      <c r="C2853"/>
    </row>
    <row r="2854" spans="2:3" x14ac:dyDescent="0.35">
      <c r="B2854"/>
      <c r="C2854"/>
    </row>
    <row r="2855" spans="2:3" x14ac:dyDescent="0.35">
      <c r="B2855"/>
      <c r="C2855"/>
    </row>
    <row r="2856" spans="2:3" x14ac:dyDescent="0.35">
      <c r="B2856"/>
      <c r="C2856"/>
    </row>
    <row r="2857" spans="2:3" x14ac:dyDescent="0.35">
      <c r="B2857"/>
      <c r="C2857"/>
    </row>
    <row r="2858" spans="2:3" x14ac:dyDescent="0.35">
      <c r="B2858"/>
      <c r="C2858"/>
    </row>
    <row r="2859" spans="2:3" x14ac:dyDescent="0.35">
      <c r="B2859"/>
      <c r="C2859"/>
    </row>
    <row r="2860" spans="2:3" x14ac:dyDescent="0.35">
      <c r="B2860"/>
      <c r="C2860"/>
    </row>
    <row r="2861" spans="2:3" x14ac:dyDescent="0.35">
      <c r="B2861"/>
      <c r="C2861"/>
    </row>
    <row r="2862" spans="2:3" x14ac:dyDescent="0.35">
      <c r="B2862"/>
      <c r="C2862"/>
    </row>
    <row r="2863" spans="2:3" x14ac:dyDescent="0.35">
      <c r="B2863"/>
      <c r="C2863"/>
    </row>
    <row r="2864" spans="2:3" x14ac:dyDescent="0.35">
      <c r="B2864"/>
      <c r="C2864"/>
    </row>
    <row r="2865" spans="2:3" x14ac:dyDescent="0.35">
      <c r="B2865"/>
      <c r="C2865"/>
    </row>
    <row r="2866" spans="2:3" x14ac:dyDescent="0.35">
      <c r="B2866"/>
      <c r="C2866"/>
    </row>
    <row r="2867" spans="2:3" x14ac:dyDescent="0.35">
      <c r="B2867"/>
      <c r="C2867"/>
    </row>
    <row r="2868" spans="2:3" x14ac:dyDescent="0.35">
      <c r="B2868"/>
      <c r="C2868"/>
    </row>
    <row r="2869" spans="2:3" x14ac:dyDescent="0.35">
      <c r="B2869"/>
      <c r="C2869"/>
    </row>
    <row r="2870" spans="2:3" x14ac:dyDescent="0.35">
      <c r="B2870"/>
      <c r="C2870"/>
    </row>
    <row r="2871" spans="2:3" x14ac:dyDescent="0.35">
      <c r="B2871"/>
      <c r="C2871"/>
    </row>
    <row r="2872" spans="2:3" x14ac:dyDescent="0.35">
      <c r="B2872"/>
      <c r="C2872"/>
    </row>
    <row r="2873" spans="2:3" x14ac:dyDescent="0.35">
      <c r="B2873"/>
      <c r="C2873"/>
    </row>
    <row r="2874" spans="2:3" x14ac:dyDescent="0.35">
      <c r="B2874"/>
      <c r="C2874"/>
    </row>
    <row r="2875" spans="2:3" x14ac:dyDescent="0.35">
      <c r="B2875"/>
      <c r="C2875"/>
    </row>
    <row r="2876" spans="2:3" x14ac:dyDescent="0.35">
      <c r="B2876"/>
      <c r="C2876"/>
    </row>
    <row r="2877" spans="2:3" x14ac:dyDescent="0.35">
      <c r="B2877"/>
      <c r="C2877"/>
    </row>
    <row r="2878" spans="2:3" x14ac:dyDescent="0.35">
      <c r="B2878"/>
      <c r="C2878"/>
    </row>
    <row r="2879" spans="2:3" x14ac:dyDescent="0.35">
      <c r="B2879"/>
      <c r="C2879"/>
    </row>
    <row r="2880" spans="2:3" x14ac:dyDescent="0.35">
      <c r="B2880"/>
      <c r="C2880"/>
    </row>
    <row r="2881" spans="2:3" x14ac:dyDescent="0.35">
      <c r="B2881"/>
      <c r="C2881"/>
    </row>
    <row r="2882" spans="2:3" x14ac:dyDescent="0.35">
      <c r="B2882"/>
      <c r="C2882"/>
    </row>
    <row r="2883" spans="2:3" x14ac:dyDescent="0.35">
      <c r="B2883"/>
      <c r="C2883"/>
    </row>
    <row r="2884" spans="2:3" x14ac:dyDescent="0.35">
      <c r="B2884"/>
      <c r="C2884"/>
    </row>
    <row r="2885" spans="2:3" x14ac:dyDescent="0.35">
      <c r="B2885"/>
      <c r="C2885"/>
    </row>
    <row r="2886" spans="2:3" x14ac:dyDescent="0.35">
      <c r="B2886"/>
      <c r="C2886"/>
    </row>
    <row r="2887" spans="2:3" x14ac:dyDescent="0.35">
      <c r="B2887"/>
      <c r="C2887"/>
    </row>
    <row r="2888" spans="2:3" x14ac:dyDescent="0.35">
      <c r="B2888"/>
      <c r="C2888"/>
    </row>
    <row r="2889" spans="2:3" x14ac:dyDescent="0.35">
      <c r="B2889"/>
      <c r="C2889"/>
    </row>
    <row r="2890" spans="2:3" x14ac:dyDescent="0.35">
      <c r="B2890"/>
      <c r="C2890"/>
    </row>
    <row r="2891" spans="2:3" x14ac:dyDescent="0.35">
      <c r="B2891"/>
      <c r="C2891"/>
    </row>
    <row r="2892" spans="2:3" x14ac:dyDescent="0.35">
      <c r="B2892"/>
      <c r="C2892"/>
    </row>
    <row r="2893" spans="2:3" x14ac:dyDescent="0.35">
      <c r="B2893"/>
      <c r="C2893"/>
    </row>
    <row r="2894" spans="2:3" x14ac:dyDescent="0.35">
      <c r="B2894"/>
      <c r="C2894"/>
    </row>
    <row r="2895" spans="2:3" x14ac:dyDescent="0.35">
      <c r="B2895"/>
      <c r="C2895"/>
    </row>
    <row r="2896" spans="2:3" x14ac:dyDescent="0.35">
      <c r="B2896"/>
      <c r="C2896"/>
    </row>
    <row r="2897" spans="2:3" x14ac:dyDescent="0.35">
      <c r="B2897"/>
      <c r="C2897"/>
    </row>
    <row r="2898" spans="2:3" x14ac:dyDescent="0.35">
      <c r="B2898"/>
      <c r="C2898"/>
    </row>
    <row r="2899" spans="2:3" x14ac:dyDescent="0.35">
      <c r="B2899"/>
      <c r="C2899"/>
    </row>
    <row r="2900" spans="2:3" x14ac:dyDescent="0.35">
      <c r="B2900"/>
      <c r="C2900"/>
    </row>
    <row r="2901" spans="2:3" x14ac:dyDescent="0.35">
      <c r="B2901"/>
      <c r="C2901"/>
    </row>
    <row r="2902" spans="2:3" x14ac:dyDescent="0.35">
      <c r="B2902"/>
      <c r="C2902"/>
    </row>
    <row r="2903" spans="2:3" x14ac:dyDescent="0.35">
      <c r="B2903"/>
      <c r="C2903"/>
    </row>
    <row r="2904" spans="2:3" x14ac:dyDescent="0.35">
      <c r="B2904"/>
      <c r="C2904"/>
    </row>
    <row r="2905" spans="2:3" x14ac:dyDescent="0.35">
      <c r="B2905"/>
      <c r="C2905"/>
    </row>
    <row r="2906" spans="2:3" x14ac:dyDescent="0.35">
      <c r="B2906"/>
      <c r="C2906"/>
    </row>
    <row r="2907" spans="2:3" x14ac:dyDescent="0.35">
      <c r="B2907"/>
      <c r="C2907"/>
    </row>
    <row r="2908" spans="2:3" x14ac:dyDescent="0.35">
      <c r="B2908"/>
      <c r="C2908"/>
    </row>
    <row r="2909" spans="2:3" x14ac:dyDescent="0.35">
      <c r="B2909"/>
      <c r="C2909"/>
    </row>
    <row r="2910" spans="2:3" x14ac:dyDescent="0.35">
      <c r="B2910"/>
      <c r="C2910"/>
    </row>
    <row r="2911" spans="2:3" x14ac:dyDescent="0.35">
      <c r="B2911"/>
      <c r="C2911"/>
    </row>
    <row r="2912" spans="2:3" x14ac:dyDescent="0.35">
      <c r="B2912"/>
      <c r="C2912"/>
    </row>
    <row r="2913" spans="2:3" x14ac:dyDescent="0.35">
      <c r="B2913"/>
      <c r="C2913"/>
    </row>
    <row r="2914" spans="2:3" x14ac:dyDescent="0.35">
      <c r="B2914"/>
      <c r="C2914"/>
    </row>
    <row r="2915" spans="2:3" x14ac:dyDescent="0.35">
      <c r="B2915"/>
      <c r="C2915"/>
    </row>
    <row r="2916" spans="2:3" x14ac:dyDescent="0.35">
      <c r="B2916"/>
      <c r="C2916"/>
    </row>
    <row r="2917" spans="2:3" x14ac:dyDescent="0.35">
      <c r="B2917"/>
      <c r="C2917"/>
    </row>
    <row r="2918" spans="2:3" x14ac:dyDescent="0.35">
      <c r="B2918"/>
      <c r="C2918"/>
    </row>
    <row r="2919" spans="2:3" x14ac:dyDescent="0.35">
      <c r="B2919"/>
      <c r="C2919"/>
    </row>
    <row r="2920" spans="2:3" x14ac:dyDescent="0.35">
      <c r="B2920"/>
      <c r="C2920"/>
    </row>
    <row r="2921" spans="2:3" x14ac:dyDescent="0.35">
      <c r="B2921"/>
      <c r="C2921"/>
    </row>
    <row r="2922" spans="2:3" x14ac:dyDescent="0.35">
      <c r="B2922"/>
      <c r="C2922"/>
    </row>
    <row r="2923" spans="2:3" x14ac:dyDescent="0.35">
      <c r="B2923"/>
      <c r="C2923"/>
    </row>
    <row r="2924" spans="2:3" x14ac:dyDescent="0.35">
      <c r="B2924"/>
      <c r="C2924"/>
    </row>
    <row r="2925" spans="2:3" x14ac:dyDescent="0.35">
      <c r="B2925"/>
      <c r="C2925"/>
    </row>
    <row r="2926" spans="2:3" x14ac:dyDescent="0.35">
      <c r="B2926"/>
      <c r="C2926"/>
    </row>
    <row r="2927" spans="2:3" x14ac:dyDescent="0.35">
      <c r="B2927"/>
      <c r="C2927"/>
    </row>
    <row r="2928" spans="2:3" x14ac:dyDescent="0.35">
      <c r="B2928"/>
      <c r="C2928"/>
    </row>
    <row r="2929" spans="2:3" x14ac:dyDescent="0.35">
      <c r="B2929"/>
      <c r="C2929"/>
    </row>
    <row r="2930" spans="2:3" x14ac:dyDescent="0.35">
      <c r="B2930"/>
      <c r="C2930"/>
    </row>
    <row r="2931" spans="2:3" x14ac:dyDescent="0.35">
      <c r="B2931"/>
      <c r="C2931"/>
    </row>
    <row r="2932" spans="2:3" x14ac:dyDescent="0.35">
      <c r="B2932"/>
      <c r="C2932"/>
    </row>
    <row r="2933" spans="2:3" x14ac:dyDescent="0.35">
      <c r="B2933"/>
      <c r="C2933"/>
    </row>
    <row r="2934" spans="2:3" x14ac:dyDescent="0.35">
      <c r="B2934"/>
      <c r="C2934"/>
    </row>
    <row r="2935" spans="2:3" x14ac:dyDescent="0.35">
      <c r="B2935"/>
      <c r="C2935"/>
    </row>
    <row r="2936" spans="2:3" x14ac:dyDescent="0.35">
      <c r="B2936"/>
      <c r="C2936"/>
    </row>
    <row r="2937" spans="2:3" x14ac:dyDescent="0.35">
      <c r="B2937"/>
      <c r="C2937"/>
    </row>
    <row r="2938" spans="2:3" x14ac:dyDescent="0.35">
      <c r="B2938"/>
      <c r="C2938"/>
    </row>
    <row r="2939" spans="2:3" x14ac:dyDescent="0.35">
      <c r="B2939"/>
      <c r="C2939"/>
    </row>
    <row r="2940" spans="2:3" x14ac:dyDescent="0.35">
      <c r="B2940"/>
      <c r="C2940"/>
    </row>
    <row r="2941" spans="2:3" x14ac:dyDescent="0.35">
      <c r="B2941"/>
      <c r="C2941"/>
    </row>
    <row r="2942" spans="2:3" x14ac:dyDescent="0.35">
      <c r="B2942"/>
      <c r="C2942"/>
    </row>
    <row r="2943" spans="2:3" x14ac:dyDescent="0.35">
      <c r="B2943"/>
      <c r="C2943"/>
    </row>
    <row r="2944" spans="2:3" x14ac:dyDescent="0.35">
      <c r="B2944"/>
      <c r="C2944"/>
    </row>
    <row r="2945" spans="2:3" x14ac:dyDescent="0.35">
      <c r="B2945"/>
      <c r="C2945"/>
    </row>
    <row r="2946" spans="2:3" x14ac:dyDescent="0.35">
      <c r="B2946"/>
      <c r="C2946"/>
    </row>
    <row r="2947" spans="2:3" x14ac:dyDescent="0.35">
      <c r="B2947"/>
      <c r="C2947"/>
    </row>
    <row r="2948" spans="2:3" x14ac:dyDescent="0.35">
      <c r="B2948"/>
      <c r="C2948"/>
    </row>
    <row r="2949" spans="2:3" x14ac:dyDescent="0.35">
      <c r="B2949"/>
      <c r="C2949"/>
    </row>
    <row r="2950" spans="2:3" x14ac:dyDescent="0.35">
      <c r="B2950"/>
      <c r="C2950"/>
    </row>
    <row r="2951" spans="2:3" x14ac:dyDescent="0.35">
      <c r="B2951"/>
      <c r="C2951"/>
    </row>
    <row r="2952" spans="2:3" x14ac:dyDescent="0.35">
      <c r="B2952"/>
      <c r="C2952"/>
    </row>
    <row r="2953" spans="2:3" x14ac:dyDescent="0.35">
      <c r="B2953"/>
      <c r="C2953"/>
    </row>
    <row r="2954" spans="2:3" x14ac:dyDescent="0.35">
      <c r="B2954"/>
      <c r="C2954"/>
    </row>
    <row r="2955" spans="2:3" x14ac:dyDescent="0.35">
      <c r="B2955"/>
      <c r="C2955"/>
    </row>
    <row r="2956" spans="2:3" x14ac:dyDescent="0.35">
      <c r="B2956"/>
      <c r="C2956"/>
    </row>
    <row r="2957" spans="2:3" x14ac:dyDescent="0.35">
      <c r="B2957"/>
      <c r="C2957"/>
    </row>
    <row r="2958" spans="2:3" x14ac:dyDescent="0.35">
      <c r="B2958"/>
      <c r="C2958"/>
    </row>
    <row r="2959" spans="2:3" x14ac:dyDescent="0.35">
      <c r="B2959"/>
      <c r="C2959"/>
    </row>
    <row r="2960" spans="2:3" x14ac:dyDescent="0.35">
      <c r="B2960"/>
      <c r="C2960"/>
    </row>
    <row r="2961" spans="2:3" x14ac:dyDescent="0.35">
      <c r="B2961"/>
      <c r="C2961"/>
    </row>
    <row r="2962" spans="2:3" x14ac:dyDescent="0.35">
      <c r="B2962"/>
      <c r="C2962"/>
    </row>
    <row r="2963" spans="2:3" x14ac:dyDescent="0.35">
      <c r="B2963"/>
      <c r="C2963"/>
    </row>
    <row r="2964" spans="2:3" x14ac:dyDescent="0.35">
      <c r="B2964"/>
      <c r="C2964"/>
    </row>
    <row r="2965" spans="2:3" x14ac:dyDescent="0.35">
      <c r="B2965"/>
      <c r="C2965"/>
    </row>
    <row r="2966" spans="2:3" x14ac:dyDescent="0.35">
      <c r="B2966"/>
      <c r="C2966"/>
    </row>
    <row r="2967" spans="2:3" x14ac:dyDescent="0.35">
      <c r="B2967"/>
      <c r="C2967"/>
    </row>
    <row r="2968" spans="2:3" x14ac:dyDescent="0.35">
      <c r="B2968"/>
      <c r="C2968"/>
    </row>
    <row r="2969" spans="2:3" x14ac:dyDescent="0.35">
      <c r="B2969"/>
      <c r="C2969"/>
    </row>
    <row r="2970" spans="2:3" x14ac:dyDescent="0.35">
      <c r="B2970"/>
      <c r="C2970"/>
    </row>
    <row r="2971" spans="2:3" x14ac:dyDescent="0.35">
      <c r="B2971"/>
      <c r="C2971"/>
    </row>
    <row r="2972" spans="2:3" x14ac:dyDescent="0.35">
      <c r="B2972"/>
      <c r="C2972"/>
    </row>
    <row r="2973" spans="2:3" x14ac:dyDescent="0.35">
      <c r="B2973"/>
      <c r="C2973"/>
    </row>
    <row r="2974" spans="2:3" x14ac:dyDescent="0.35">
      <c r="B2974"/>
      <c r="C2974"/>
    </row>
    <row r="2975" spans="2:3" x14ac:dyDescent="0.35">
      <c r="B2975"/>
      <c r="C2975"/>
    </row>
    <row r="2976" spans="2:3" x14ac:dyDescent="0.35">
      <c r="B2976"/>
      <c r="C2976"/>
    </row>
    <row r="2977" spans="2:3" x14ac:dyDescent="0.35">
      <c r="B2977"/>
      <c r="C2977"/>
    </row>
    <row r="2978" spans="2:3" x14ac:dyDescent="0.35">
      <c r="B2978"/>
      <c r="C2978"/>
    </row>
    <row r="2979" spans="2:3" x14ac:dyDescent="0.35">
      <c r="B2979"/>
      <c r="C2979"/>
    </row>
    <row r="2980" spans="2:3" x14ac:dyDescent="0.35">
      <c r="B2980"/>
      <c r="C2980"/>
    </row>
    <row r="2981" spans="2:3" x14ac:dyDescent="0.35">
      <c r="B2981"/>
      <c r="C2981"/>
    </row>
    <row r="2982" spans="2:3" x14ac:dyDescent="0.35">
      <c r="B2982"/>
      <c r="C2982"/>
    </row>
    <row r="2983" spans="2:3" x14ac:dyDescent="0.35">
      <c r="B2983"/>
      <c r="C2983"/>
    </row>
    <row r="2984" spans="2:3" x14ac:dyDescent="0.35">
      <c r="B2984"/>
      <c r="C2984"/>
    </row>
    <row r="2985" spans="2:3" x14ac:dyDescent="0.35">
      <c r="B2985"/>
      <c r="C2985"/>
    </row>
    <row r="2986" spans="2:3" x14ac:dyDescent="0.35">
      <c r="B2986"/>
      <c r="C2986"/>
    </row>
    <row r="2987" spans="2:3" x14ac:dyDescent="0.35">
      <c r="B2987"/>
      <c r="C2987"/>
    </row>
    <row r="2988" spans="2:3" x14ac:dyDescent="0.35">
      <c r="B2988"/>
      <c r="C2988"/>
    </row>
    <row r="2989" spans="2:3" x14ac:dyDescent="0.35">
      <c r="B2989"/>
      <c r="C2989"/>
    </row>
    <row r="2990" spans="2:3" x14ac:dyDescent="0.35">
      <c r="B2990"/>
      <c r="C2990"/>
    </row>
    <row r="2991" spans="2:3" x14ac:dyDescent="0.35">
      <c r="B2991"/>
      <c r="C2991"/>
    </row>
    <row r="2992" spans="2:3" x14ac:dyDescent="0.35">
      <c r="B2992"/>
      <c r="C2992"/>
    </row>
    <row r="2993" spans="2:3" x14ac:dyDescent="0.35">
      <c r="B2993"/>
      <c r="C2993"/>
    </row>
    <row r="2994" spans="2:3" x14ac:dyDescent="0.35">
      <c r="B2994"/>
      <c r="C2994"/>
    </row>
    <row r="2995" spans="2:3" x14ac:dyDescent="0.35">
      <c r="B2995"/>
      <c r="C2995"/>
    </row>
    <row r="2996" spans="2:3" x14ac:dyDescent="0.35">
      <c r="B2996"/>
      <c r="C2996"/>
    </row>
    <row r="2997" spans="2:3" x14ac:dyDescent="0.35">
      <c r="B2997"/>
      <c r="C2997"/>
    </row>
    <row r="2998" spans="2:3" x14ac:dyDescent="0.35">
      <c r="B2998"/>
      <c r="C2998"/>
    </row>
    <row r="2999" spans="2:3" x14ac:dyDescent="0.35">
      <c r="B2999"/>
      <c r="C2999"/>
    </row>
    <row r="3000" spans="2:3" x14ac:dyDescent="0.35">
      <c r="B3000"/>
      <c r="C3000"/>
    </row>
    <row r="3001" spans="2:3" x14ac:dyDescent="0.35">
      <c r="B3001"/>
      <c r="C3001"/>
    </row>
    <row r="3002" spans="2:3" x14ac:dyDescent="0.35">
      <c r="B3002"/>
      <c r="C3002"/>
    </row>
    <row r="3003" spans="2:3" x14ac:dyDescent="0.35">
      <c r="B3003"/>
      <c r="C3003"/>
    </row>
    <row r="3004" spans="2:3" x14ac:dyDescent="0.35">
      <c r="B3004"/>
      <c r="C3004"/>
    </row>
    <row r="3005" spans="2:3" x14ac:dyDescent="0.35">
      <c r="B3005"/>
      <c r="C3005"/>
    </row>
    <row r="3006" spans="2:3" x14ac:dyDescent="0.35">
      <c r="B3006"/>
      <c r="C3006"/>
    </row>
    <row r="3007" spans="2:3" x14ac:dyDescent="0.35">
      <c r="B3007"/>
      <c r="C3007"/>
    </row>
    <row r="3008" spans="2:3" x14ac:dyDescent="0.35">
      <c r="B3008"/>
      <c r="C3008"/>
    </row>
    <row r="3009" spans="2:3" x14ac:dyDescent="0.35">
      <c r="B3009"/>
      <c r="C3009"/>
    </row>
    <row r="3010" spans="2:3" x14ac:dyDescent="0.35">
      <c r="B3010"/>
      <c r="C3010"/>
    </row>
    <row r="3011" spans="2:3" x14ac:dyDescent="0.35">
      <c r="B3011"/>
      <c r="C3011"/>
    </row>
    <row r="3012" spans="2:3" x14ac:dyDescent="0.35">
      <c r="B3012"/>
      <c r="C3012"/>
    </row>
    <row r="3013" spans="2:3" x14ac:dyDescent="0.35">
      <c r="B3013"/>
      <c r="C3013"/>
    </row>
    <row r="3014" spans="2:3" x14ac:dyDescent="0.35">
      <c r="B3014"/>
      <c r="C3014"/>
    </row>
    <row r="3015" spans="2:3" x14ac:dyDescent="0.35">
      <c r="B3015"/>
      <c r="C3015"/>
    </row>
    <row r="3016" spans="2:3" x14ac:dyDescent="0.35">
      <c r="B3016"/>
      <c r="C3016"/>
    </row>
    <row r="3017" spans="2:3" x14ac:dyDescent="0.35">
      <c r="B3017"/>
      <c r="C3017"/>
    </row>
    <row r="3018" spans="2:3" x14ac:dyDescent="0.35">
      <c r="B3018"/>
      <c r="C3018"/>
    </row>
    <row r="3019" spans="2:3" x14ac:dyDescent="0.35">
      <c r="B3019"/>
      <c r="C3019"/>
    </row>
    <row r="3020" spans="2:3" x14ac:dyDescent="0.35">
      <c r="B3020"/>
      <c r="C3020"/>
    </row>
    <row r="3021" spans="2:3" x14ac:dyDescent="0.35">
      <c r="B3021"/>
      <c r="C3021"/>
    </row>
    <row r="3022" spans="2:3" x14ac:dyDescent="0.35">
      <c r="B3022"/>
      <c r="C3022"/>
    </row>
    <row r="3023" spans="2:3" x14ac:dyDescent="0.35">
      <c r="B3023"/>
      <c r="C3023"/>
    </row>
    <row r="3024" spans="2:3" x14ac:dyDescent="0.35">
      <c r="B3024"/>
      <c r="C3024"/>
    </row>
    <row r="3025" spans="2:3" x14ac:dyDescent="0.35">
      <c r="B3025"/>
      <c r="C3025"/>
    </row>
    <row r="3026" spans="2:3" x14ac:dyDescent="0.35">
      <c r="B3026"/>
      <c r="C3026"/>
    </row>
    <row r="3027" spans="2:3" x14ac:dyDescent="0.35">
      <c r="B3027"/>
      <c r="C3027"/>
    </row>
    <row r="3028" spans="2:3" x14ac:dyDescent="0.35">
      <c r="B3028"/>
      <c r="C3028"/>
    </row>
    <row r="3029" spans="2:3" x14ac:dyDescent="0.35">
      <c r="B3029"/>
      <c r="C3029"/>
    </row>
    <row r="3030" spans="2:3" x14ac:dyDescent="0.35">
      <c r="B3030"/>
      <c r="C3030"/>
    </row>
    <row r="3031" spans="2:3" x14ac:dyDescent="0.35">
      <c r="B3031"/>
      <c r="C3031"/>
    </row>
    <row r="3032" spans="2:3" x14ac:dyDescent="0.35">
      <c r="B3032"/>
      <c r="C3032"/>
    </row>
    <row r="3033" spans="2:3" x14ac:dyDescent="0.35">
      <c r="B3033"/>
      <c r="C3033"/>
    </row>
    <row r="3034" spans="2:3" x14ac:dyDescent="0.35">
      <c r="B3034"/>
      <c r="C3034"/>
    </row>
    <row r="3035" spans="2:3" x14ac:dyDescent="0.35">
      <c r="B3035"/>
      <c r="C3035"/>
    </row>
    <row r="3036" spans="2:3" x14ac:dyDescent="0.35">
      <c r="B3036"/>
      <c r="C3036"/>
    </row>
    <row r="3037" spans="2:3" x14ac:dyDescent="0.35">
      <c r="B3037"/>
      <c r="C3037"/>
    </row>
    <row r="3038" spans="2:3" x14ac:dyDescent="0.35">
      <c r="B3038"/>
      <c r="C3038"/>
    </row>
    <row r="3039" spans="2:3" x14ac:dyDescent="0.35">
      <c r="B3039"/>
      <c r="C3039"/>
    </row>
    <row r="3040" spans="2:3" x14ac:dyDescent="0.35">
      <c r="B3040"/>
      <c r="C3040"/>
    </row>
    <row r="3041" spans="2:3" x14ac:dyDescent="0.35">
      <c r="B3041"/>
      <c r="C3041"/>
    </row>
    <row r="3042" spans="2:3" x14ac:dyDescent="0.35">
      <c r="B3042"/>
      <c r="C3042"/>
    </row>
    <row r="3043" spans="2:3" x14ac:dyDescent="0.35">
      <c r="B3043"/>
      <c r="C3043"/>
    </row>
    <row r="3044" spans="2:3" x14ac:dyDescent="0.35">
      <c r="B3044"/>
      <c r="C3044"/>
    </row>
    <row r="3045" spans="2:3" x14ac:dyDescent="0.35">
      <c r="B3045"/>
      <c r="C3045"/>
    </row>
    <row r="3046" spans="2:3" x14ac:dyDescent="0.35">
      <c r="B3046"/>
      <c r="C3046"/>
    </row>
    <row r="3047" spans="2:3" x14ac:dyDescent="0.35">
      <c r="B3047"/>
      <c r="C3047"/>
    </row>
    <row r="3048" spans="2:3" x14ac:dyDescent="0.35">
      <c r="B3048"/>
      <c r="C3048"/>
    </row>
    <row r="3049" spans="2:3" x14ac:dyDescent="0.35">
      <c r="B3049"/>
      <c r="C3049"/>
    </row>
    <row r="3050" spans="2:3" x14ac:dyDescent="0.35">
      <c r="B3050"/>
      <c r="C3050"/>
    </row>
    <row r="3051" spans="2:3" x14ac:dyDescent="0.35">
      <c r="B3051"/>
      <c r="C3051"/>
    </row>
    <row r="3052" spans="2:3" x14ac:dyDescent="0.35">
      <c r="B3052"/>
      <c r="C3052"/>
    </row>
    <row r="3053" spans="2:3" x14ac:dyDescent="0.35">
      <c r="B3053"/>
      <c r="C3053"/>
    </row>
    <row r="3054" spans="2:3" x14ac:dyDescent="0.35">
      <c r="B3054"/>
      <c r="C3054"/>
    </row>
    <row r="3055" spans="2:3" x14ac:dyDescent="0.35">
      <c r="B3055"/>
      <c r="C3055"/>
    </row>
    <row r="3056" spans="2:3" x14ac:dyDescent="0.35">
      <c r="B3056"/>
      <c r="C3056"/>
    </row>
    <row r="3057" spans="2:3" x14ac:dyDescent="0.35">
      <c r="B3057"/>
      <c r="C3057"/>
    </row>
    <row r="3058" spans="2:3" x14ac:dyDescent="0.35">
      <c r="B3058"/>
      <c r="C3058"/>
    </row>
    <row r="3059" spans="2:3" x14ac:dyDescent="0.35">
      <c r="B3059"/>
      <c r="C3059"/>
    </row>
    <row r="3060" spans="2:3" x14ac:dyDescent="0.35">
      <c r="B3060"/>
      <c r="C3060"/>
    </row>
    <row r="3061" spans="2:3" x14ac:dyDescent="0.35">
      <c r="B3061"/>
      <c r="C3061"/>
    </row>
    <row r="3062" spans="2:3" x14ac:dyDescent="0.35">
      <c r="B3062"/>
      <c r="C3062"/>
    </row>
    <row r="3063" spans="2:3" x14ac:dyDescent="0.35">
      <c r="B3063"/>
      <c r="C3063"/>
    </row>
    <row r="3064" spans="2:3" x14ac:dyDescent="0.35">
      <c r="B3064"/>
      <c r="C3064"/>
    </row>
    <row r="3065" spans="2:3" x14ac:dyDescent="0.35">
      <c r="B3065"/>
      <c r="C3065"/>
    </row>
    <row r="3066" spans="2:3" x14ac:dyDescent="0.35">
      <c r="B3066"/>
      <c r="C3066"/>
    </row>
    <row r="3067" spans="2:3" x14ac:dyDescent="0.35">
      <c r="B3067"/>
      <c r="C3067"/>
    </row>
    <row r="3068" spans="2:3" x14ac:dyDescent="0.35">
      <c r="B3068"/>
      <c r="C3068"/>
    </row>
    <row r="3069" spans="2:3" x14ac:dyDescent="0.35">
      <c r="B3069"/>
      <c r="C3069"/>
    </row>
    <row r="3070" spans="2:3" x14ac:dyDescent="0.35">
      <c r="B3070"/>
      <c r="C3070"/>
    </row>
    <row r="3071" spans="2:3" x14ac:dyDescent="0.35">
      <c r="B3071"/>
      <c r="C3071"/>
    </row>
    <row r="3072" spans="2:3" x14ac:dyDescent="0.35">
      <c r="B3072"/>
      <c r="C3072"/>
    </row>
    <row r="3073" spans="2:3" x14ac:dyDescent="0.35">
      <c r="B3073"/>
      <c r="C3073"/>
    </row>
    <row r="3074" spans="2:3" x14ac:dyDescent="0.35">
      <c r="B3074"/>
      <c r="C3074"/>
    </row>
    <row r="3075" spans="2:3" x14ac:dyDescent="0.35">
      <c r="B3075"/>
      <c r="C3075"/>
    </row>
    <row r="3076" spans="2:3" x14ac:dyDescent="0.35">
      <c r="B3076"/>
      <c r="C3076"/>
    </row>
    <row r="3077" spans="2:3" x14ac:dyDescent="0.35">
      <c r="B3077"/>
      <c r="C3077"/>
    </row>
    <row r="3078" spans="2:3" x14ac:dyDescent="0.35">
      <c r="B3078"/>
      <c r="C3078"/>
    </row>
    <row r="3079" spans="2:3" x14ac:dyDescent="0.35">
      <c r="B3079"/>
      <c r="C3079"/>
    </row>
    <row r="3080" spans="2:3" x14ac:dyDescent="0.35">
      <c r="B3080"/>
      <c r="C3080"/>
    </row>
    <row r="3081" spans="2:3" x14ac:dyDescent="0.35">
      <c r="B3081"/>
      <c r="C3081"/>
    </row>
    <row r="3082" spans="2:3" x14ac:dyDescent="0.35">
      <c r="B3082"/>
      <c r="C3082"/>
    </row>
    <row r="3083" spans="2:3" x14ac:dyDescent="0.35">
      <c r="B3083"/>
      <c r="C3083"/>
    </row>
    <row r="3084" spans="2:3" x14ac:dyDescent="0.35">
      <c r="B3084"/>
      <c r="C3084"/>
    </row>
    <row r="3085" spans="2:3" x14ac:dyDescent="0.35">
      <c r="B3085"/>
      <c r="C3085"/>
    </row>
    <row r="3086" spans="2:3" x14ac:dyDescent="0.35">
      <c r="B3086"/>
      <c r="C3086"/>
    </row>
    <row r="3087" spans="2:3" x14ac:dyDescent="0.35">
      <c r="B3087"/>
      <c r="C3087"/>
    </row>
    <row r="3088" spans="2:3" x14ac:dyDescent="0.35">
      <c r="B3088"/>
      <c r="C3088"/>
    </row>
    <row r="3089" spans="2:3" x14ac:dyDescent="0.35">
      <c r="B3089"/>
      <c r="C3089"/>
    </row>
    <row r="3090" spans="2:3" x14ac:dyDescent="0.35">
      <c r="B3090"/>
      <c r="C3090"/>
    </row>
    <row r="3091" spans="2:3" x14ac:dyDescent="0.35">
      <c r="B3091"/>
      <c r="C3091"/>
    </row>
    <row r="3092" spans="2:3" x14ac:dyDescent="0.35">
      <c r="B3092"/>
      <c r="C3092"/>
    </row>
    <row r="3093" spans="2:3" x14ac:dyDescent="0.35">
      <c r="B3093"/>
      <c r="C3093"/>
    </row>
    <row r="3094" spans="2:3" x14ac:dyDescent="0.35">
      <c r="B3094"/>
      <c r="C3094"/>
    </row>
    <row r="3095" spans="2:3" x14ac:dyDescent="0.35">
      <c r="B3095"/>
      <c r="C3095"/>
    </row>
    <row r="3096" spans="2:3" x14ac:dyDescent="0.35">
      <c r="B3096"/>
      <c r="C3096"/>
    </row>
    <row r="3097" spans="2:3" x14ac:dyDescent="0.35">
      <c r="B3097"/>
      <c r="C3097"/>
    </row>
    <row r="3098" spans="2:3" x14ac:dyDescent="0.35">
      <c r="B3098"/>
      <c r="C3098"/>
    </row>
    <row r="3099" spans="2:3" x14ac:dyDescent="0.35">
      <c r="B3099"/>
      <c r="C3099"/>
    </row>
    <row r="3100" spans="2:3" x14ac:dyDescent="0.35">
      <c r="B3100"/>
      <c r="C3100"/>
    </row>
    <row r="3101" spans="2:3" x14ac:dyDescent="0.35">
      <c r="B3101"/>
      <c r="C3101"/>
    </row>
    <row r="3102" spans="2:3" x14ac:dyDescent="0.35">
      <c r="B3102"/>
      <c r="C3102"/>
    </row>
    <row r="3103" spans="2:3" x14ac:dyDescent="0.35">
      <c r="B3103"/>
      <c r="C3103"/>
    </row>
    <row r="3104" spans="2:3" x14ac:dyDescent="0.35">
      <c r="B3104"/>
      <c r="C3104"/>
    </row>
    <row r="3105" spans="2:3" x14ac:dyDescent="0.35">
      <c r="B3105"/>
      <c r="C3105"/>
    </row>
    <row r="3106" spans="2:3" x14ac:dyDescent="0.35">
      <c r="B3106"/>
      <c r="C3106"/>
    </row>
    <row r="3107" spans="2:3" x14ac:dyDescent="0.35">
      <c r="B3107"/>
      <c r="C3107"/>
    </row>
    <row r="3108" spans="2:3" x14ac:dyDescent="0.35">
      <c r="B3108"/>
      <c r="C3108"/>
    </row>
    <row r="3109" spans="2:3" x14ac:dyDescent="0.35">
      <c r="B3109"/>
      <c r="C3109"/>
    </row>
    <row r="3110" spans="2:3" x14ac:dyDescent="0.35">
      <c r="B3110"/>
      <c r="C3110"/>
    </row>
    <row r="3111" spans="2:3" x14ac:dyDescent="0.35">
      <c r="B3111"/>
      <c r="C3111"/>
    </row>
    <row r="3112" spans="2:3" x14ac:dyDescent="0.35">
      <c r="B3112"/>
      <c r="C3112"/>
    </row>
    <row r="3113" spans="2:3" x14ac:dyDescent="0.35">
      <c r="B3113"/>
      <c r="C3113"/>
    </row>
    <row r="3114" spans="2:3" x14ac:dyDescent="0.35">
      <c r="B3114"/>
      <c r="C3114"/>
    </row>
    <row r="3115" spans="2:3" x14ac:dyDescent="0.35">
      <c r="B3115"/>
      <c r="C3115"/>
    </row>
    <row r="3116" spans="2:3" x14ac:dyDescent="0.35">
      <c r="B3116"/>
      <c r="C3116"/>
    </row>
    <row r="3117" spans="2:3" x14ac:dyDescent="0.35">
      <c r="B3117"/>
      <c r="C3117"/>
    </row>
    <row r="3118" spans="2:3" x14ac:dyDescent="0.35">
      <c r="B3118"/>
      <c r="C3118"/>
    </row>
    <row r="3119" spans="2:3" x14ac:dyDescent="0.35">
      <c r="B3119"/>
      <c r="C3119"/>
    </row>
    <row r="3120" spans="2:3" x14ac:dyDescent="0.35">
      <c r="B3120"/>
      <c r="C3120"/>
    </row>
    <row r="3121" spans="2:3" x14ac:dyDescent="0.35">
      <c r="B3121"/>
      <c r="C3121"/>
    </row>
    <row r="3122" spans="2:3" x14ac:dyDescent="0.35">
      <c r="B3122"/>
      <c r="C3122"/>
    </row>
    <row r="3123" spans="2:3" x14ac:dyDescent="0.35">
      <c r="B3123"/>
      <c r="C3123"/>
    </row>
    <row r="3124" spans="2:3" x14ac:dyDescent="0.35">
      <c r="B3124"/>
      <c r="C3124"/>
    </row>
    <row r="3125" spans="2:3" x14ac:dyDescent="0.35">
      <c r="B3125"/>
      <c r="C3125"/>
    </row>
    <row r="3126" spans="2:3" x14ac:dyDescent="0.35">
      <c r="B3126"/>
      <c r="C3126"/>
    </row>
    <row r="3127" spans="2:3" x14ac:dyDescent="0.35">
      <c r="B3127"/>
      <c r="C3127"/>
    </row>
    <row r="3128" spans="2:3" x14ac:dyDescent="0.35">
      <c r="B3128"/>
      <c r="C3128"/>
    </row>
    <row r="3129" spans="2:3" x14ac:dyDescent="0.35">
      <c r="B3129"/>
      <c r="C3129"/>
    </row>
    <row r="3130" spans="2:3" x14ac:dyDescent="0.35">
      <c r="B3130"/>
      <c r="C3130"/>
    </row>
    <row r="3131" spans="2:3" x14ac:dyDescent="0.35">
      <c r="B3131"/>
      <c r="C3131"/>
    </row>
    <row r="3132" spans="2:3" x14ac:dyDescent="0.35">
      <c r="B3132"/>
      <c r="C3132"/>
    </row>
    <row r="3133" spans="2:3" x14ac:dyDescent="0.35">
      <c r="B3133"/>
      <c r="C3133"/>
    </row>
    <row r="3134" spans="2:3" x14ac:dyDescent="0.35">
      <c r="B3134"/>
      <c r="C3134"/>
    </row>
    <row r="3135" spans="2:3" x14ac:dyDescent="0.35">
      <c r="B3135"/>
      <c r="C3135"/>
    </row>
    <row r="3136" spans="2:3" x14ac:dyDescent="0.35">
      <c r="B3136"/>
      <c r="C3136"/>
    </row>
    <row r="3137" spans="2:3" x14ac:dyDescent="0.35">
      <c r="B3137"/>
      <c r="C3137"/>
    </row>
    <row r="3138" spans="2:3" x14ac:dyDescent="0.35">
      <c r="B3138"/>
      <c r="C3138"/>
    </row>
    <row r="3139" spans="2:3" x14ac:dyDescent="0.35">
      <c r="B3139"/>
      <c r="C3139"/>
    </row>
    <row r="3140" spans="2:3" x14ac:dyDescent="0.35">
      <c r="B3140"/>
      <c r="C3140"/>
    </row>
    <row r="3141" spans="2:3" x14ac:dyDescent="0.35">
      <c r="B3141"/>
      <c r="C3141"/>
    </row>
    <row r="3142" spans="2:3" x14ac:dyDescent="0.35">
      <c r="B3142"/>
      <c r="C3142"/>
    </row>
    <row r="3143" spans="2:3" x14ac:dyDescent="0.35">
      <c r="B3143"/>
      <c r="C3143"/>
    </row>
    <row r="3144" spans="2:3" x14ac:dyDescent="0.35">
      <c r="B3144"/>
      <c r="C3144"/>
    </row>
    <row r="3145" spans="2:3" x14ac:dyDescent="0.35">
      <c r="B3145"/>
      <c r="C3145"/>
    </row>
    <row r="3146" spans="2:3" x14ac:dyDescent="0.35">
      <c r="B3146"/>
      <c r="C3146"/>
    </row>
    <row r="3147" spans="2:3" x14ac:dyDescent="0.35">
      <c r="B3147"/>
      <c r="C3147"/>
    </row>
    <row r="3148" spans="2:3" x14ac:dyDescent="0.35">
      <c r="B3148"/>
      <c r="C3148"/>
    </row>
    <row r="3149" spans="2:3" x14ac:dyDescent="0.35">
      <c r="B3149"/>
      <c r="C3149"/>
    </row>
    <row r="3150" spans="2:3" x14ac:dyDescent="0.35">
      <c r="B3150"/>
      <c r="C3150"/>
    </row>
    <row r="3151" spans="2:3" x14ac:dyDescent="0.35">
      <c r="B3151"/>
      <c r="C3151"/>
    </row>
    <row r="3152" spans="2:3" x14ac:dyDescent="0.35">
      <c r="B3152"/>
      <c r="C3152"/>
    </row>
    <row r="3153" spans="2:3" x14ac:dyDescent="0.35">
      <c r="B3153"/>
      <c r="C3153"/>
    </row>
    <row r="3154" spans="2:3" x14ac:dyDescent="0.35">
      <c r="B3154"/>
      <c r="C3154"/>
    </row>
    <row r="3155" spans="2:3" x14ac:dyDescent="0.35">
      <c r="B3155"/>
      <c r="C3155"/>
    </row>
    <row r="3156" spans="2:3" x14ac:dyDescent="0.35">
      <c r="B3156"/>
      <c r="C3156"/>
    </row>
    <row r="3157" spans="2:3" x14ac:dyDescent="0.35">
      <c r="B3157"/>
      <c r="C3157"/>
    </row>
    <row r="3158" spans="2:3" x14ac:dyDescent="0.35">
      <c r="B3158"/>
      <c r="C3158"/>
    </row>
    <row r="3159" spans="2:3" x14ac:dyDescent="0.35">
      <c r="B3159"/>
      <c r="C3159"/>
    </row>
    <row r="3160" spans="2:3" x14ac:dyDescent="0.35">
      <c r="B3160"/>
      <c r="C3160"/>
    </row>
    <row r="3161" spans="2:3" x14ac:dyDescent="0.35">
      <c r="B3161"/>
      <c r="C3161"/>
    </row>
    <row r="3162" spans="2:3" x14ac:dyDescent="0.35">
      <c r="B3162"/>
      <c r="C3162"/>
    </row>
    <row r="3163" spans="2:3" x14ac:dyDescent="0.35">
      <c r="B3163"/>
      <c r="C3163"/>
    </row>
    <row r="3164" spans="2:3" x14ac:dyDescent="0.35">
      <c r="B3164"/>
      <c r="C3164"/>
    </row>
    <row r="3165" spans="2:3" x14ac:dyDescent="0.35">
      <c r="B3165"/>
      <c r="C3165"/>
    </row>
    <row r="3166" spans="2:3" x14ac:dyDescent="0.35">
      <c r="B3166"/>
      <c r="C3166"/>
    </row>
    <row r="3167" spans="2:3" x14ac:dyDescent="0.35">
      <c r="B3167"/>
      <c r="C3167"/>
    </row>
    <row r="3168" spans="2:3" x14ac:dyDescent="0.35">
      <c r="B3168"/>
      <c r="C3168"/>
    </row>
    <row r="3169" spans="2:3" x14ac:dyDescent="0.35">
      <c r="B3169"/>
      <c r="C3169"/>
    </row>
    <row r="3170" spans="2:3" x14ac:dyDescent="0.35">
      <c r="B3170"/>
      <c r="C3170"/>
    </row>
    <row r="3171" spans="2:3" x14ac:dyDescent="0.35">
      <c r="B3171"/>
      <c r="C3171"/>
    </row>
    <row r="3172" spans="2:3" x14ac:dyDescent="0.35">
      <c r="B3172"/>
      <c r="C3172"/>
    </row>
    <row r="3173" spans="2:3" x14ac:dyDescent="0.35">
      <c r="B3173"/>
      <c r="C3173"/>
    </row>
    <row r="3174" spans="2:3" x14ac:dyDescent="0.35">
      <c r="B3174"/>
      <c r="C3174"/>
    </row>
    <row r="3175" spans="2:3" x14ac:dyDescent="0.35">
      <c r="B3175"/>
      <c r="C3175"/>
    </row>
    <row r="3176" spans="2:3" x14ac:dyDescent="0.35">
      <c r="B3176"/>
      <c r="C3176"/>
    </row>
    <row r="3177" spans="2:3" x14ac:dyDescent="0.35">
      <c r="B3177"/>
      <c r="C3177"/>
    </row>
    <row r="3178" spans="2:3" x14ac:dyDescent="0.35">
      <c r="B3178"/>
      <c r="C3178"/>
    </row>
    <row r="3179" spans="2:3" x14ac:dyDescent="0.35">
      <c r="B3179"/>
      <c r="C3179"/>
    </row>
    <row r="3180" spans="2:3" x14ac:dyDescent="0.35">
      <c r="B3180"/>
      <c r="C3180"/>
    </row>
    <row r="3181" spans="2:3" x14ac:dyDescent="0.35">
      <c r="B3181"/>
      <c r="C3181"/>
    </row>
    <row r="3182" spans="2:3" x14ac:dyDescent="0.35">
      <c r="B3182"/>
      <c r="C3182"/>
    </row>
    <row r="3183" spans="2:3" x14ac:dyDescent="0.35">
      <c r="B3183"/>
      <c r="C3183"/>
    </row>
    <row r="3184" spans="2:3" x14ac:dyDescent="0.35">
      <c r="B3184"/>
      <c r="C3184"/>
    </row>
    <row r="3185" spans="2:3" x14ac:dyDescent="0.35">
      <c r="B3185"/>
      <c r="C3185"/>
    </row>
    <row r="3186" spans="2:3" x14ac:dyDescent="0.35">
      <c r="B3186"/>
      <c r="C3186"/>
    </row>
    <row r="3187" spans="2:3" x14ac:dyDescent="0.35">
      <c r="B3187"/>
      <c r="C3187"/>
    </row>
    <row r="3188" spans="2:3" x14ac:dyDescent="0.35">
      <c r="B3188"/>
      <c r="C3188"/>
    </row>
    <row r="3189" spans="2:3" x14ac:dyDescent="0.35">
      <c r="B3189"/>
      <c r="C3189"/>
    </row>
    <row r="3190" spans="2:3" x14ac:dyDescent="0.35">
      <c r="B3190"/>
      <c r="C3190"/>
    </row>
    <row r="3191" spans="2:3" x14ac:dyDescent="0.35">
      <c r="B3191"/>
      <c r="C3191"/>
    </row>
    <row r="3192" spans="2:3" x14ac:dyDescent="0.35">
      <c r="B3192"/>
      <c r="C3192"/>
    </row>
    <row r="3193" spans="2:3" x14ac:dyDescent="0.35">
      <c r="B3193"/>
      <c r="C3193"/>
    </row>
    <row r="3194" spans="2:3" x14ac:dyDescent="0.35">
      <c r="B3194"/>
      <c r="C3194"/>
    </row>
    <row r="3195" spans="2:3" x14ac:dyDescent="0.35">
      <c r="B3195"/>
      <c r="C3195"/>
    </row>
    <row r="3196" spans="2:3" x14ac:dyDescent="0.35">
      <c r="B3196"/>
      <c r="C3196"/>
    </row>
    <row r="3197" spans="2:3" x14ac:dyDescent="0.35">
      <c r="B3197"/>
      <c r="C3197"/>
    </row>
    <row r="3198" spans="2:3" x14ac:dyDescent="0.35">
      <c r="B3198"/>
      <c r="C3198"/>
    </row>
    <row r="3199" spans="2:3" x14ac:dyDescent="0.35">
      <c r="B3199"/>
      <c r="C3199"/>
    </row>
    <row r="3200" spans="2:3" x14ac:dyDescent="0.35">
      <c r="B3200"/>
      <c r="C3200"/>
    </row>
    <row r="3201" spans="2:3" x14ac:dyDescent="0.35">
      <c r="B3201"/>
      <c r="C3201"/>
    </row>
    <row r="3202" spans="2:3" x14ac:dyDescent="0.35">
      <c r="B3202"/>
      <c r="C3202"/>
    </row>
    <row r="3203" spans="2:3" x14ac:dyDescent="0.35">
      <c r="B3203"/>
      <c r="C3203"/>
    </row>
    <row r="3204" spans="2:3" x14ac:dyDescent="0.35">
      <c r="B3204"/>
      <c r="C3204"/>
    </row>
    <row r="3205" spans="2:3" x14ac:dyDescent="0.35">
      <c r="B3205"/>
      <c r="C3205"/>
    </row>
    <row r="3206" spans="2:3" x14ac:dyDescent="0.35">
      <c r="B3206"/>
      <c r="C3206"/>
    </row>
    <row r="3207" spans="2:3" x14ac:dyDescent="0.35">
      <c r="B3207"/>
      <c r="C3207"/>
    </row>
    <row r="3208" spans="2:3" x14ac:dyDescent="0.35">
      <c r="B3208"/>
      <c r="C3208"/>
    </row>
    <row r="3209" spans="2:3" x14ac:dyDescent="0.35">
      <c r="B3209"/>
      <c r="C3209"/>
    </row>
    <row r="3210" spans="2:3" x14ac:dyDescent="0.35">
      <c r="B3210"/>
      <c r="C3210"/>
    </row>
    <row r="3211" spans="2:3" x14ac:dyDescent="0.35">
      <c r="B3211"/>
      <c r="C3211"/>
    </row>
    <row r="3212" spans="2:3" x14ac:dyDescent="0.35">
      <c r="B3212"/>
      <c r="C3212"/>
    </row>
    <row r="3213" spans="2:3" x14ac:dyDescent="0.35">
      <c r="B3213"/>
      <c r="C3213"/>
    </row>
    <row r="3214" spans="2:3" x14ac:dyDescent="0.35">
      <c r="B3214"/>
      <c r="C3214"/>
    </row>
    <row r="3215" spans="2:3" x14ac:dyDescent="0.35">
      <c r="B3215"/>
      <c r="C3215"/>
    </row>
    <row r="3216" spans="2:3" x14ac:dyDescent="0.35">
      <c r="B3216"/>
      <c r="C3216"/>
    </row>
    <row r="3217" spans="2:3" x14ac:dyDescent="0.35">
      <c r="B3217"/>
      <c r="C3217"/>
    </row>
    <row r="3218" spans="2:3" x14ac:dyDescent="0.35">
      <c r="B3218"/>
      <c r="C3218"/>
    </row>
    <row r="3219" spans="2:3" x14ac:dyDescent="0.35">
      <c r="B3219"/>
      <c r="C3219"/>
    </row>
    <row r="3220" spans="2:3" x14ac:dyDescent="0.35">
      <c r="B3220"/>
      <c r="C3220"/>
    </row>
    <row r="3221" spans="2:3" x14ac:dyDescent="0.35">
      <c r="B3221"/>
      <c r="C3221"/>
    </row>
    <row r="3222" spans="2:3" x14ac:dyDescent="0.35">
      <c r="B3222"/>
      <c r="C3222"/>
    </row>
    <row r="3223" spans="2:3" x14ac:dyDescent="0.35">
      <c r="B3223"/>
      <c r="C3223"/>
    </row>
    <row r="3224" spans="2:3" x14ac:dyDescent="0.35">
      <c r="B3224"/>
      <c r="C3224"/>
    </row>
    <row r="3225" spans="2:3" x14ac:dyDescent="0.35">
      <c r="B3225"/>
      <c r="C3225"/>
    </row>
    <row r="3226" spans="2:3" x14ac:dyDescent="0.35">
      <c r="B3226"/>
      <c r="C3226"/>
    </row>
    <row r="3227" spans="2:3" x14ac:dyDescent="0.35">
      <c r="B3227"/>
      <c r="C3227"/>
    </row>
    <row r="3228" spans="2:3" x14ac:dyDescent="0.35">
      <c r="B3228"/>
      <c r="C3228"/>
    </row>
    <row r="3229" spans="2:3" x14ac:dyDescent="0.35">
      <c r="B3229"/>
      <c r="C3229"/>
    </row>
    <row r="3230" spans="2:3" x14ac:dyDescent="0.35">
      <c r="B3230"/>
      <c r="C3230"/>
    </row>
    <row r="3231" spans="2:3" x14ac:dyDescent="0.35">
      <c r="B3231"/>
      <c r="C3231"/>
    </row>
    <row r="3232" spans="2:3" x14ac:dyDescent="0.35">
      <c r="B3232"/>
      <c r="C3232"/>
    </row>
    <row r="3233" spans="2:3" x14ac:dyDescent="0.35">
      <c r="B3233"/>
      <c r="C3233"/>
    </row>
    <row r="3234" spans="2:3" x14ac:dyDescent="0.35">
      <c r="B3234"/>
      <c r="C3234"/>
    </row>
    <row r="3235" spans="2:3" x14ac:dyDescent="0.35">
      <c r="B3235"/>
      <c r="C3235"/>
    </row>
    <row r="3236" spans="2:3" x14ac:dyDescent="0.35">
      <c r="B3236"/>
      <c r="C3236"/>
    </row>
    <row r="3237" spans="2:3" x14ac:dyDescent="0.35">
      <c r="B3237"/>
      <c r="C3237"/>
    </row>
    <row r="3238" spans="2:3" x14ac:dyDescent="0.35">
      <c r="B3238"/>
      <c r="C3238"/>
    </row>
    <row r="3239" spans="2:3" x14ac:dyDescent="0.35">
      <c r="B3239"/>
      <c r="C3239"/>
    </row>
    <row r="3240" spans="2:3" x14ac:dyDescent="0.35">
      <c r="B3240"/>
      <c r="C3240"/>
    </row>
    <row r="3241" spans="2:3" x14ac:dyDescent="0.35">
      <c r="B3241"/>
      <c r="C3241"/>
    </row>
    <row r="3242" spans="2:3" x14ac:dyDescent="0.35">
      <c r="B3242"/>
      <c r="C3242"/>
    </row>
    <row r="3243" spans="2:3" x14ac:dyDescent="0.35">
      <c r="B3243"/>
      <c r="C3243"/>
    </row>
    <row r="3244" spans="2:3" x14ac:dyDescent="0.35">
      <c r="B3244"/>
      <c r="C3244"/>
    </row>
    <row r="3245" spans="2:3" x14ac:dyDescent="0.35">
      <c r="B3245"/>
      <c r="C3245"/>
    </row>
    <row r="3246" spans="2:3" x14ac:dyDescent="0.35">
      <c r="B3246"/>
      <c r="C3246"/>
    </row>
    <row r="3247" spans="2:3" x14ac:dyDescent="0.35">
      <c r="B3247"/>
      <c r="C3247"/>
    </row>
    <row r="3248" spans="2:3" x14ac:dyDescent="0.35">
      <c r="B3248"/>
      <c r="C3248"/>
    </row>
    <row r="3249" spans="2:3" x14ac:dyDescent="0.35">
      <c r="B3249"/>
      <c r="C3249"/>
    </row>
    <row r="3250" spans="2:3" x14ac:dyDescent="0.35">
      <c r="B3250"/>
      <c r="C3250"/>
    </row>
    <row r="3251" spans="2:3" x14ac:dyDescent="0.35">
      <c r="B3251"/>
      <c r="C3251"/>
    </row>
    <row r="3252" spans="2:3" x14ac:dyDescent="0.35">
      <c r="B3252"/>
      <c r="C3252"/>
    </row>
    <row r="3253" spans="2:3" x14ac:dyDescent="0.35">
      <c r="B3253"/>
      <c r="C3253"/>
    </row>
    <row r="3254" spans="2:3" x14ac:dyDescent="0.35">
      <c r="B3254"/>
      <c r="C3254"/>
    </row>
    <row r="3255" spans="2:3" x14ac:dyDescent="0.35">
      <c r="B3255"/>
      <c r="C3255"/>
    </row>
    <row r="3256" spans="2:3" x14ac:dyDescent="0.35">
      <c r="B3256"/>
      <c r="C3256"/>
    </row>
    <row r="3257" spans="2:3" x14ac:dyDescent="0.35">
      <c r="B3257"/>
      <c r="C3257"/>
    </row>
    <row r="3258" spans="2:3" x14ac:dyDescent="0.35">
      <c r="B3258"/>
      <c r="C3258"/>
    </row>
    <row r="3259" spans="2:3" x14ac:dyDescent="0.35">
      <c r="B3259"/>
      <c r="C3259"/>
    </row>
    <row r="3260" spans="2:3" x14ac:dyDescent="0.35">
      <c r="B3260"/>
      <c r="C3260"/>
    </row>
    <row r="3261" spans="2:3" x14ac:dyDescent="0.35">
      <c r="B3261"/>
      <c r="C3261"/>
    </row>
    <row r="3262" spans="2:3" x14ac:dyDescent="0.35">
      <c r="B3262"/>
      <c r="C3262"/>
    </row>
    <row r="3263" spans="2:3" x14ac:dyDescent="0.35">
      <c r="B3263"/>
      <c r="C3263"/>
    </row>
    <row r="3264" spans="2:3" x14ac:dyDescent="0.35">
      <c r="B3264"/>
      <c r="C3264"/>
    </row>
    <row r="3265" spans="2:3" x14ac:dyDescent="0.35">
      <c r="B3265"/>
      <c r="C3265"/>
    </row>
    <row r="3266" spans="2:3" x14ac:dyDescent="0.35">
      <c r="B3266"/>
      <c r="C3266"/>
    </row>
    <row r="3267" spans="2:3" x14ac:dyDescent="0.35">
      <c r="B3267"/>
      <c r="C3267"/>
    </row>
    <row r="3268" spans="2:3" x14ac:dyDescent="0.35">
      <c r="B3268"/>
      <c r="C3268"/>
    </row>
    <row r="3269" spans="2:3" x14ac:dyDescent="0.35">
      <c r="B3269"/>
      <c r="C3269"/>
    </row>
    <row r="3270" spans="2:3" x14ac:dyDescent="0.35">
      <c r="B3270"/>
      <c r="C3270"/>
    </row>
    <row r="3271" spans="2:3" x14ac:dyDescent="0.35">
      <c r="B3271"/>
      <c r="C3271"/>
    </row>
    <row r="3272" spans="2:3" x14ac:dyDescent="0.35">
      <c r="B3272"/>
      <c r="C3272"/>
    </row>
    <row r="3273" spans="2:3" x14ac:dyDescent="0.35">
      <c r="B3273"/>
      <c r="C3273"/>
    </row>
    <row r="3274" spans="2:3" x14ac:dyDescent="0.35">
      <c r="B3274"/>
      <c r="C3274"/>
    </row>
    <row r="3275" spans="2:3" x14ac:dyDescent="0.35">
      <c r="B3275"/>
      <c r="C3275"/>
    </row>
    <row r="3276" spans="2:3" x14ac:dyDescent="0.35">
      <c r="B3276"/>
      <c r="C3276"/>
    </row>
    <row r="3277" spans="2:3" x14ac:dyDescent="0.35">
      <c r="B3277"/>
      <c r="C3277"/>
    </row>
    <row r="3278" spans="2:3" x14ac:dyDescent="0.35">
      <c r="B3278"/>
      <c r="C3278"/>
    </row>
    <row r="3279" spans="2:3" x14ac:dyDescent="0.35">
      <c r="B3279"/>
      <c r="C3279"/>
    </row>
    <row r="3280" spans="2:3" x14ac:dyDescent="0.35">
      <c r="B3280"/>
      <c r="C3280"/>
    </row>
    <row r="3281" spans="2:3" x14ac:dyDescent="0.35">
      <c r="B3281"/>
      <c r="C3281"/>
    </row>
    <row r="3282" spans="2:3" x14ac:dyDescent="0.35">
      <c r="B3282"/>
      <c r="C3282"/>
    </row>
    <row r="3283" spans="2:3" x14ac:dyDescent="0.35">
      <c r="B3283"/>
      <c r="C3283"/>
    </row>
    <row r="3284" spans="2:3" x14ac:dyDescent="0.35">
      <c r="B3284"/>
      <c r="C3284"/>
    </row>
    <row r="3285" spans="2:3" x14ac:dyDescent="0.35">
      <c r="B3285"/>
      <c r="C3285"/>
    </row>
    <row r="3286" spans="2:3" x14ac:dyDescent="0.35">
      <c r="B3286"/>
      <c r="C3286"/>
    </row>
    <row r="3287" spans="2:3" x14ac:dyDescent="0.35">
      <c r="B3287"/>
      <c r="C3287"/>
    </row>
    <row r="3288" spans="2:3" x14ac:dyDescent="0.35">
      <c r="B3288"/>
      <c r="C3288"/>
    </row>
    <row r="3289" spans="2:3" x14ac:dyDescent="0.35">
      <c r="B3289"/>
      <c r="C3289"/>
    </row>
    <row r="3290" spans="2:3" x14ac:dyDescent="0.35">
      <c r="B3290"/>
      <c r="C3290"/>
    </row>
    <row r="3291" spans="2:3" x14ac:dyDescent="0.35">
      <c r="B3291"/>
      <c r="C3291"/>
    </row>
    <row r="3292" spans="2:3" x14ac:dyDescent="0.35">
      <c r="B3292"/>
      <c r="C3292"/>
    </row>
    <row r="3293" spans="2:3" x14ac:dyDescent="0.35">
      <c r="B3293"/>
      <c r="C3293"/>
    </row>
    <row r="3294" spans="2:3" x14ac:dyDescent="0.35">
      <c r="B3294"/>
      <c r="C3294"/>
    </row>
    <row r="3295" spans="2:3" x14ac:dyDescent="0.35">
      <c r="B3295"/>
      <c r="C3295"/>
    </row>
    <row r="3296" spans="2:3" x14ac:dyDescent="0.35">
      <c r="B3296"/>
      <c r="C3296"/>
    </row>
    <row r="3297" spans="2:3" x14ac:dyDescent="0.35">
      <c r="B3297"/>
      <c r="C3297"/>
    </row>
    <row r="3298" spans="2:3" x14ac:dyDescent="0.35">
      <c r="B3298"/>
      <c r="C3298"/>
    </row>
    <row r="3299" spans="2:3" x14ac:dyDescent="0.35">
      <c r="B3299"/>
      <c r="C3299"/>
    </row>
    <row r="3300" spans="2:3" x14ac:dyDescent="0.35">
      <c r="B3300"/>
      <c r="C3300"/>
    </row>
    <row r="3301" spans="2:3" x14ac:dyDescent="0.35">
      <c r="B3301"/>
      <c r="C3301"/>
    </row>
    <row r="3302" spans="2:3" x14ac:dyDescent="0.35">
      <c r="B3302"/>
      <c r="C3302"/>
    </row>
    <row r="3303" spans="2:3" x14ac:dyDescent="0.35">
      <c r="B3303"/>
      <c r="C3303"/>
    </row>
    <row r="3304" spans="2:3" x14ac:dyDescent="0.35">
      <c r="B3304"/>
      <c r="C3304"/>
    </row>
    <row r="3305" spans="2:3" x14ac:dyDescent="0.35">
      <c r="B3305"/>
      <c r="C3305"/>
    </row>
    <row r="3306" spans="2:3" x14ac:dyDescent="0.35">
      <c r="B3306"/>
      <c r="C3306"/>
    </row>
    <row r="3307" spans="2:3" x14ac:dyDescent="0.35">
      <c r="B3307"/>
      <c r="C3307"/>
    </row>
    <row r="3308" spans="2:3" x14ac:dyDescent="0.35">
      <c r="B3308"/>
      <c r="C3308"/>
    </row>
    <row r="3309" spans="2:3" x14ac:dyDescent="0.35">
      <c r="B3309"/>
      <c r="C3309"/>
    </row>
    <row r="3310" spans="2:3" x14ac:dyDescent="0.35">
      <c r="B3310"/>
      <c r="C3310"/>
    </row>
    <row r="3311" spans="2:3" x14ac:dyDescent="0.35">
      <c r="B3311"/>
      <c r="C3311"/>
    </row>
    <row r="3312" spans="2:3" x14ac:dyDescent="0.35">
      <c r="B3312"/>
      <c r="C3312"/>
    </row>
    <row r="3313" spans="2:3" x14ac:dyDescent="0.35">
      <c r="B3313"/>
      <c r="C3313"/>
    </row>
    <row r="3314" spans="2:3" x14ac:dyDescent="0.35">
      <c r="B3314"/>
      <c r="C3314"/>
    </row>
    <row r="3315" spans="2:3" x14ac:dyDescent="0.35">
      <c r="B3315"/>
      <c r="C3315"/>
    </row>
    <row r="3316" spans="2:3" x14ac:dyDescent="0.35">
      <c r="B3316"/>
      <c r="C3316"/>
    </row>
    <row r="3317" spans="2:3" x14ac:dyDescent="0.35">
      <c r="B3317"/>
      <c r="C3317"/>
    </row>
    <row r="3318" spans="2:3" x14ac:dyDescent="0.35">
      <c r="B3318"/>
      <c r="C3318"/>
    </row>
    <row r="3319" spans="2:3" x14ac:dyDescent="0.35">
      <c r="B3319"/>
      <c r="C3319"/>
    </row>
    <row r="3320" spans="2:3" x14ac:dyDescent="0.35">
      <c r="B3320"/>
      <c r="C3320"/>
    </row>
    <row r="3321" spans="2:3" x14ac:dyDescent="0.35">
      <c r="B3321"/>
      <c r="C3321"/>
    </row>
    <row r="3322" spans="2:3" x14ac:dyDescent="0.35">
      <c r="B3322"/>
      <c r="C3322"/>
    </row>
    <row r="3323" spans="2:3" x14ac:dyDescent="0.35">
      <c r="B3323"/>
      <c r="C3323"/>
    </row>
    <row r="3324" spans="2:3" x14ac:dyDescent="0.35">
      <c r="B3324"/>
      <c r="C3324"/>
    </row>
    <row r="3325" spans="2:3" x14ac:dyDescent="0.35">
      <c r="B3325"/>
      <c r="C3325"/>
    </row>
    <row r="3326" spans="2:3" x14ac:dyDescent="0.35">
      <c r="B3326"/>
      <c r="C3326"/>
    </row>
    <row r="3327" spans="2:3" x14ac:dyDescent="0.35">
      <c r="B3327"/>
      <c r="C3327"/>
    </row>
    <row r="3328" spans="2:3" x14ac:dyDescent="0.35">
      <c r="B3328"/>
      <c r="C3328"/>
    </row>
    <row r="3329" spans="2:3" x14ac:dyDescent="0.35">
      <c r="B3329"/>
      <c r="C3329"/>
    </row>
    <row r="3330" spans="2:3" x14ac:dyDescent="0.35">
      <c r="B3330"/>
      <c r="C3330"/>
    </row>
    <row r="3331" spans="2:3" x14ac:dyDescent="0.35">
      <c r="B3331"/>
      <c r="C3331"/>
    </row>
    <row r="3332" spans="2:3" x14ac:dyDescent="0.35">
      <c r="B3332"/>
      <c r="C3332"/>
    </row>
    <row r="3333" spans="2:3" x14ac:dyDescent="0.35">
      <c r="B3333"/>
      <c r="C3333"/>
    </row>
    <row r="3334" spans="2:3" x14ac:dyDescent="0.35">
      <c r="B3334"/>
      <c r="C3334"/>
    </row>
    <row r="3335" spans="2:3" x14ac:dyDescent="0.35">
      <c r="B3335"/>
      <c r="C3335"/>
    </row>
    <row r="3336" spans="2:3" x14ac:dyDescent="0.35">
      <c r="B3336"/>
      <c r="C3336"/>
    </row>
    <row r="3337" spans="2:3" x14ac:dyDescent="0.35">
      <c r="B3337"/>
      <c r="C3337"/>
    </row>
    <row r="3338" spans="2:3" x14ac:dyDescent="0.35">
      <c r="B3338"/>
      <c r="C3338"/>
    </row>
    <row r="3339" spans="2:3" x14ac:dyDescent="0.35">
      <c r="B3339"/>
      <c r="C3339"/>
    </row>
    <row r="3340" spans="2:3" x14ac:dyDescent="0.35">
      <c r="B3340"/>
      <c r="C3340"/>
    </row>
    <row r="3341" spans="2:3" x14ac:dyDescent="0.35">
      <c r="B3341"/>
      <c r="C3341"/>
    </row>
    <row r="3342" spans="2:3" x14ac:dyDescent="0.35">
      <c r="B3342"/>
      <c r="C3342"/>
    </row>
    <row r="3343" spans="2:3" x14ac:dyDescent="0.35">
      <c r="B3343"/>
      <c r="C3343"/>
    </row>
    <row r="3344" spans="2:3" x14ac:dyDescent="0.35">
      <c r="B3344"/>
      <c r="C3344"/>
    </row>
    <row r="3345" spans="2:3" x14ac:dyDescent="0.35">
      <c r="B3345"/>
      <c r="C3345"/>
    </row>
    <row r="3346" spans="2:3" x14ac:dyDescent="0.35">
      <c r="B3346"/>
      <c r="C3346"/>
    </row>
    <row r="3347" spans="2:3" x14ac:dyDescent="0.35">
      <c r="B3347"/>
      <c r="C3347"/>
    </row>
    <row r="3348" spans="2:3" x14ac:dyDescent="0.35">
      <c r="B3348"/>
      <c r="C3348"/>
    </row>
    <row r="3349" spans="2:3" x14ac:dyDescent="0.35">
      <c r="B3349"/>
      <c r="C3349"/>
    </row>
    <row r="3350" spans="2:3" x14ac:dyDescent="0.35">
      <c r="B3350"/>
      <c r="C3350"/>
    </row>
    <row r="3351" spans="2:3" x14ac:dyDescent="0.35">
      <c r="B3351"/>
      <c r="C3351"/>
    </row>
    <row r="3352" spans="2:3" x14ac:dyDescent="0.35">
      <c r="B3352"/>
      <c r="C3352"/>
    </row>
    <row r="3353" spans="2:3" x14ac:dyDescent="0.35">
      <c r="B3353"/>
      <c r="C3353"/>
    </row>
    <row r="3354" spans="2:3" x14ac:dyDescent="0.35">
      <c r="B3354"/>
      <c r="C3354"/>
    </row>
    <row r="3355" spans="2:3" x14ac:dyDescent="0.35">
      <c r="B3355"/>
      <c r="C3355"/>
    </row>
    <row r="3356" spans="2:3" x14ac:dyDescent="0.35">
      <c r="B3356"/>
      <c r="C3356"/>
    </row>
    <row r="3357" spans="2:3" x14ac:dyDescent="0.35">
      <c r="B3357"/>
      <c r="C3357"/>
    </row>
    <row r="3358" spans="2:3" x14ac:dyDescent="0.35">
      <c r="B3358"/>
      <c r="C3358"/>
    </row>
    <row r="3359" spans="2:3" x14ac:dyDescent="0.35">
      <c r="B3359"/>
      <c r="C3359"/>
    </row>
    <row r="3360" spans="2:3" x14ac:dyDescent="0.35">
      <c r="B3360"/>
      <c r="C3360"/>
    </row>
    <row r="3361" spans="2:3" x14ac:dyDescent="0.35">
      <c r="B3361"/>
      <c r="C3361"/>
    </row>
    <row r="3362" spans="2:3" x14ac:dyDescent="0.35">
      <c r="B3362"/>
      <c r="C3362"/>
    </row>
    <row r="3363" spans="2:3" x14ac:dyDescent="0.35">
      <c r="B3363"/>
      <c r="C3363"/>
    </row>
    <row r="3364" spans="2:3" x14ac:dyDescent="0.35">
      <c r="B3364"/>
      <c r="C3364"/>
    </row>
    <row r="3365" spans="2:3" x14ac:dyDescent="0.35">
      <c r="B3365"/>
      <c r="C3365"/>
    </row>
    <row r="3366" spans="2:3" x14ac:dyDescent="0.35">
      <c r="B3366"/>
      <c r="C3366"/>
    </row>
    <row r="3367" spans="2:3" x14ac:dyDescent="0.35">
      <c r="B3367"/>
      <c r="C3367"/>
    </row>
    <row r="3368" spans="2:3" x14ac:dyDescent="0.35">
      <c r="B3368"/>
      <c r="C3368"/>
    </row>
    <row r="3369" spans="2:3" x14ac:dyDescent="0.35">
      <c r="B3369"/>
      <c r="C3369"/>
    </row>
    <row r="3370" spans="2:3" x14ac:dyDescent="0.35">
      <c r="B3370"/>
      <c r="C3370"/>
    </row>
    <row r="3371" spans="2:3" x14ac:dyDescent="0.35">
      <c r="B3371"/>
      <c r="C3371"/>
    </row>
    <row r="3372" spans="2:3" x14ac:dyDescent="0.35">
      <c r="B3372"/>
      <c r="C3372"/>
    </row>
    <row r="3373" spans="2:3" x14ac:dyDescent="0.35">
      <c r="B3373"/>
      <c r="C3373"/>
    </row>
    <row r="3374" spans="2:3" x14ac:dyDescent="0.35">
      <c r="B3374"/>
      <c r="C3374"/>
    </row>
    <row r="3375" spans="2:3" x14ac:dyDescent="0.35">
      <c r="B3375"/>
      <c r="C3375"/>
    </row>
    <row r="3376" spans="2:3" x14ac:dyDescent="0.35">
      <c r="B3376"/>
      <c r="C3376"/>
    </row>
    <row r="3377" spans="2:3" x14ac:dyDescent="0.35">
      <c r="B3377"/>
      <c r="C3377"/>
    </row>
    <row r="3378" spans="2:3" x14ac:dyDescent="0.35">
      <c r="B3378"/>
      <c r="C3378"/>
    </row>
    <row r="3379" spans="2:3" x14ac:dyDescent="0.35">
      <c r="B3379"/>
      <c r="C3379"/>
    </row>
    <row r="3380" spans="2:3" x14ac:dyDescent="0.35">
      <c r="B3380"/>
      <c r="C3380"/>
    </row>
    <row r="3381" spans="2:3" x14ac:dyDescent="0.35">
      <c r="B3381"/>
      <c r="C3381"/>
    </row>
    <row r="3382" spans="2:3" x14ac:dyDescent="0.35">
      <c r="B3382"/>
      <c r="C3382"/>
    </row>
    <row r="3383" spans="2:3" x14ac:dyDescent="0.35">
      <c r="B3383"/>
      <c r="C3383"/>
    </row>
    <row r="3384" spans="2:3" x14ac:dyDescent="0.35">
      <c r="B3384"/>
      <c r="C3384"/>
    </row>
    <row r="3385" spans="2:3" x14ac:dyDescent="0.35">
      <c r="B3385"/>
      <c r="C3385"/>
    </row>
    <row r="3386" spans="2:3" x14ac:dyDescent="0.35">
      <c r="B3386"/>
      <c r="C3386"/>
    </row>
    <row r="3387" spans="2:3" x14ac:dyDescent="0.35">
      <c r="B3387"/>
      <c r="C3387"/>
    </row>
    <row r="3388" spans="2:3" x14ac:dyDescent="0.35">
      <c r="B3388"/>
      <c r="C3388"/>
    </row>
    <row r="3389" spans="2:3" x14ac:dyDescent="0.35">
      <c r="B3389"/>
      <c r="C3389"/>
    </row>
    <row r="3390" spans="2:3" x14ac:dyDescent="0.35">
      <c r="B3390"/>
      <c r="C3390"/>
    </row>
    <row r="3391" spans="2:3" x14ac:dyDescent="0.35">
      <c r="B3391"/>
      <c r="C3391"/>
    </row>
    <row r="3392" spans="2:3" x14ac:dyDescent="0.35">
      <c r="B3392"/>
      <c r="C3392"/>
    </row>
    <row r="3393" spans="2:3" x14ac:dyDescent="0.35">
      <c r="B3393"/>
      <c r="C3393"/>
    </row>
    <row r="3394" spans="2:3" x14ac:dyDescent="0.35">
      <c r="B3394"/>
      <c r="C3394"/>
    </row>
    <row r="3395" spans="2:3" x14ac:dyDescent="0.35">
      <c r="B3395"/>
      <c r="C3395"/>
    </row>
    <row r="3396" spans="2:3" x14ac:dyDescent="0.35">
      <c r="B3396"/>
      <c r="C3396"/>
    </row>
    <row r="3397" spans="2:3" x14ac:dyDescent="0.35">
      <c r="B3397"/>
      <c r="C3397"/>
    </row>
    <row r="3398" spans="2:3" x14ac:dyDescent="0.35">
      <c r="B3398"/>
      <c r="C3398"/>
    </row>
    <row r="3399" spans="2:3" x14ac:dyDescent="0.35">
      <c r="B3399"/>
      <c r="C3399"/>
    </row>
    <row r="3400" spans="2:3" x14ac:dyDescent="0.35">
      <c r="B3400"/>
      <c r="C3400"/>
    </row>
    <row r="3401" spans="2:3" x14ac:dyDescent="0.35">
      <c r="B3401"/>
      <c r="C3401"/>
    </row>
    <row r="3402" spans="2:3" x14ac:dyDescent="0.35">
      <c r="B3402"/>
      <c r="C3402"/>
    </row>
    <row r="3403" spans="2:3" x14ac:dyDescent="0.35">
      <c r="B3403"/>
      <c r="C3403"/>
    </row>
    <row r="3404" spans="2:3" x14ac:dyDescent="0.35">
      <c r="B3404"/>
      <c r="C3404"/>
    </row>
    <row r="3405" spans="2:3" x14ac:dyDescent="0.35">
      <c r="B3405"/>
      <c r="C3405"/>
    </row>
    <row r="3406" spans="2:3" x14ac:dyDescent="0.35">
      <c r="B3406"/>
      <c r="C3406"/>
    </row>
    <row r="3407" spans="2:3" x14ac:dyDescent="0.35">
      <c r="B3407"/>
      <c r="C3407"/>
    </row>
    <row r="3408" spans="2:3" x14ac:dyDescent="0.35">
      <c r="B3408"/>
      <c r="C3408"/>
    </row>
    <row r="3409" spans="2:3" x14ac:dyDescent="0.35">
      <c r="B3409"/>
      <c r="C3409"/>
    </row>
    <row r="3410" spans="2:3" x14ac:dyDescent="0.35">
      <c r="B3410"/>
      <c r="C3410"/>
    </row>
    <row r="3411" spans="2:3" x14ac:dyDescent="0.35">
      <c r="B3411"/>
      <c r="C3411"/>
    </row>
    <row r="3412" spans="2:3" x14ac:dyDescent="0.35">
      <c r="B3412"/>
      <c r="C3412"/>
    </row>
    <row r="3413" spans="2:3" x14ac:dyDescent="0.35">
      <c r="B3413"/>
      <c r="C3413"/>
    </row>
    <row r="3414" spans="2:3" x14ac:dyDescent="0.35">
      <c r="B3414"/>
      <c r="C3414"/>
    </row>
    <row r="3415" spans="2:3" x14ac:dyDescent="0.35">
      <c r="B3415"/>
      <c r="C3415"/>
    </row>
    <row r="3416" spans="2:3" x14ac:dyDescent="0.35">
      <c r="B3416"/>
      <c r="C3416"/>
    </row>
    <row r="3417" spans="2:3" x14ac:dyDescent="0.35">
      <c r="B3417"/>
      <c r="C3417"/>
    </row>
    <row r="3418" spans="2:3" x14ac:dyDescent="0.35">
      <c r="B3418"/>
      <c r="C3418"/>
    </row>
    <row r="3419" spans="2:3" x14ac:dyDescent="0.35">
      <c r="B3419"/>
      <c r="C3419"/>
    </row>
    <row r="3420" spans="2:3" x14ac:dyDescent="0.35">
      <c r="B3420"/>
      <c r="C3420"/>
    </row>
    <row r="3421" spans="2:3" x14ac:dyDescent="0.35">
      <c r="B3421"/>
      <c r="C3421"/>
    </row>
    <row r="3422" spans="2:3" x14ac:dyDescent="0.35">
      <c r="B3422"/>
      <c r="C3422"/>
    </row>
    <row r="3423" spans="2:3" x14ac:dyDescent="0.35">
      <c r="B3423"/>
      <c r="C3423"/>
    </row>
    <row r="3424" spans="2:3" x14ac:dyDescent="0.35">
      <c r="B3424"/>
      <c r="C3424"/>
    </row>
    <row r="3425" spans="2:3" x14ac:dyDescent="0.35">
      <c r="B3425"/>
      <c r="C3425"/>
    </row>
    <row r="3426" spans="2:3" x14ac:dyDescent="0.35">
      <c r="B3426"/>
      <c r="C3426"/>
    </row>
    <row r="3427" spans="2:3" x14ac:dyDescent="0.35">
      <c r="B3427"/>
      <c r="C3427"/>
    </row>
    <row r="3428" spans="2:3" x14ac:dyDescent="0.35">
      <c r="B3428"/>
      <c r="C3428"/>
    </row>
    <row r="3429" spans="2:3" x14ac:dyDescent="0.35">
      <c r="B3429"/>
      <c r="C3429"/>
    </row>
    <row r="3430" spans="2:3" x14ac:dyDescent="0.35">
      <c r="B3430"/>
      <c r="C3430"/>
    </row>
    <row r="3431" spans="2:3" x14ac:dyDescent="0.35">
      <c r="B3431"/>
      <c r="C3431"/>
    </row>
    <row r="3432" spans="2:3" x14ac:dyDescent="0.35">
      <c r="B3432"/>
      <c r="C3432"/>
    </row>
    <row r="3433" spans="2:3" x14ac:dyDescent="0.35">
      <c r="B3433"/>
      <c r="C3433"/>
    </row>
    <row r="3434" spans="2:3" x14ac:dyDescent="0.35">
      <c r="B3434"/>
      <c r="C3434"/>
    </row>
    <row r="3435" spans="2:3" x14ac:dyDescent="0.35">
      <c r="B3435"/>
      <c r="C3435"/>
    </row>
    <row r="3436" spans="2:3" x14ac:dyDescent="0.35">
      <c r="B3436"/>
      <c r="C3436"/>
    </row>
    <row r="3437" spans="2:3" x14ac:dyDescent="0.35">
      <c r="B3437"/>
      <c r="C3437"/>
    </row>
    <row r="3438" spans="2:3" x14ac:dyDescent="0.35">
      <c r="B3438"/>
      <c r="C3438"/>
    </row>
    <row r="3439" spans="2:3" x14ac:dyDescent="0.35">
      <c r="B3439"/>
      <c r="C3439"/>
    </row>
    <row r="3440" spans="2:3" x14ac:dyDescent="0.35">
      <c r="B3440"/>
      <c r="C3440"/>
    </row>
    <row r="3441" spans="2:3" x14ac:dyDescent="0.35">
      <c r="B3441"/>
      <c r="C3441"/>
    </row>
    <row r="3442" spans="2:3" x14ac:dyDescent="0.35">
      <c r="B3442"/>
      <c r="C3442"/>
    </row>
    <row r="3443" spans="2:3" x14ac:dyDescent="0.35">
      <c r="B3443"/>
      <c r="C3443"/>
    </row>
    <row r="3444" spans="2:3" x14ac:dyDescent="0.35">
      <c r="B3444"/>
      <c r="C3444"/>
    </row>
    <row r="3445" spans="2:3" x14ac:dyDescent="0.35">
      <c r="B3445"/>
      <c r="C3445"/>
    </row>
    <row r="3446" spans="2:3" x14ac:dyDescent="0.35">
      <c r="B3446"/>
      <c r="C3446"/>
    </row>
    <row r="3447" spans="2:3" x14ac:dyDescent="0.35">
      <c r="B3447"/>
      <c r="C3447"/>
    </row>
    <row r="3448" spans="2:3" x14ac:dyDescent="0.35">
      <c r="B3448"/>
      <c r="C3448"/>
    </row>
    <row r="3449" spans="2:3" x14ac:dyDescent="0.35">
      <c r="B3449"/>
      <c r="C3449"/>
    </row>
    <row r="3450" spans="2:3" x14ac:dyDescent="0.35">
      <c r="B3450"/>
      <c r="C3450"/>
    </row>
    <row r="3451" spans="2:3" x14ac:dyDescent="0.35">
      <c r="B3451"/>
      <c r="C3451"/>
    </row>
    <row r="3452" spans="2:3" x14ac:dyDescent="0.35">
      <c r="B3452"/>
      <c r="C3452"/>
    </row>
    <row r="3453" spans="2:3" x14ac:dyDescent="0.35">
      <c r="B3453"/>
      <c r="C3453"/>
    </row>
    <row r="3454" spans="2:3" x14ac:dyDescent="0.35">
      <c r="B3454"/>
      <c r="C3454"/>
    </row>
    <row r="3455" spans="2:3" x14ac:dyDescent="0.35">
      <c r="B3455"/>
      <c r="C3455"/>
    </row>
    <row r="3456" spans="2:3" x14ac:dyDescent="0.35">
      <c r="B3456"/>
      <c r="C3456"/>
    </row>
    <row r="3457" spans="2:3" x14ac:dyDescent="0.35">
      <c r="B3457"/>
      <c r="C3457"/>
    </row>
    <row r="3458" spans="2:3" x14ac:dyDescent="0.35">
      <c r="B3458"/>
      <c r="C3458"/>
    </row>
    <row r="3459" spans="2:3" x14ac:dyDescent="0.35">
      <c r="B3459"/>
      <c r="C3459"/>
    </row>
    <row r="3460" spans="2:3" x14ac:dyDescent="0.35">
      <c r="B3460"/>
      <c r="C3460"/>
    </row>
    <row r="3461" spans="2:3" x14ac:dyDescent="0.35">
      <c r="B3461"/>
      <c r="C3461"/>
    </row>
    <row r="3462" spans="2:3" x14ac:dyDescent="0.35">
      <c r="B3462"/>
      <c r="C3462"/>
    </row>
    <row r="3463" spans="2:3" x14ac:dyDescent="0.35">
      <c r="B3463"/>
      <c r="C3463"/>
    </row>
    <row r="3464" spans="2:3" x14ac:dyDescent="0.35">
      <c r="B3464"/>
      <c r="C3464"/>
    </row>
    <row r="3465" spans="2:3" x14ac:dyDescent="0.35">
      <c r="B3465"/>
      <c r="C3465"/>
    </row>
    <row r="3466" spans="2:3" x14ac:dyDescent="0.35">
      <c r="B3466"/>
      <c r="C3466"/>
    </row>
    <row r="3467" spans="2:3" x14ac:dyDescent="0.35">
      <c r="B3467"/>
      <c r="C3467"/>
    </row>
    <row r="3468" spans="2:3" x14ac:dyDescent="0.35">
      <c r="B3468"/>
      <c r="C3468"/>
    </row>
    <row r="3469" spans="2:3" x14ac:dyDescent="0.35">
      <c r="B3469"/>
      <c r="C3469"/>
    </row>
    <row r="3470" spans="2:3" x14ac:dyDescent="0.35">
      <c r="B3470"/>
      <c r="C3470"/>
    </row>
    <row r="3471" spans="2:3" x14ac:dyDescent="0.35">
      <c r="B3471"/>
      <c r="C3471"/>
    </row>
    <row r="3472" spans="2:3" x14ac:dyDescent="0.35">
      <c r="B3472"/>
      <c r="C3472"/>
    </row>
    <row r="3473" spans="2:3" x14ac:dyDescent="0.35">
      <c r="B3473"/>
      <c r="C3473"/>
    </row>
    <row r="3474" spans="2:3" x14ac:dyDescent="0.35">
      <c r="B3474"/>
      <c r="C3474"/>
    </row>
    <row r="3475" spans="2:3" x14ac:dyDescent="0.35">
      <c r="B3475"/>
      <c r="C3475"/>
    </row>
    <row r="3476" spans="2:3" x14ac:dyDescent="0.35">
      <c r="B3476"/>
      <c r="C3476"/>
    </row>
    <row r="3477" spans="2:3" x14ac:dyDescent="0.35">
      <c r="B3477"/>
      <c r="C3477"/>
    </row>
    <row r="3478" spans="2:3" x14ac:dyDescent="0.35">
      <c r="B3478"/>
      <c r="C3478"/>
    </row>
    <row r="3479" spans="2:3" x14ac:dyDescent="0.35">
      <c r="B3479"/>
      <c r="C3479"/>
    </row>
    <row r="3480" spans="2:3" x14ac:dyDescent="0.35">
      <c r="B3480"/>
      <c r="C3480"/>
    </row>
    <row r="3481" spans="2:3" x14ac:dyDescent="0.35">
      <c r="B3481"/>
      <c r="C3481"/>
    </row>
    <row r="3482" spans="2:3" x14ac:dyDescent="0.35">
      <c r="B3482"/>
      <c r="C3482"/>
    </row>
    <row r="3483" spans="2:3" x14ac:dyDescent="0.35">
      <c r="B3483"/>
      <c r="C3483"/>
    </row>
    <row r="3484" spans="2:3" x14ac:dyDescent="0.35">
      <c r="B3484"/>
      <c r="C3484"/>
    </row>
    <row r="3485" spans="2:3" x14ac:dyDescent="0.35">
      <c r="B3485"/>
      <c r="C3485"/>
    </row>
    <row r="3486" spans="2:3" x14ac:dyDescent="0.35">
      <c r="B3486"/>
      <c r="C3486"/>
    </row>
    <row r="3487" spans="2:3" x14ac:dyDescent="0.35">
      <c r="B3487"/>
      <c r="C3487"/>
    </row>
    <row r="3488" spans="2:3" x14ac:dyDescent="0.35">
      <c r="B3488"/>
      <c r="C3488"/>
    </row>
    <row r="3489" spans="2:3" x14ac:dyDescent="0.35">
      <c r="B3489"/>
      <c r="C3489"/>
    </row>
    <row r="3490" spans="2:3" x14ac:dyDescent="0.35">
      <c r="B3490"/>
      <c r="C3490"/>
    </row>
    <row r="3491" spans="2:3" x14ac:dyDescent="0.35">
      <c r="B3491"/>
      <c r="C3491"/>
    </row>
    <row r="3492" spans="2:3" x14ac:dyDescent="0.35">
      <c r="B3492"/>
      <c r="C3492"/>
    </row>
    <row r="3493" spans="2:3" x14ac:dyDescent="0.35">
      <c r="B3493"/>
      <c r="C3493"/>
    </row>
    <row r="3494" spans="2:3" x14ac:dyDescent="0.35">
      <c r="B3494"/>
      <c r="C3494"/>
    </row>
    <row r="3495" spans="2:3" x14ac:dyDescent="0.35">
      <c r="B3495"/>
      <c r="C3495"/>
    </row>
    <row r="3496" spans="2:3" x14ac:dyDescent="0.35">
      <c r="B3496"/>
      <c r="C3496"/>
    </row>
    <row r="3497" spans="2:3" x14ac:dyDescent="0.35">
      <c r="B3497"/>
      <c r="C3497"/>
    </row>
    <row r="3498" spans="2:3" x14ac:dyDescent="0.35">
      <c r="B3498"/>
      <c r="C3498"/>
    </row>
    <row r="3499" spans="2:3" x14ac:dyDescent="0.35">
      <c r="B3499"/>
      <c r="C3499"/>
    </row>
    <row r="3500" spans="2:3" x14ac:dyDescent="0.35">
      <c r="B3500"/>
      <c r="C3500"/>
    </row>
    <row r="3501" spans="2:3" x14ac:dyDescent="0.35">
      <c r="B3501"/>
      <c r="C3501"/>
    </row>
    <row r="3502" spans="2:3" x14ac:dyDescent="0.35">
      <c r="B3502"/>
      <c r="C3502"/>
    </row>
    <row r="3503" spans="2:3" x14ac:dyDescent="0.35">
      <c r="B3503"/>
      <c r="C3503"/>
    </row>
    <row r="3504" spans="2:3" x14ac:dyDescent="0.35">
      <c r="B3504"/>
      <c r="C3504"/>
    </row>
    <row r="3505" spans="2:3" x14ac:dyDescent="0.35">
      <c r="B3505"/>
      <c r="C3505"/>
    </row>
    <row r="3506" spans="2:3" x14ac:dyDescent="0.35">
      <c r="B3506"/>
      <c r="C3506"/>
    </row>
    <row r="3507" spans="2:3" x14ac:dyDescent="0.35">
      <c r="B3507"/>
      <c r="C3507"/>
    </row>
    <row r="3508" spans="2:3" x14ac:dyDescent="0.35">
      <c r="B3508"/>
      <c r="C3508"/>
    </row>
    <row r="3509" spans="2:3" x14ac:dyDescent="0.35">
      <c r="B3509"/>
      <c r="C3509"/>
    </row>
    <row r="3510" spans="2:3" x14ac:dyDescent="0.35">
      <c r="B3510"/>
      <c r="C3510"/>
    </row>
    <row r="3511" spans="2:3" x14ac:dyDescent="0.35">
      <c r="B3511"/>
      <c r="C3511"/>
    </row>
    <row r="3512" spans="2:3" x14ac:dyDescent="0.35">
      <c r="B3512"/>
      <c r="C3512"/>
    </row>
    <row r="3513" spans="2:3" x14ac:dyDescent="0.35">
      <c r="B3513"/>
      <c r="C3513"/>
    </row>
    <row r="3514" spans="2:3" x14ac:dyDescent="0.35">
      <c r="B3514"/>
      <c r="C3514"/>
    </row>
    <row r="3515" spans="2:3" x14ac:dyDescent="0.35">
      <c r="B3515"/>
      <c r="C3515"/>
    </row>
    <row r="3516" spans="2:3" x14ac:dyDescent="0.35">
      <c r="B3516"/>
      <c r="C3516"/>
    </row>
    <row r="3517" spans="2:3" x14ac:dyDescent="0.35">
      <c r="B3517"/>
      <c r="C3517"/>
    </row>
    <row r="3518" spans="2:3" x14ac:dyDescent="0.35">
      <c r="B3518"/>
      <c r="C3518"/>
    </row>
    <row r="3519" spans="2:3" x14ac:dyDescent="0.35">
      <c r="B3519"/>
      <c r="C3519"/>
    </row>
    <row r="3520" spans="2:3" x14ac:dyDescent="0.35">
      <c r="B3520"/>
      <c r="C3520"/>
    </row>
    <row r="3521" spans="2:3" x14ac:dyDescent="0.35">
      <c r="B3521"/>
      <c r="C3521"/>
    </row>
    <row r="3522" spans="2:3" x14ac:dyDescent="0.35">
      <c r="B3522"/>
      <c r="C3522"/>
    </row>
    <row r="3523" spans="2:3" x14ac:dyDescent="0.35">
      <c r="B3523"/>
      <c r="C3523"/>
    </row>
    <row r="3524" spans="2:3" x14ac:dyDescent="0.35">
      <c r="B3524"/>
      <c r="C3524"/>
    </row>
    <row r="3525" spans="2:3" x14ac:dyDescent="0.35">
      <c r="B3525"/>
      <c r="C3525"/>
    </row>
    <row r="3526" spans="2:3" x14ac:dyDescent="0.35">
      <c r="B3526"/>
      <c r="C3526"/>
    </row>
    <row r="3527" spans="2:3" x14ac:dyDescent="0.35">
      <c r="B3527"/>
      <c r="C3527"/>
    </row>
    <row r="3528" spans="2:3" x14ac:dyDescent="0.35">
      <c r="B3528"/>
      <c r="C3528"/>
    </row>
    <row r="3529" spans="2:3" x14ac:dyDescent="0.35">
      <c r="B3529"/>
      <c r="C3529"/>
    </row>
    <row r="3530" spans="2:3" x14ac:dyDescent="0.35">
      <c r="B3530"/>
      <c r="C3530"/>
    </row>
    <row r="3531" spans="2:3" x14ac:dyDescent="0.35">
      <c r="B3531"/>
      <c r="C3531"/>
    </row>
    <row r="3532" spans="2:3" x14ac:dyDescent="0.35">
      <c r="B3532"/>
      <c r="C3532"/>
    </row>
    <row r="3533" spans="2:3" x14ac:dyDescent="0.35">
      <c r="B3533"/>
      <c r="C3533"/>
    </row>
    <row r="3534" spans="2:3" x14ac:dyDescent="0.35">
      <c r="B3534"/>
      <c r="C3534"/>
    </row>
    <row r="3535" spans="2:3" x14ac:dyDescent="0.35">
      <c r="B3535"/>
      <c r="C3535"/>
    </row>
    <row r="3536" spans="2:3" x14ac:dyDescent="0.35">
      <c r="B3536"/>
      <c r="C3536"/>
    </row>
    <row r="3537" spans="2:3" x14ac:dyDescent="0.35">
      <c r="B3537"/>
      <c r="C3537"/>
    </row>
    <row r="3538" spans="2:3" x14ac:dyDescent="0.35">
      <c r="B3538"/>
      <c r="C3538"/>
    </row>
    <row r="3539" spans="2:3" x14ac:dyDescent="0.35">
      <c r="B3539"/>
      <c r="C3539"/>
    </row>
    <row r="3540" spans="2:3" x14ac:dyDescent="0.35">
      <c r="B3540"/>
      <c r="C3540"/>
    </row>
    <row r="3541" spans="2:3" x14ac:dyDescent="0.35">
      <c r="B3541"/>
      <c r="C3541"/>
    </row>
    <row r="3542" spans="2:3" x14ac:dyDescent="0.35">
      <c r="B3542"/>
      <c r="C3542"/>
    </row>
    <row r="3543" spans="2:3" x14ac:dyDescent="0.35">
      <c r="B3543"/>
      <c r="C3543"/>
    </row>
    <row r="3544" spans="2:3" x14ac:dyDescent="0.35">
      <c r="B3544"/>
      <c r="C3544"/>
    </row>
    <row r="3545" spans="2:3" x14ac:dyDescent="0.35">
      <c r="B3545"/>
      <c r="C3545"/>
    </row>
    <row r="3546" spans="2:3" x14ac:dyDescent="0.35">
      <c r="B3546"/>
      <c r="C3546"/>
    </row>
    <row r="3547" spans="2:3" x14ac:dyDescent="0.35">
      <c r="B3547"/>
      <c r="C3547"/>
    </row>
    <row r="3548" spans="2:3" x14ac:dyDescent="0.35">
      <c r="B3548"/>
      <c r="C3548"/>
    </row>
    <row r="3549" spans="2:3" x14ac:dyDescent="0.35">
      <c r="B3549"/>
      <c r="C3549"/>
    </row>
    <row r="3550" spans="2:3" x14ac:dyDescent="0.35">
      <c r="B3550"/>
      <c r="C3550"/>
    </row>
    <row r="3551" spans="2:3" x14ac:dyDescent="0.35">
      <c r="B3551"/>
      <c r="C3551"/>
    </row>
    <row r="3552" spans="2:3" x14ac:dyDescent="0.35">
      <c r="B3552"/>
      <c r="C3552"/>
    </row>
    <row r="3553" spans="2:3" x14ac:dyDescent="0.35">
      <c r="B3553"/>
      <c r="C3553"/>
    </row>
    <row r="3554" spans="2:3" x14ac:dyDescent="0.35">
      <c r="B3554"/>
      <c r="C3554"/>
    </row>
    <row r="3555" spans="2:3" x14ac:dyDescent="0.35">
      <c r="B3555"/>
      <c r="C3555"/>
    </row>
    <row r="3556" spans="2:3" x14ac:dyDescent="0.35">
      <c r="B3556"/>
      <c r="C3556"/>
    </row>
    <row r="3557" spans="2:3" x14ac:dyDescent="0.35">
      <c r="B3557"/>
      <c r="C3557"/>
    </row>
    <row r="3558" spans="2:3" x14ac:dyDescent="0.35">
      <c r="B3558"/>
      <c r="C3558"/>
    </row>
    <row r="3559" spans="2:3" x14ac:dyDescent="0.35">
      <c r="B3559"/>
      <c r="C3559"/>
    </row>
    <row r="3560" spans="2:3" x14ac:dyDescent="0.35">
      <c r="B3560"/>
      <c r="C3560"/>
    </row>
    <row r="3561" spans="2:3" x14ac:dyDescent="0.35">
      <c r="B3561"/>
      <c r="C3561"/>
    </row>
    <row r="3562" spans="2:3" x14ac:dyDescent="0.35">
      <c r="B3562"/>
      <c r="C3562"/>
    </row>
    <row r="3563" spans="2:3" x14ac:dyDescent="0.35">
      <c r="B3563"/>
      <c r="C3563"/>
    </row>
    <row r="3564" spans="2:3" x14ac:dyDescent="0.35">
      <c r="B3564"/>
      <c r="C3564"/>
    </row>
    <row r="3565" spans="2:3" x14ac:dyDescent="0.35">
      <c r="B3565"/>
      <c r="C3565"/>
    </row>
    <row r="3566" spans="2:3" x14ac:dyDescent="0.35">
      <c r="B3566"/>
      <c r="C3566"/>
    </row>
    <row r="3567" spans="2:3" x14ac:dyDescent="0.35">
      <c r="B3567"/>
      <c r="C3567"/>
    </row>
    <row r="3568" spans="2:3" x14ac:dyDescent="0.35">
      <c r="B3568"/>
      <c r="C3568"/>
    </row>
    <row r="3569" spans="2:3" x14ac:dyDescent="0.35">
      <c r="B3569"/>
      <c r="C3569"/>
    </row>
    <row r="3570" spans="2:3" x14ac:dyDescent="0.35">
      <c r="B3570"/>
      <c r="C3570"/>
    </row>
    <row r="3571" spans="2:3" x14ac:dyDescent="0.35">
      <c r="B3571"/>
      <c r="C3571"/>
    </row>
    <row r="3572" spans="2:3" x14ac:dyDescent="0.35">
      <c r="B3572"/>
      <c r="C3572"/>
    </row>
    <row r="3573" spans="2:3" x14ac:dyDescent="0.35">
      <c r="B3573"/>
      <c r="C3573"/>
    </row>
    <row r="3574" spans="2:3" x14ac:dyDescent="0.35">
      <c r="B3574"/>
      <c r="C3574"/>
    </row>
    <row r="3575" spans="2:3" x14ac:dyDescent="0.35">
      <c r="B3575"/>
      <c r="C3575"/>
    </row>
    <row r="3576" spans="2:3" x14ac:dyDescent="0.35">
      <c r="B3576"/>
      <c r="C3576"/>
    </row>
    <row r="3577" spans="2:3" x14ac:dyDescent="0.35">
      <c r="B3577"/>
      <c r="C3577"/>
    </row>
    <row r="3578" spans="2:3" x14ac:dyDescent="0.35">
      <c r="B3578"/>
      <c r="C3578"/>
    </row>
    <row r="3579" spans="2:3" x14ac:dyDescent="0.35">
      <c r="B3579"/>
      <c r="C3579"/>
    </row>
    <row r="3580" spans="2:3" x14ac:dyDescent="0.35">
      <c r="B3580"/>
      <c r="C3580"/>
    </row>
    <row r="3581" spans="2:3" x14ac:dyDescent="0.35">
      <c r="B3581"/>
      <c r="C3581"/>
    </row>
    <row r="3582" spans="2:3" x14ac:dyDescent="0.35">
      <c r="B3582"/>
      <c r="C3582"/>
    </row>
    <row r="3583" spans="2:3" x14ac:dyDescent="0.35">
      <c r="B3583"/>
      <c r="C3583"/>
    </row>
    <row r="3584" spans="2:3" x14ac:dyDescent="0.35">
      <c r="B3584"/>
      <c r="C3584"/>
    </row>
    <row r="3585" spans="2:3" x14ac:dyDescent="0.35">
      <c r="B3585"/>
      <c r="C3585"/>
    </row>
    <row r="3586" spans="2:3" x14ac:dyDescent="0.35">
      <c r="B3586"/>
      <c r="C3586"/>
    </row>
    <row r="3587" spans="2:3" x14ac:dyDescent="0.35">
      <c r="B3587"/>
      <c r="C3587"/>
    </row>
    <row r="3588" spans="2:3" x14ac:dyDescent="0.35">
      <c r="B3588"/>
      <c r="C3588"/>
    </row>
    <row r="3589" spans="2:3" x14ac:dyDescent="0.35">
      <c r="B3589"/>
      <c r="C3589"/>
    </row>
    <row r="3590" spans="2:3" x14ac:dyDescent="0.35">
      <c r="B3590"/>
      <c r="C3590"/>
    </row>
    <row r="3591" spans="2:3" x14ac:dyDescent="0.35">
      <c r="B3591"/>
      <c r="C3591"/>
    </row>
    <row r="3592" spans="2:3" x14ac:dyDescent="0.35">
      <c r="B3592"/>
      <c r="C3592"/>
    </row>
    <row r="3593" spans="2:3" x14ac:dyDescent="0.35">
      <c r="B3593"/>
      <c r="C3593"/>
    </row>
    <row r="3594" spans="2:3" x14ac:dyDescent="0.35">
      <c r="B3594"/>
      <c r="C3594"/>
    </row>
    <row r="3595" spans="2:3" x14ac:dyDescent="0.35">
      <c r="B3595"/>
      <c r="C3595"/>
    </row>
    <row r="3596" spans="2:3" x14ac:dyDescent="0.35">
      <c r="B3596"/>
      <c r="C3596"/>
    </row>
    <row r="3597" spans="2:3" x14ac:dyDescent="0.35">
      <c r="B3597"/>
      <c r="C3597"/>
    </row>
    <row r="3598" spans="2:3" x14ac:dyDescent="0.35">
      <c r="B3598"/>
      <c r="C3598"/>
    </row>
    <row r="3599" spans="2:3" x14ac:dyDescent="0.35">
      <c r="B3599"/>
      <c r="C3599"/>
    </row>
    <row r="3600" spans="2:3" x14ac:dyDescent="0.35">
      <c r="B3600"/>
      <c r="C3600"/>
    </row>
    <row r="3601" spans="2:3" x14ac:dyDescent="0.35">
      <c r="B3601"/>
      <c r="C3601"/>
    </row>
    <row r="3602" spans="2:3" x14ac:dyDescent="0.35">
      <c r="B3602"/>
      <c r="C3602"/>
    </row>
    <row r="3603" spans="2:3" x14ac:dyDescent="0.35">
      <c r="B3603"/>
      <c r="C3603"/>
    </row>
    <row r="3604" spans="2:3" x14ac:dyDescent="0.35">
      <c r="B3604"/>
      <c r="C3604"/>
    </row>
    <row r="3605" spans="2:3" x14ac:dyDescent="0.35">
      <c r="B3605"/>
      <c r="C3605"/>
    </row>
    <row r="3606" spans="2:3" x14ac:dyDescent="0.35">
      <c r="B3606"/>
      <c r="C3606"/>
    </row>
    <row r="3607" spans="2:3" x14ac:dyDescent="0.35">
      <c r="B3607"/>
      <c r="C3607"/>
    </row>
    <row r="3608" spans="2:3" x14ac:dyDescent="0.35">
      <c r="B3608"/>
      <c r="C3608"/>
    </row>
    <row r="3609" spans="2:3" x14ac:dyDescent="0.35">
      <c r="B3609"/>
      <c r="C3609"/>
    </row>
    <row r="3610" spans="2:3" x14ac:dyDescent="0.35">
      <c r="B3610"/>
      <c r="C3610"/>
    </row>
    <row r="3611" spans="2:3" x14ac:dyDescent="0.35">
      <c r="B3611"/>
      <c r="C3611"/>
    </row>
    <row r="3612" spans="2:3" x14ac:dyDescent="0.35">
      <c r="B3612"/>
      <c r="C3612"/>
    </row>
    <row r="3613" spans="2:3" x14ac:dyDescent="0.35">
      <c r="B3613"/>
      <c r="C3613"/>
    </row>
    <row r="3614" spans="2:3" x14ac:dyDescent="0.35">
      <c r="B3614"/>
      <c r="C3614"/>
    </row>
    <row r="3615" spans="2:3" x14ac:dyDescent="0.35">
      <c r="B3615"/>
      <c r="C3615"/>
    </row>
    <row r="3616" spans="2:3" x14ac:dyDescent="0.35">
      <c r="B3616"/>
      <c r="C3616"/>
    </row>
    <row r="3617" spans="2:3" x14ac:dyDescent="0.35">
      <c r="B3617"/>
      <c r="C3617"/>
    </row>
    <row r="3618" spans="2:3" x14ac:dyDescent="0.35">
      <c r="B3618"/>
      <c r="C3618"/>
    </row>
    <row r="3619" spans="2:3" x14ac:dyDescent="0.35">
      <c r="B3619"/>
      <c r="C3619"/>
    </row>
    <row r="3620" spans="2:3" x14ac:dyDescent="0.35">
      <c r="B3620"/>
      <c r="C3620"/>
    </row>
    <row r="3621" spans="2:3" x14ac:dyDescent="0.35">
      <c r="B3621"/>
      <c r="C3621"/>
    </row>
    <row r="3622" spans="2:3" x14ac:dyDescent="0.35">
      <c r="B3622"/>
      <c r="C3622"/>
    </row>
    <row r="3623" spans="2:3" x14ac:dyDescent="0.35">
      <c r="B3623"/>
      <c r="C3623"/>
    </row>
    <row r="3624" spans="2:3" x14ac:dyDescent="0.35">
      <c r="B3624"/>
      <c r="C3624"/>
    </row>
    <row r="3625" spans="2:3" x14ac:dyDescent="0.35">
      <c r="B3625"/>
      <c r="C3625"/>
    </row>
    <row r="3626" spans="2:3" x14ac:dyDescent="0.35">
      <c r="B3626"/>
      <c r="C3626"/>
    </row>
    <row r="3627" spans="2:3" x14ac:dyDescent="0.35">
      <c r="B3627"/>
      <c r="C3627"/>
    </row>
    <row r="3628" spans="2:3" x14ac:dyDescent="0.35">
      <c r="B3628"/>
      <c r="C3628"/>
    </row>
    <row r="3629" spans="2:3" x14ac:dyDescent="0.35">
      <c r="B3629"/>
      <c r="C3629"/>
    </row>
    <row r="3630" spans="2:3" x14ac:dyDescent="0.35">
      <c r="B3630"/>
      <c r="C3630"/>
    </row>
    <row r="3631" spans="2:3" x14ac:dyDescent="0.35">
      <c r="B3631"/>
      <c r="C3631"/>
    </row>
    <row r="3632" spans="2:3" x14ac:dyDescent="0.35">
      <c r="B3632"/>
      <c r="C3632"/>
    </row>
    <row r="3633" spans="2:3" x14ac:dyDescent="0.35">
      <c r="B3633"/>
      <c r="C3633"/>
    </row>
    <row r="3634" spans="2:3" x14ac:dyDescent="0.35">
      <c r="B3634"/>
      <c r="C3634"/>
    </row>
    <row r="3635" spans="2:3" x14ac:dyDescent="0.35">
      <c r="B3635"/>
      <c r="C3635"/>
    </row>
    <row r="3636" spans="2:3" x14ac:dyDescent="0.35">
      <c r="B3636"/>
      <c r="C3636"/>
    </row>
    <row r="3637" spans="2:3" x14ac:dyDescent="0.35">
      <c r="B3637"/>
      <c r="C3637"/>
    </row>
    <row r="3638" spans="2:3" x14ac:dyDescent="0.35">
      <c r="B3638"/>
      <c r="C3638"/>
    </row>
    <row r="3639" spans="2:3" x14ac:dyDescent="0.35">
      <c r="B3639"/>
      <c r="C3639"/>
    </row>
    <row r="3640" spans="2:3" x14ac:dyDescent="0.35">
      <c r="B3640"/>
      <c r="C3640"/>
    </row>
    <row r="3641" spans="2:3" x14ac:dyDescent="0.35">
      <c r="B3641"/>
      <c r="C3641"/>
    </row>
    <row r="3642" spans="2:3" x14ac:dyDescent="0.35">
      <c r="B3642"/>
      <c r="C3642"/>
    </row>
    <row r="3643" spans="2:3" x14ac:dyDescent="0.35">
      <c r="B3643"/>
      <c r="C3643"/>
    </row>
    <row r="3644" spans="2:3" x14ac:dyDescent="0.35">
      <c r="B3644"/>
      <c r="C3644"/>
    </row>
    <row r="3645" spans="2:3" x14ac:dyDescent="0.35">
      <c r="B3645"/>
      <c r="C3645"/>
    </row>
    <row r="3646" spans="2:3" x14ac:dyDescent="0.35">
      <c r="B3646"/>
      <c r="C3646"/>
    </row>
    <row r="3647" spans="2:3" x14ac:dyDescent="0.35">
      <c r="B3647"/>
      <c r="C3647"/>
    </row>
    <row r="3648" spans="2:3" x14ac:dyDescent="0.35">
      <c r="B3648"/>
      <c r="C3648"/>
    </row>
    <row r="3649" spans="2:3" x14ac:dyDescent="0.35">
      <c r="B3649"/>
      <c r="C3649"/>
    </row>
    <row r="3650" spans="2:3" x14ac:dyDescent="0.35">
      <c r="B3650"/>
      <c r="C3650"/>
    </row>
    <row r="3651" spans="2:3" x14ac:dyDescent="0.35">
      <c r="B3651"/>
      <c r="C3651"/>
    </row>
    <row r="3652" spans="2:3" x14ac:dyDescent="0.35">
      <c r="B3652"/>
      <c r="C3652"/>
    </row>
    <row r="3653" spans="2:3" x14ac:dyDescent="0.35">
      <c r="B3653"/>
      <c r="C3653"/>
    </row>
    <row r="3654" spans="2:3" x14ac:dyDescent="0.35">
      <c r="B3654"/>
      <c r="C3654"/>
    </row>
    <row r="3655" spans="2:3" x14ac:dyDescent="0.35">
      <c r="B3655"/>
      <c r="C3655"/>
    </row>
    <row r="3656" spans="2:3" x14ac:dyDescent="0.35">
      <c r="B3656"/>
      <c r="C3656"/>
    </row>
    <row r="3657" spans="2:3" x14ac:dyDescent="0.35">
      <c r="B3657"/>
      <c r="C3657"/>
    </row>
    <row r="3658" spans="2:3" x14ac:dyDescent="0.35">
      <c r="B3658"/>
      <c r="C3658"/>
    </row>
    <row r="3659" spans="2:3" x14ac:dyDescent="0.35">
      <c r="B3659"/>
      <c r="C3659"/>
    </row>
    <row r="3660" spans="2:3" x14ac:dyDescent="0.35">
      <c r="B3660"/>
      <c r="C3660"/>
    </row>
    <row r="3661" spans="2:3" x14ac:dyDescent="0.35">
      <c r="B3661"/>
      <c r="C3661"/>
    </row>
    <row r="3662" spans="2:3" x14ac:dyDescent="0.35">
      <c r="B3662"/>
      <c r="C3662"/>
    </row>
    <row r="3663" spans="2:3" x14ac:dyDescent="0.35">
      <c r="B3663"/>
      <c r="C3663"/>
    </row>
    <row r="3664" spans="2:3" x14ac:dyDescent="0.35">
      <c r="B3664"/>
      <c r="C3664"/>
    </row>
    <row r="3665" spans="2:3" x14ac:dyDescent="0.35">
      <c r="B3665"/>
      <c r="C3665"/>
    </row>
    <row r="3666" spans="2:3" x14ac:dyDescent="0.35">
      <c r="B3666"/>
      <c r="C3666"/>
    </row>
    <row r="3667" spans="2:3" x14ac:dyDescent="0.35">
      <c r="B3667"/>
      <c r="C3667"/>
    </row>
    <row r="3668" spans="2:3" x14ac:dyDescent="0.35">
      <c r="B3668"/>
      <c r="C3668"/>
    </row>
    <row r="3669" spans="2:3" x14ac:dyDescent="0.35">
      <c r="B3669"/>
      <c r="C3669"/>
    </row>
    <row r="3670" spans="2:3" x14ac:dyDescent="0.35">
      <c r="B3670"/>
      <c r="C3670"/>
    </row>
    <row r="3671" spans="2:3" x14ac:dyDescent="0.35">
      <c r="B3671"/>
      <c r="C3671"/>
    </row>
    <row r="3672" spans="2:3" x14ac:dyDescent="0.35">
      <c r="B3672"/>
      <c r="C3672"/>
    </row>
    <row r="3673" spans="2:3" x14ac:dyDescent="0.35">
      <c r="B3673"/>
      <c r="C3673"/>
    </row>
    <row r="3674" spans="2:3" x14ac:dyDescent="0.35">
      <c r="B3674"/>
      <c r="C3674"/>
    </row>
    <row r="3675" spans="2:3" x14ac:dyDescent="0.35">
      <c r="B3675"/>
      <c r="C3675"/>
    </row>
    <row r="3676" spans="2:3" x14ac:dyDescent="0.35">
      <c r="B3676"/>
      <c r="C3676"/>
    </row>
    <row r="3677" spans="2:3" x14ac:dyDescent="0.35">
      <c r="B3677"/>
      <c r="C3677"/>
    </row>
    <row r="3678" spans="2:3" x14ac:dyDescent="0.35">
      <c r="B3678"/>
      <c r="C3678"/>
    </row>
    <row r="3679" spans="2:3" x14ac:dyDescent="0.35">
      <c r="B3679"/>
      <c r="C3679"/>
    </row>
    <row r="3680" spans="2:3" x14ac:dyDescent="0.35">
      <c r="B3680"/>
      <c r="C3680"/>
    </row>
    <row r="3681" spans="2:3" x14ac:dyDescent="0.35">
      <c r="B3681"/>
      <c r="C3681"/>
    </row>
    <row r="3682" spans="2:3" x14ac:dyDescent="0.35">
      <c r="B3682"/>
      <c r="C3682"/>
    </row>
    <row r="3683" spans="2:3" x14ac:dyDescent="0.35">
      <c r="B3683"/>
      <c r="C3683"/>
    </row>
    <row r="3684" spans="2:3" x14ac:dyDescent="0.35">
      <c r="B3684"/>
      <c r="C3684"/>
    </row>
    <row r="3685" spans="2:3" x14ac:dyDescent="0.35">
      <c r="B3685"/>
      <c r="C3685"/>
    </row>
    <row r="3686" spans="2:3" x14ac:dyDescent="0.35">
      <c r="B3686"/>
      <c r="C3686"/>
    </row>
    <row r="3687" spans="2:3" x14ac:dyDescent="0.35">
      <c r="B3687"/>
      <c r="C3687"/>
    </row>
    <row r="3688" spans="2:3" x14ac:dyDescent="0.35">
      <c r="B3688"/>
      <c r="C3688"/>
    </row>
    <row r="3689" spans="2:3" x14ac:dyDescent="0.35">
      <c r="B3689"/>
      <c r="C3689"/>
    </row>
    <row r="3690" spans="2:3" x14ac:dyDescent="0.35">
      <c r="B3690"/>
      <c r="C3690"/>
    </row>
    <row r="3691" spans="2:3" x14ac:dyDescent="0.35">
      <c r="B3691"/>
      <c r="C3691"/>
    </row>
    <row r="3692" spans="2:3" x14ac:dyDescent="0.35">
      <c r="B3692"/>
      <c r="C3692"/>
    </row>
    <row r="3693" spans="2:3" x14ac:dyDescent="0.35">
      <c r="B3693"/>
      <c r="C3693"/>
    </row>
    <row r="3694" spans="2:3" x14ac:dyDescent="0.35">
      <c r="B3694"/>
      <c r="C3694"/>
    </row>
    <row r="3695" spans="2:3" x14ac:dyDescent="0.35">
      <c r="B3695"/>
      <c r="C3695"/>
    </row>
    <row r="3696" spans="2:3" x14ac:dyDescent="0.35">
      <c r="B3696"/>
      <c r="C3696"/>
    </row>
    <row r="3697" spans="2:3" x14ac:dyDescent="0.35">
      <c r="B3697"/>
      <c r="C3697"/>
    </row>
    <row r="3698" spans="2:3" x14ac:dyDescent="0.35">
      <c r="B3698"/>
      <c r="C3698"/>
    </row>
    <row r="3699" spans="2:3" x14ac:dyDescent="0.35">
      <c r="B3699"/>
      <c r="C3699"/>
    </row>
    <row r="3700" spans="2:3" x14ac:dyDescent="0.35">
      <c r="B3700"/>
      <c r="C3700"/>
    </row>
    <row r="3701" spans="2:3" x14ac:dyDescent="0.35">
      <c r="B3701"/>
      <c r="C3701"/>
    </row>
    <row r="3702" spans="2:3" x14ac:dyDescent="0.35">
      <c r="B3702"/>
      <c r="C3702"/>
    </row>
    <row r="3703" spans="2:3" x14ac:dyDescent="0.35">
      <c r="B3703"/>
      <c r="C3703"/>
    </row>
    <row r="3704" spans="2:3" x14ac:dyDescent="0.35">
      <c r="B3704"/>
      <c r="C3704"/>
    </row>
    <row r="3705" spans="2:3" x14ac:dyDescent="0.35">
      <c r="B3705"/>
      <c r="C3705"/>
    </row>
    <row r="3706" spans="2:3" x14ac:dyDescent="0.35">
      <c r="B3706"/>
      <c r="C3706"/>
    </row>
    <row r="3707" spans="2:3" x14ac:dyDescent="0.35">
      <c r="B3707"/>
      <c r="C3707"/>
    </row>
    <row r="3708" spans="2:3" x14ac:dyDescent="0.35">
      <c r="B3708"/>
      <c r="C3708"/>
    </row>
    <row r="3709" spans="2:3" x14ac:dyDescent="0.35">
      <c r="B3709"/>
      <c r="C3709"/>
    </row>
    <row r="3710" spans="2:3" x14ac:dyDescent="0.35">
      <c r="B3710"/>
      <c r="C3710"/>
    </row>
    <row r="3711" spans="2:3" x14ac:dyDescent="0.35">
      <c r="B3711"/>
      <c r="C3711"/>
    </row>
    <row r="3712" spans="2:3" x14ac:dyDescent="0.35">
      <c r="B3712"/>
      <c r="C3712"/>
    </row>
    <row r="3713" spans="2:3" x14ac:dyDescent="0.35">
      <c r="B3713"/>
      <c r="C3713"/>
    </row>
    <row r="3714" spans="2:3" x14ac:dyDescent="0.35">
      <c r="B3714"/>
      <c r="C3714"/>
    </row>
    <row r="3715" spans="2:3" x14ac:dyDescent="0.35">
      <c r="B3715"/>
      <c r="C3715"/>
    </row>
    <row r="3716" spans="2:3" x14ac:dyDescent="0.35">
      <c r="B3716"/>
      <c r="C3716"/>
    </row>
    <row r="3717" spans="2:3" x14ac:dyDescent="0.35">
      <c r="B3717"/>
      <c r="C3717"/>
    </row>
    <row r="3718" spans="2:3" x14ac:dyDescent="0.35">
      <c r="B3718"/>
      <c r="C3718"/>
    </row>
    <row r="3719" spans="2:3" x14ac:dyDescent="0.35">
      <c r="B3719"/>
      <c r="C3719"/>
    </row>
    <row r="3720" spans="2:3" x14ac:dyDescent="0.35">
      <c r="B3720"/>
      <c r="C3720"/>
    </row>
    <row r="3721" spans="2:3" x14ac:dyDescent="0.35">
      <c r="B3721"/>
      <c r="C3721"/>
    </row>
    <row r="3722" spans="2:3" x14ac:dyDescent="0.35">
      <c r="B3722"/>
      <c r="C3722"/>
    </row>
    <row r="3723" spans="2:3" x14ac:dyDescent="0.35">
      <c r="B3723"/>
      <c r="C3723"/>
    </row>
    <row r="3724" spans="2:3" x14ac:dyDescent="0.35">
      <c r="B3724"/>
      <c r="C3724"/>
    </row>
    <row r="3725" spans="2:3" x14ac:dyDescent="0.35">
      <c r="B3725"/>
      <c r="C3725"/>
    </row>
    <row r="3726" spans="2:3" x14ac:dyDescent="0.35">
      <c r="B3726"/>
      <c r="C3726"/>
    </row>
    <row r="3727" spans="2:3" x14ac:dyDescent="0.35">
      <c r="B3727"/>
      <c r="C3727"/>
    </row>
    <row r="3728" spans="2:3" x14ac:dyDescent="0.35">
      <c r="B3728"/>
      <c r="C3728"/>
    </row>
    <row r="3729" spans="2:3" x14ac:dyDescent="0.35">
      <c r="B3729"/>
      <c r="C3729"/>
    </row>
    <row r="3730" spans="2:3" x14ac:dyDescent="0.35">
      <c r="B3730"/>
      <c r="C3730"/>
    </row>
    <row r="3731" spans="2:3" x14ac:dyDescent="0.35">
      <c r="B3731"/>
      <c r="C3731"/>
    </row>
    <row r="3732" spans="2:3" x14ac:dyDescent="0.35">
      <c r="B3732"/>
      <c r="C3732"/>
    </row>
    <row r="3733" spans="2:3" x14ac:dyDescent="0.35">
      <c r="B3733"/>
      <c r="C3733"/>
    </row>
    <row r="3734" spans="2:3" x14ac:dyDescent="0.35">
      <c r="B3734"/>
      <c r="C3734"/>
    </row>
    <row r="3735" spans="2:3" x14ac:dyDescent="0.35">
      <c r="B3735"/>
      <c r="C3735"/>
    </row>
    <row r="3736" spans="2:3" x14ac:dyDescent="0.35">
      <c r="B3736"/>
      <c r="C3736"/>
    </row>
    <row r="3737" spans="2:3" x14ac:dyDescent="0.35">
      <c r="B3737"/>
      <c r="C3737"/>
    </row>
    <row r="3738" spans="2:3" x14ac:dyDescent="0.35">
      <c r="B3738"/>
      <c r="C3738"/>
    </row>
    <row r="3739" spans="2:3" x14ac:dyDescent="0.35">
      <c r="B3739"/>
      <c r="C3739"/>
    </row>
    <row r="3740" spans="2:3" x14ac:dyDescent="0.35">
      <c r="B3740"/>
      <c r="C3740"/>
    </row>
    <row r="3741" spans="2:3" x14ac:dyDescent="0.35">
      <c r="B3741"/>
      <c r="C3741"/>
    </row>
    <row r="3742" spans="2:3" x14ac:dyDescent="0.35">
      <c r="B3742"/>
      <c r="C3742"/>
    </row>
    <row r="3743" spans="2:3" x14ac:dyDescent="0.35">
      <c r="B3743"/>
      <c r="C3743"/>
    </row>
    <row r="3744" spans="2:3" x14ac:dyDescent="0.35">
      <c r="B3744"/>
      <c r="C3744"/>
    </row>
    <row r="3745" spans="2:3" x14ac:dyDescent="0.35">
      <c r="B3745"/>
      <c r="C3745"/>
    </row>
    <row r="3746" spans="2:3" x14ac:dyDescent="0.35">
      <c r="B3746"/>
      <c r="C3746"/>
    </row>
    <row r="3747" spans="2:3" x14ac:dyDescent="0.35">
      <c r="B3747"/>
      <c r="C3747"/>
    </row>
    <row r="3748" spans="2:3" x14ac:dyDescent="0.35">
      <c r="B3748"/>
      <c r="C3748"/>
    </row>
    <row r="3749" spans="2:3" x14ac:dyDescent="0.35">
      <c r="B3749"/>
      <c r="C3749"/>
    </row>
    <row r="3750" spans="2:3" x14ac:dyDescent="0.35">
      <c r="B3750"/>
      <c r="C3750"/>
    </row>
    <row r="3751" spans="2:3" x14ac:dyDescent="0.35">
      <c r="B3751"/>
      <c r="C3751"/>
    </row>
    <row r="3752" spans="2:3" x14ac:dyDescent="0.35">
      <c r="B3752"/>
      <c r="C3752"/>
    </row>
    <row r="3753" spans="2:3" x14ac:dyDescent="0.35">
      <c r="B3753"/>
      <c r="C3753"/>
    </row>
    <row r="3754" spans="2:3" x14ac:dyDescent="0.35">
      <c r="B3754"/>
      <c r="C3754"/>
    </row>
    <row r="3755" spans="2:3" x14ac:dyDescent="0.35">
      <c r="B3755"/>
      <c r="C3755"/>
    </row>
    <row r="3756" spans="2:3" x14ac:dyDescent="0.35">
      <c r="B3756"/>
      <c r="C3756"/>
    </row>
    <row r="3757" spans="2:3" x14ac:dyDescent="0.35">
      <c r="B3757"/>
      <c r="C3757"/>
    </row>
    <row r="3758" spans="2:3" x14ac:dyDescent="0.35">
      <c r="B3758"/>
      <c r="C3758"/>
    </row>
    <row r="3759" spans="2:3" x14ac:dyDescent="0.35">
      <c r="B3759"/>
      <c r="C3759"/>
    </row>
    <row r="3760" spans="2:3" x14ac:dyDescent="0.35">
      <c r="B3760"/>
      <c r="C3760"/>
    </row>
    <row r="3761" spans="2:3" x14ac:dyDescent="0.35">
      <c r="B3761"/>
      <c r="C3761"/>
    </row>
    <row r="3762" spans="2:3" x14ac:dyDescent="0.35">
      <c r="B3762"/>
      <c r="C3762"/>
    </row>
    <row r="3763" spans="2:3" x14ac:dyDescent="0.35">
      <c r="B3763"/>
      <c r="C3763"/>
    </row>
    <row r="3764" spans="2:3" x14ac:dyDescent="0.35">
      <c r="B3764"/>
      <c r="C3764"/>
    </row>
    <row r="3765" spans="2:3" x14ac:dyDescent="0.35">
      <c r="B3765"/>
      <c r="C3765"/>
    </row>
    <row r="3766" spans="2:3" x14ac:dyDescent="0.35">
      <c r="B3766"/>
      <c r="C3766"/>
    </row>
    <row r="3767" spans="2:3" x14ac:dyDescent="0.35">
      <c r="B3767"/>
      <c r="C3767"/>
    </row>
    <row r="3768" spans="2:3" x14ac:dyDescent="0.35">
      <c r="B3768"/>
      <c r="C3768"/>
    </row>
    <row r="3769" spans="2:3" x14ac:dyDescent="0.35">
      <c r="B3769"/>
      <c r="C3769"/>
    </row>
    <row r="3770" spans="2:3" x14ac:dyDescent="0.35">
      <c r="B3770"/>
      <c r="C3770"/>
    </row>
    <row r="3771" spans="2:3" x14ac:dyDescent="0.35">
      <c r="B3771"/>
      <c r="C3771"/>
    </row>
    <row r="3772" spans="2:3" x14ac:dyDescent="0.35">
      <c r="B3772"/>
      <c r="C3772"/>
    </row>
    <row r="3773" spans="2:3" x14ac:dyDescent="0.35">
      <c r="B3773"/>
      <c r="C3773"/>
    </row>
    <row r="3774" spans="2:3" x14ac:dyDescent="0.35">
      <c r="B3774"/>
      <c r="C3774"/>
    </row>
    <row r="3775" spans="2:3" x14ac:dyDescent="0.35">
      <c r="B3775"/>
      <c r="C3775"/>
    </row>
    <row r="3776" spans="2:3" x14ac:dyDescent="0.35">
      <c r="B3776"/>
      <c r="C3776"/>
    </row>
    <row r="3777" spans="2:3" x14ac:dyDescent="0.35">
      <c r="B3777"/>
      <c r="C3777"/>
    </row>
    <row r="3778" spans="2:3" x14ac:dyDescent="0.35">
      <c r="B3778"/>
      <c r="C3778"/>
    </row>
    <row r="3779" spans="2:3" x14ac:dyDescent="0.35">
      <c r="B3779"/>
      <c r="C3779"/>
    </row>
    <row r="3780" spans="2:3" x14ac:dyDescent="0.35">
      <c r="B3780"/>
      <c r="C3780"/>
    </row>
    <row r="3781" spans="2:3" x14ac:dyDescent="0.35">
      <c r="B3781"/>
      <c r="C3781"/>
    </row>
    <row r="3782" spans="2:3" x14ac:dyDescent="0.35">
      <c r="B3782"/>
      <c r="C3782"/>
    </row>
    <row r="3783" spans="2:3" x14ac:dyDescent="0.35">
      <c r="B3783"/>
      <c r="C3783"/>
    </row>
    <row r="3784" spans="2:3" x14ac:dyDescent="0.35">
      <c r="B3784"/>
      <c r="C3784"/>
    </row>
    <row r="3785" spans="2:3" x14ac:dyDescent="0.35">
      <c r="B3785"/>
      <c r="C3785"/>
    </row>
    <row r="3786" spans="2:3" x14ac:dyDescent="0.35">
      <c r="B3786"/>
      <c r="C3786"/>
    </row>
    <row r="3787" spans="2:3" x14ac:dyDescent="0.35">
      <c r="B3787"/>
      <c r="C3787"/>
    </row>
    <row r="3788" spans="2:3" x14ac:dyDescent="0.35">
      <c r="B3788"/>
      <c r="C3788"/>
    </row>
    <row r="3789" spans="2:3" x14ac:dyDescent="0.35">
      <c r="B3789"/>
      <c r="C3789"/>
    </row>
    <row r="3790" spans="2:3" x14ac:dyDescent="0.35">
      <c r="B3790"/>
      <c r="C3790"/>
    </row>
    <row r="3791" spans="2:3" x14ac:dyDescent="0.35">
      <c r="B3791"/>
      <c r="C3791"/>
    </row>
    <row r="3792" spans="2:3" x14ac:dyDescent="0.35">
      <c r="B3792"/>
      <c r="C3792"/>
    </row>
    <row r="3793" spans="2:3" x14ac:dyDescent="0.35">
      <c r="B3793"/>
      <c r="C3793"/>
    </row>
    <row r="3794" spans="2:3" x14ac:dyDescent="0.35">
      <c r="B3794"/>
      <c r="C3794"/>
    </row>
    <row r="3795" spans="2:3" x14ac:dyDescent="0.35">
      <c r="B3795"/>
      <c r="C3795"/>
    </row>
    <row r="3796" spans="2:3" x14ac:dyDescent="0.35">
      <c r="B3796"/>
      <c r="C3796"/>
    </row>
    <row r="3797" spans="2:3" x14ac:dyDescent="0.35">
      <c r="B3797"/>
      <c r="C3797"/>
    </row>
    <row r="3798" spans="2:3" x14ac:dyDescent="0.35">
      <c r="B3798"/>
      <c r="C3798"/>
    </row>
    <row r="3799" spans="2:3" x14ac:dyDescent="0.35">
      <c r="B3799"/>
      <c r="C3799"/>
    </row>
    <row r="3800" spans="2:3" x14ac:dyDescent="0.35">
      <c r="B3800"/>
      <c r="C3800"/>
    </row>
    <row r="3801" spans="2:3" x14ac:dyDescent="0.35">
      <c r="B3801"/>
      <c r="C3801"/>
    </row>
    <row r="3802" spans="2:3" x14ac:dyDescent="0.35">
      <c r="B3802"/>
      <c r="C3802"/>
    </row>
    <row r="3803" spans="2:3" x14ac:dyDescent="0.35">
      <c r="B3803"/>
      <c r="C3803"/>
    </row>
    <row r="3804" spans="2:3" x14ac:dyDescent="0.35">
      <c r="B3804"/>
      <c r="C3804"/>
    </row>
    <row r="3805" spans="2:3" x14ac:dyDescent="0.35">
      <c r="B3805"/>
      <c r="C3805"/>
    </row>
    <row r="3806" spans="2:3" x14ac:dyDescent="0.35">
      <c r="B3806"/>
      <c r="C3806"/>
    </row>
    <row r="3807" spans="2:3" x14ac:dyDescent="0.35">
      <c r="B3807"/>
      <c r="C3807"/>
    </row>
    <row r="3808" spans="2:3" x14ac:dyDescent="0.35">
      <c r="B3808"/>
      <c r="C3808"/>
    </row>
    <row r="3809" spans="2:3" x14ac:dyDescent="0.35">
      <c r="B3809"/>
      <c r="C3809"/>
    </row>
    <row r="3810" spans="2:3" x14ac:dyDescent="0.35">
      <c r="B3810"/>
      <c r="C3810"/>
    </row>
    <row r="3811" spans="2:3" x14ac:dyDescent="0.35">
      <c r="B3811"/>
      <c r="C3811"/>
    </row>
    <row r="3812" spans="2:3" x14ac:dyDescent="0.35">
      <c r="B3812"/>
      <c r="C3812"/>
    </row>
    <row r="3813" spans="2:3" x14ac:dyDescent="0.35">
      <c r="B3813"/>
      <c r="C3813"/>
    </row>
    <row r="3814" spans="2:3" x14ac:dyDescent="0.35">
      <c r="B3814"/>
      <c r="C3814"/>
    </row>
    <row r="3815" spans="2:3" x14ac:dyDescent="0.35">
      <c r="B3815"/>
      <c r="C3815"/>
    </row>
    <row r="3816" spans="2:3" x14ac:dyDescent="0.35">
      <c r="B3816"/>
      <c r="C3816"/>
    </row>
    <row r="3817" spans="2:3" x14ac:dyDescent="0.35">
      <c r="B3817"/>
      <c r="C3817"/>
    </row>
    <row r="3818" spans="2:3" x14ac:dyDescent="0.35">
      <c r="B3818"/>
      <c r="C3818"/>
    </row>
    <row r="3819" spans="2:3" x14ac:dyDescent="0.35">
      <c r="B3819"/>
      <c r="C3819"/>
    </row>
    <row r="3820" spans="2:3" x14ac:dyDescent="0.35">
      <c r="B3820"/>
      <c r="C3820"/>
    </row>
    <row r="3821" spans="2:3" x14ac:dyDescent="0.35">
      <c r="B3821"/>
      <c r="C3821"/>
    </row>
    <row r="3822" spans="2:3" x14ac:dyDescent="0.35">
      <c r="B3822"/>
      <c r="C3822"/>
    </row>
    <row r="3823" spans="2:3" x14ac:dyDescent="0.35">
      <c r="B3823"/>
      <c r="C3823"/>
    </row>
    <row r="3824" spans="2:3" x14ac:dyDescent="0.35">
      <c r="B3824"/>
      <c r="C3824"/>
    </row>
    <row r="3825" spans="2:3" x14ac:dyDescent="0.35">
      <c r="B3825"/>
      <c r="C3825"/>
    </row>
    <row r="3826" spans="2:3" x14ac:dyDescent="0.35">
      <c r="B3826"/>
      <c r="C3826"/>
    </row>
    <row r="3827" spans="2:3" x14ac:dyDescent="0.35">
      <c r="B3827"/>
      <c r="C3827"/>
    </row>
    <row r="3828" spans="2:3" x14ac:dyDescent="0.35">
      <c r="B3828"/>
      <c r="C3828"/>
    </row>
    <row r="3829" spans="2:3" x14ac:dyDescent="0.35">
      <c r="B3829"/>
      <c r="C3829"/>
    </row>
    <row r="3830" spans="2:3" x14ac:dyDescent="0.35">
      <c r="B3830"/>
      <c r="C3830"/>
    </row>
    <row r="3831" spans="2:3" x14ac:dyDescent="0.35">
      <c r="B3831"/>
      <c r="C3831"/>
    </row>
    <row r="3832" spans="2:3" x14ac:dyDescent="0.35">
      <c r="B3832"/>
      <c r="C3832"/>
    </row>
    <row r="3833" spans="2:3" x14ac:dyDescent="0.35">
      <c r="B3833"/>
      <c r="C3833"/>
    </row>
    <row r="3834" spans="2:3" x14ac:dyDescent="0.35">
      <c r="B3834"/>
      <c r="C3834"/>
    </row>
    <row r="3835" spans="2:3" x14ac:dyDescent="0.35">
      <c r="B3835"/>
      <c r="C3835"/>
    </row>
    <row r="3836" spans="2:3" x14ac:dyDescent="0.35">
      <c r="B3836"/>
      <c r="C3836"/>
    </row>
    <row r="3837" spans="2:3" x14ac:dyDescent="0.35">
      <c r="B3837"/>
      <c r="C3837"/>
    </row>
    <row r="3838" spans="2:3" x14ac:dyDescent="0.35">
      <c r="B3838"/>
      <c r="C3838"/>
    </row>
    <row r="3839" spans="2:3" x14ac:dyDescent="0.35">
      <c r="B3839"/>
      <c r="C3839"/>
    </row>
    <row r="3840" spans="2:3" x14ac:dyDescent="0.35">
      <c r="B3840"/>
      <c r="C3840"/>
    </row>
    <row r="3841" spans="2:3" x14ac:dyDescent="0.35">
      <c r="B3841"/>
      <c r="C3841"/>
    </row>
    <row r="3842" spans="2:3" x14ac:dyDescent="0.35">
      <c r="B3842"/>
      <c r="C3842"/>
    </row>
    <row r="3843" spans="2:3" x14ac:dyDescent="0.35">
      <c r="B3843"/>
      <c r="C3843"/>
    </row>
    <row r="3844" spans="2:3" x14ac:dyDescent="0.35">
      <c r="B3844"/>
      <c r="C3844"/>
    </row>
    <row r="3845" spans="2:3" x14ac:dyDescent="0.35">
      <c r="B3845"/>
      <c r="C3845"/>
    </row>
    <row r="3846" spans="2:3" x14ac:dyDescent="0.35">
      <c r="B3846"/>
      <c r="C3846"/>
    </row>
    <row r="3847" spans="2:3" x14ac:dyDescent="0.35">
      <c r="B3847"/>
      <c r="C3847"/>
    </row>
    <row r="3848" spans="2:3" x14ac:dyDescent="0.35">
      <c r="B3848"/>
      <c r="C3848"/>
    </row>
    <row r="3849" spans="2:3" x14ac:dyDescent="0.35">
      <c r="B3849"/>
      <c r="C3849"/>
    </row>
    <row r="3850" spans="2:3" x14ac:dyDescent="0.35">
      <c r="B3850"/>
      <c r="C3850"/>
    </row>
    <row r="3851" spans="2:3" x14ac:dyDescent="0.35">
      <c r="B3851"/>
      <c r="C3851"/>
    </row>
    <row r="3852" spans="2:3" x14ac:dyDescent="0.35">
      <c r="B3852"/>
      <c r="C3852"/>
    </row>
    <row r="3853" spans="2:3" x14ac:dyDescent="0.35">
      <c r="B3853"/>
      <c r="C3853"/>
    </row>
    <row r="3854" spans="2:3" x14ac:dyDescent="0.35">
      <c r="B3854"/>
      <c r="C3854"/>
    </row>
    <row r="3855" spans="2:3" x14ac:dyDescent="0.35">
      <c r="B3855"/>
      <c r="C3855"/>
    </row>
    <row r="3856" spans="2:3" x14ac:dyDescent="0.35">
      <c r="B3856"/>
      <c r="C3856"/>
    </row>
    <row r="3857" spans="2:3" x14ac:dyDescent="0.35">
      <c r="B3857"/>
      <c r="C3857"/>
    </row>
    <row r="3858" spans="2:3" x14ac:dyDescent="0.35">
      <c r="B3858"/>
      <c r="C3858"/>
    </row>
    <row r="3859" spans="2:3" x14ac:dyDescent="0.35">
      <c r="B3859"/>
      <c r="C3859"/>
    </row>
    <row r="3860" spans="2:3" x14ac:dyDescent="0.35">
      <c r="B3860"/>
      <c r="C3860"/>
    </row>
    <row r="3861" spans="2:3" x14ac:dyDescent="0.35">
      <c r="B3861"/>
      <c r="C3861"/>
    </row>
    <row r="3862" spans="2:3" x14ac:dyDescent="0.35">
      <c r="B3862"/>
      <c r="C3862"/>
    </row>
    <row r="3863" spans="2:3" x14ac:dyDescent="0.35">
      <c r="B3863"/>
      <c r="C3863"/>
    </row>
    <row r="3864" spans="2:3" x14ac:dyDescent="0.35">
      <c r="B3864"/>
      <c r="C3864"/>
    </row>
    <row r="3865" spans="2:3" x14ac:dyDescent="0.35">
      <c r="B3865"/>
      <c r="C3865"/>
    </row>
    <row r="3866" spans="2:3" x14ac:dyDescent="0.35">
      <c r="B3866"/>
      <c r="C3866"/>
    </row>
    <row r="3867" spans="2:3" x14ac:dyDescent="0.35">
      <c r="B3867"/>
      <c r="C3867"/>
    </row>
    <row r="3868" spans="2:3" x14ac:dyDescent="0.35">
      <c r="B3868"/>
      <c r="C3868"/>
    </row>
    <row r="3869" spans="2:3" x14ac:dyDescent="0.35">
      <c r="B3869"/>
      <c r="C3869"/>
    </row>
    <row r="3870" spans="2:3" x14ac:dyDescent="0.35">
      <c r="B3870"/>
      <c r="C3870"/>
    </row>
    <row r="3871" spans="2:3" x14ac:dyDescent="0.35">
      <c r="B3871"/>
      <c r="C3871"/>
    </row>
    <row r="3872" spans="2:3" x14ac:dyDescent="0.35">
      <c r="B3872"/>
      <c r="C3872"/>
    </row>
    <row r="3873" spans="2:3" x14ac:dyDescent="0.35">
      <c r="B3873"/>
      <c r="C3873"/>
    </row>
    <row r="3874" spans="2:3" x14ac:dyDescent="0.35">
      <c r="B3874"/>
      <c r="C3874"/>
    </row>
    <row r="3875" spans="2:3" x14ac:dyDescent="0.35">
      <c r="B3875"/>
      <c r="C3875"/>
    </row>
    <row r="3876" spans="2:3" x14ac:dyDescent="0.35">
      <c r="B3876"/>
      <c r="C3876"/>
    </row>
    <row r="3877" spans="2:3" x14ac:dyDescent="0.35">
      <c r="B3877"/>
      <c r="C3877"/>
    </row>
    <row r="3878" spans="2:3" x14ac:dyDescent="0.35">
      <c r="B3878"/>
      <c r="C3878"/>
    </row>
    <row r="3879" spans="2:3" x14ac:dyDescent="0.35">
      <c r="B3879"/>
      <c r="C3879"/>
    </row>
    <row r="3880" spans="2:3" x14ac:dyDescent="0.35">
      <c r="B3880"/>
      <c r="C3880"/>
    </row>
    <row r="3881" spans="2:3" x14ac:dyDescent="0.35">
      <c r="B3881"/>
      <c r="C3881"/>
    </row>
    <row r="3882" spans="2:3" x14ac:dyDescent="0.35">
      <c r="B3882"/>
      <c r="C3882"/>
    </row>
    <row r="3883" spans="2:3" x14ac:dyDescent="0.35">
      <c r="B3883"/>
      <c r="C3883"/>
    </row>
    <row r="3884" spans="2:3" x14ac:dyDescent="0.35">
      <c r="B3884"/>
      <c r="C3884"/>
    </row>
    <row r="3885" spans="2:3" x14ac:dyDescent="0.35">
      <c r="B3885"/>
      <c r="C3885"/>
    </row>
    <row r="3886" spans="2:3" x14ac:dyDescent="0.35">
      <c r="B3886"/>
      <c r="C3886"/>
    </row>
    <row r="3887" spans="2:3" x14ac:dyDescent="0.35">
      <c r="B3887"/>
      <c r="C3887"/>
    </row>
    <row r="3888" spans="2:3" x14ac:dyDescent="0.35">
      <c r="B3888"/>
      <c r="C3888"/>
    </row>
    <row r="3889" spans="2:3" x14ac:dyDescent="0.35">
      <c r="B3889"/>
      <c r="C3889"/>
    </row>
    <row r="3890" spans="2:3" x14ac:dyDescent="0.35">
      <c r="B3890"/>
      <c r="C3890"/>
    </row>
    <row r="3891" spans="2:3" x14ac:dyDescent="0.35">
      <c r="B3891"/>
      <c r="C3891"/>
    </row>
    <row r="3892" spans="2:3" x14ac:dyDescent="0.35">
      <c r="B3892"/>
      <c r="C3892"/>
    </row>
    <row r="3893" spans="2:3" x14ac:dyDescent="0.35">
      <c r="B3893"/>
      <c r="C3893"/>
    </row>
    <row r="3894" spans="2:3" x14ac:dyDescent="0.35">
      <c r="B3894"/>
      <c r="C3894"/>
    </row>
    <row r="3895" spans="2:3" x14ac:dyDescent="0.35">
      <c r="B3895"/>
      <c r="C3895"/>
    </row>
    <row r="3896" spans="2:3" x14ac:dyDescent="0.35">
      <c r="B3896"/>
      <c r="C3896"/>
    </row>
    <row r="3897" spans="2:3" x14ac:dyDescent="0.35">
      <c r="B3897"/>
      <c r="C3897"/>
    </row>
    <row r="3898" spans="2:3" x14ac:dyDescent="0.35">
      <c r="B3898"/>
      <c r="C3898"/>
    </row>
    <row r="3899" spans="2:3" x14ac:dyDescent="0.35">
      <c r="B3899"/>
      <c r="C3899"/>
    </row>
    <row r="3900" spans="2:3" x14ac:dyDescent="0.35">
      <c r="B3900"/>
      <c r="C3900"/>
    </row>
    <row r="3901" spans="2:3" x14ac:dyDescent="0.35">
      <c r="B3901"/>
      <c r="C3901"/>
    </row>
    <row r="3902" spans="2:3" x14ac:dyDescent="0.35">
      <c r="B3902"/>
      <c r="C3902"/>
    </row>
    <row r="3903" spans="2:3" x14ac:dyDescent="0.35">
      <c r="B3903"/>
      <c r="C3903"/>
    </row>
    <row r="3904" spans="2:3" x14ac:dyDescent="0.35">
      <c r="B3904"/>
      <c r="C3904"/>
    </row>
    <row r="3905" spans="2:3" x14ac:dyDescent="0.35">
      <c r="B3905"/>
      <c r="C3905"/>
    </row>
    <row r="3906" spans="2:3" x14ac:dyDescent="0.35">
      <c r="B3906"/>
      <c r="C3906"/>
    </row>
    <row r="3907" spans="2:3" x14ac:dyDescent="0.35">
      <c r="B3907"/>
      <c r="C3907"/>
    </row>
    <row r="3908" spans="2:3" x14ac:dyDescent="0.35">
      <c r="B3908"/>
      <c r="C3908"/>
    </row>
    <row r="3909" spans="2:3" x14ac:dyDescent="0.35">
      <c r="B3909"/>
      <c r="C3909"/>
    </row>
    <row r="3910" spans="2:3" x14ac:dyDescent="0.35">
      <c r="B3910"/>
      <c r="C3910"/>
    </row>
    <row r="3911" spans="2:3" x14ac:dyDescent="0.35">
      <c r="B3911"/>
      <c r="C3911"/>
    </row>
    <row r="3912" spans="2:3" x14ac:dyDescent="0.35">
      <c r="B3912"/>
      <c r="C3912"/>
    </row>
    <row r="3913" spans="2:3" x14ac:dyDescent="0.35">
      <c r="B3913"/>
      <c r="C3913"/>
    </row>
    <row r="3914" spans="2:3" x14ac:dyDescent="0.35">
      <c r="B3914"/>
      <c r="C3914"/>
    </row>
    <row r="3915" spans="2:3" x14ac:dyDescent="0.35">
      <c r="B3915"/>
      <c r="C3915"/>
    </row>
    <row r="3916" spans="2:3" x14ac:dyDescent="0.35">
      <c r="B3916"/>
      <c r="C3916"/>
    </row>
    <row r="3917" spans="2:3" x14ac:dyDescent="0.35">
      <c r="B3917"/>
      <c r="C3917"/>
    </row>
    <row r="3918" spans="2:3" x14ac:dyDescent="0.35">
      <c r="B3918"/>
      <c r="C3918"/>
    </row>
    <row r="3919" spans="2:3" x14ac:dyDescent="0.35">
      <c r="B3919"/>
      <c r="C3919"/>
    </row>
    <row r="3920" spans="2:3" x14ac:dyDescent="0.35">
      <c r="B3920"/>
      <c r="C3920"/>
    </row>
    <row r="3921" spans="2:3" x14ac:dyDescent="0.35">
      <c r="B3921"/>
      <c r="C3921"/>
    </row>
    <row r="3922" spans="2:3" x14ac:dyDescent="0.35">
      <c r="B3922"/>
      <c r="C3922"/>
    </row>
    <row r="3923" spans="2:3" x14ac:dyDescent="0.35">
      <c r="B3923"/>
      <c r="C3923"/>
    </row>
    <row r="3924" spans="2:3" x14ac:dyDescent="0.35">
      <c r="B3924"/>
      <c r="C3924"/>
    </row>
    <row r="3925" spans="2:3" x14ac:dyDescent="0.35">
      <c r="B3925"/>
      <c r="C3925"/>
    </row>
    <row r="3926" spans="2:3" x14ac:dyDescent="0.35">
      <c r="B3926"/>
      <c r="C3926"/>
    </row>
    <row r="3927" spans="2:3" x14ac:dyDescent="0.35">
      <c r="B3927"/>
      <c r="C3927"/>
    </row>
    <row r="3928" spans="2:3" x14ac:dyDescent="0.35">
      <c r="B3928"/>
      <c r="C3928"/>
    </row>
    <row r="3929" spans="2:3" x14ac:dyDescent="0.35">
      <c r="B3929"/>
      <c r="C3929"/>
    </row>
    <row r="3930" spans="2:3" x14ac:dyDescent="0.35">
      <c r="B3930"/>
      <c r="C3930"/>
    </row>
    <row r="3931" spans="2:3" x14ac:dyDescent="0.35">
      <c r="B3931"/>
      <c r="C3931"/>
    </row>
    <row r="3932" spans="2:3" x14ac:dyDescent="0.35">
      <c r="B3932"/>
      <c r="C3932"/>
    </row>
    <row r="3933" spans="2:3" x14ac:dyDescent="0.35">
      <c r="B3933"/>
      <c r="C3933"/>
    </row>
    <row r="3934" spans="2:3" x14ac:dyDescent="0.35">
      <c r="B3934"/>
      <c r="C3934"/>
    </row>
    <row r="3935" spans="2:3" x14ac:dyDescent="0.35">
      <c r="B3935"/>
      <c r="C3935"/>
    </row>
    <row r="3936" spans="2:3" x14ac:dyDescent="0.35">
      <c r="B3936"/>
      <c r="C3936"/>
    </row>
    <row r="3937" spans="2:3" x14ac:dyDescent="0.35">
      <c r="B3937"/>
      <c r="C3937"/>
    </row>
    <row r="3938" spans="2:3" x14ac:dyDescent="0.35">
      <c r="B3938"/>
      <c r="C3938"/>
    </row>
    <row r="3939" spans="2:3" x14ac:dyDescent="0.35">
      <c r="B3939"/>
      <c r="C3939"/>
    </row>
    <row r="3940" spans="2:3" x14ac:dyDescent="0.35">
      <c r="B3940"/>
      <c r="C3940"/>
    </row>
    <row r="3941" spans="2:3" x14ac:dyDescent="0.35">
      <c r="B3941"/>
      <c r="C3941"/>
    </row>
    <row r="3942" spans="2:3" x14ac:dyDescent="0.35">
      <c r="B3942"/>
      <c r="C3942"/>
    </row>
    <row r="3943" spans="2:3" x14ac:dyDescent="0.35">
      <c r="B3943"/>
      <c r="C3943"/>
    </row>
    <row r="3944" spans="2:3" x14ac:dyDescent="0.35">
      <c r="B3944"/>
      <c r="C3944"/>
    </row>
    <row r="3945" spans="2:3" x14ac:dyDescent="0.35">
      <c r="B3945"/>
      <c r="C3945"/>
    </row>
    <row r="3946" spans="2:3" x14ac:dyDescent="0.35">
      <c r="B3946"/>
      <c r="C3946"/>
    </row>
    <row r="3947" spans="2:3" x14ac:dyDescent="0.35">
      <c r="B3947"/>
      <c r="C3947"/>
    </row>
    <row r="3948" spans="2:3" x14ac:dyDescent="0.35">
      <c r="B3948"/>
      <c r="C3948"/>
    </row>
    <row r="3949" spans="2:3" x14ac:dyDescent="0.35">
      <c r="B3949"/>
      <c r="C3949"/>
    </row>
    <row r="3950" spans="2:3" x14ac:dyDescent="0.35">
      <c r="B3950"/>
      <c r="C3950"/>
    </row>
    <row r="3951" spans="2:3" x14ac:dyDescent="0.35">
      <c r="B3951"/>
      <c r="C3951"/>
    </row>
    <row r="3952" spans="2:3" x14ac:dyDescent="0.35">
      <c r="B3952"/>
      <c r="C3952"/>
    </row>
    <row r="3953" spans="2:3" x14ac:dyDescent="0.35">
      <c r="B3953"/>
      <c r="C3953"/>
    </row>
    <row r="3954" spans="2:3" x14ac:dyDescent="0.35">
      <c r="B3954"/>
      <c r="C3954"/>
    </row>
    <row r="3955" spans="2:3" x14ac:dyDescent="0.35">
      <c r="B3955"/>
      <c r="C3955"/>
    </row>
    <row r="3956" spans="2:3" x14ac:dyDescent="0.35">
      <c r="B3956"/>
      <c r="C3956"/>
    </row>
    <row r="3957" spans="2:3" x14ac:dyDescent="0.35">
      <c r="B3957"/>
      <c r="C3957"/>
    </row>
    <row r="3958" spans="2:3" x14ac:dyDescent="0.35">
      <c r="B3958"/>
      <c r="C3958"/>
    </row>
    <row r="3959" spans="2:3" x14ac:dyDescent="0.35">
      <c r="B3959"/>
      <c r="C3959"/>
    </row>
    <row r="3960" spans="2:3" x14ac:dyDescent="0.35">
      <c r="B3960"/>
      <c r="C3960"/>
    </row>
    <row r="3961" spans="2:3" x14ac:dyDescent="0.35">
      <c r="B3961"/>
      <c r="C3961"/>
    </row>
    <row r="3962" spans="2:3" x14ac:dyDescent="0.35">
      <c r="B3962"/>
      <c r="C3962"/>
    </row>
    <row r="3963" spans="2:3" x14ac:dyDescent="0.35">
      <c r="B3963"/>
      <c r="C3963"/>
    </row>
    <row r="3964" spans="2:3" x14ac:dyDescent="0.35">
      <c r="B3964"/>
      <c r="C3964"/>
    </row>
    <row r="3965" spans="2:3" x14ac:dyDescent="0.35">
      <c r="B3965"/>
      <c r="C3965"/>
    </row>
    <row r="3966" spans="2:3" x14ac:dyDescent="0.35">
      <c r="B3966"/>
      <c r="C3966"/>
    </row>
    <row r="3967" spans="2:3" x14ac:dyDescent="0.35">
      <c r="B3967"/>
      <c r="C3967"/>
    </row>
    <row r="3968" spans="2:3" x14ac:dyDescent="0.35">
      <c r="B3968"/>
      <c r="C3968"/>
    </row>
    <row r="3969" spans="2:3" x14ac:dyDescent="0.35">
      <c r="B3969"/>
      <c r="C3969"/>
    </row>
    <row r="3970" spans="2:3" x14ac:dyDescent="0.35">
      <c r="B3970"/>
      <c r="C3970"/>
    </row>
    <row r="3971" spans="2:3" x14ac:dyDescent="0.35">
      <c r="B3971"/>
      <c r="C3971"/>
    </row>
    <row r="3972" spans="2:3" x14ac:dyDescent="0.35">
      <c r="B3972"/>
      <c r="C3972"/>
    </row>
    <row r="3973" spans="2:3" x14ac:dyDescent="0.35">
      <c r="B3973"/>
      <c r="C3973"/>
    </row>
    <row r="3974" spans="2:3" x14ac:dyDescent="0.35">
      <c r="B3974"/>
      <c r="C3974"/>
    </row>
    <row r="3975" spans="2:3" x14ac:dyDescent="0.35">
      <c r="B3975"/>
      <c r="C3975"/>
    </row>
    <row r="3976" spans="2:3" x14ac:dyDescent="0.35">
      <c r="B3976"/>
      <c r="C3976"/>
    </row>
    <row r="3977" spans="2:3" x14ac:dyDescent="0.35">
      <c r="B3977"/>
      <c r="C3977"/>
    </row>
    <row r="3978" spans="2:3" x14ac:dyDescent="0.35">
      <c r="B3978"/>
      <c r="C3978"/>
    </row>
    <row r="3979" spans="2:3" x14ac:dyDescent="0.35">
      <c r="B3979"/>
      <c r="C3979"/>
    </row>
    <row r="3980" spans="2:3" x14ac:dyDescent="0.35">
      <c r="B3980"/>
      <c r="C3980"/>
    </row>
    <row r="3981" spans="2:3" x14ac:dyDescent="0.35">
      <c r="B3981"/>
      <c r="C3981"/>
    </row>
    <row r="3982" spans="2:3" x14ac:dyDescent="0.35">
      <c r="B3982"/>
      <c r="C3982"/>
    </row>
    <row r="3983" spans="2:3" x14ac:dyDescent="0.35">
      <c r="B3983"/>
      <c r="C3983"/>
    </row>
    <row r="3984" spans="2:3" x14ac:dyDescent="0.35">
      <c r="B3984"/>
      <c r="C3984"/>
    </row>
    <row r="3985" spans="2:3" x14ac:dyDescent="0.35">
      <c r="B3985"/>
      <c r="C3985"/>
    </row>
    <row r="3986" spans="2:3" x14ac:dyDescent="0.35">
      <c r="B3986"/>
      <c r="C3986"/>
    </row>
    <row r="3987" spans="2:3" x14ac:dyDescent="0.35">
      <c r="B3987"/>
      <c r="C3987"/>
    </row>
    <row r="3988" spans="2:3" x14ac:dyDescent="0.35">
      <c r="B3988"/>
      <c r="C3988"/>
    </row>
    <row r="3989" spans="2:3" x14ac:dyDescent="0.35">
      <c r="B3989"/>
      <c r="C3989"/>
    </row>
    <row r="3990" spans="2:3" x14ac:dyDescent="0.35">
      <c r="B3990"/>
      <c r="C3990"/>
    </row>
    <row r="3991" spans="2:3" x14ac:dyDescent="0.35">
      <c r="B3991"/>
      <c r="C3991"/>
    </row>
    <row r="3992" spans="2:3" x14ac:dyDescent="0.35">
      <c r="B3992"/>
      <c r="C3992"/>
    </row>
    <row r="3993" spans="2:3" x14ac:dyDescent="0.35">
      <c r="B3993"/>
      <c r="C3993"/>
    </row>
    <row r="3994" spans="2:3" x14ac:dyDescent="0.35">
      <c r="B3994"/>
      <c r="C3994"/>
    </row>
    <row r="3995" spans="2:3" x14ac:dyDescent="0.35">
      <c r="B3995"/>
      <c r="C3995"/>
    </row>
    <row r="3996" spans="2:3" x14ac:dyDescent="0.35">
      <c r="B3996"/>
      <c r="C3996"/>
    </row>
    <row r="3997" spans="2:3" x14ac:dyDescent="0.35">
      <c r="B3997"/>
      <c r="C3997"/>
    </row>
    <row r="3998" spans="2:3" x14ac:dyDescent="0.35">
      <c r="B3998"/>
      <c r="C3998"/>
    </row>
    <row r="3999" spans="2:3" x14ac:dyDescent="0.35">
      <c r="B3999"/>
      <c r="C3999"/>
    </row>
    <row r="4000" spans="2:3" x14ac:dyDescent="0.35">
      <c r="B4000"/>
      <c r="C4000"/>
    </row>
    <row r="4001" spans="2:3" x14ac:dyDescent="0.35">
      <c r="B4001"/>
      <c r="C4001"/>
    </row>
    <row r="4002" spans="2:3" x14ac:dyDescent="0.35">
      <c r="B4002"/>
      <c r="C4002"/>
    </row>
    <row r="4003" spans="2:3" x14ac:dyDescent="0.35">
      <c r="B4003"/>
      <c r="C4003"/>
    </row>
    <row r="4004" spans="2:3" x14ac:dyDescent="0.35">
      <c r="B4004"/>
      <c r="C4004"/>
    </row>
    <row r="4005" spans="2:3" x14ac:dyDescent="0.35">
      <c r="B4005"/>
      <c r="C4005"/>
    </row>
    <row r="4006" spans="2:3" x14ac:dyDescent="0.35">
      <c r="B4006"/>
      <c r="C4006"/>
    </row>
    <row r="4007" spans="2:3" x14ac:dyDescent="0.35">
      <c r="B4007"/>
      <c r="C4007"/>
    </row>
    <row r="4008" spans="2:3" x14ac:dyDescent="0.35">
      <c r="B4008"/>
      <c r="C4008"/>
    </row>
    <row r="4009" spans="2:3" x14ac:dyDescent="0.35">
      <c r="B4009"/>
      <c r="C4009"/>
    </row>
    <row r="4010" spans="2:3" x14ac:dyDescent="0.35">
      <c r="B4010"/>
      <c r="C4010"/>
    </row>
    <row r="4011" spans="2:3" x14ac:dyDescent="0.35">
      <c r="B4011"/>
      <c r="C4011"/>
    </row>
    <row r="4012" spans="2:3" x14ac:dyDescent="0.35">
      <c r="B4012"/>
      <c r="C4012"/>
    </row>
    <row r="4013" spans="2:3" x14ac:dyDescent="0.35">
      <c r="B4013"/>
      <c r="C4013"/>
    </row>
    <row r="4014" spans="2:3" x14ac:dyDescent="0.35">
      <c r="B4014"/>
      <c r="C4014"/>
    </row>
    <row r="4015" spans="2:3" x14ac:dyDescent="0.35">
      <c r="B4015"/>
      <c r="C4015"/>
    </row>
    <row r="4016" spans="2:3" x14ac:dyDescent="0.35">
      <c r="B4016"/>
      <c r="C4016"/>
    </row>
    <row r="4017" spans="2:3" x14ac:dyDescent="0.35">
      <c r="B4017"/>
      <c r="C4017"/>
    </row>
    <row r="4018" spans="2:3" x14ac:dyDescent="0.35">
      <c r="B4018"/>
      <c r="C4018"/>
    </row>
    <row r="4019" spans="2:3" x14ac:dyDescent="0.35">
      <c r="B4019"/>
      <c r="C4019"/>
    </row>
    <row r="4020" spans="2:3" x14ac:dyDescent="0.35">
      <c r="B4020"/>
      <c r="C4020"/>
    </row>
    <row r="4021" spans="2:3" x14ac:dyDescent="0.35">
      <c r="B4021"/>
      <c r="C4021"/>
    </row>
    <row r="4022" spans="2:3" x14ac:dyDescent="0.35">
      <c r="B4022"/>
      <c r="C4022"/>
    </row>
    <row r="4023" spans="2:3" x14ac:dyDescent="0.35">
      <c r="B4023"/>
      <c r="C4023"/>
    </row>
    <row r="4024" spans="2:3" x14ac:dyDescent="0.35">
      <c r="B4024"/>
      <c r="C4024"/>
    </row>
    <row r="4025" spans="2:3" x14ac:dyDescent="0.35">
      <c r="B4025"/>
      <c r="C4025"/>
    </row>
    <row r="4026" spans="2:3" x14ac:dyDescent="0.35">
      <c r="B4026"/>
      <c r="C4026"/>
    </row>
    <row r="4027" spans="2:3" x14ac:dyDescent="0.35">
      <c r="B4027"/>
      <c r="C4027"/>
    </row>
    <row r="4028" spans="2:3" x14ac:dyDescent="0.35">
      <c r="B4028"/>
      <c r="C4028"/>
    </row>
    <row r="4029" spans="2:3" x14ac:dyDescent="0.35">
      <c r="B4029"/>
      <c r="C4029"/>
    </row>
    <row r="4030" spans="2:3" x14ac:dyDescent="0.35">
      <c r="B4030"/>
      <c r="C4030"/>
    </row>
    <row r="4031" spans="2:3" x14ac:dyDescent="0.35">
      <c r="B4031"/>
      <c r="C4031"/>
    </row>
    <row r="4032" spans="2:3" x14ac:dyDescent="0.35">
      <c r="B4032"/>
      <c r="C4032"/>
    </row>
    <row r="4033" spans="2:3" x14ac:dyDescent="0.35">
      <c r="B4033"/>
      <c r="C4033"/>
    </row>
    <row r="4034" spans="2:3" x14ac:dyDescent="0.35">
      <c r="B4034"/>
      <c r="C4034"/>
    </row>
    <row r="4035" spans="2:3" x14ac:dyDescent="0.35">
      <c r="B4035"/>
      <c r="C4035"/>
    </row>
    <row r="4036" spans="2:3" x14ac:dyDescent="0.35">
      <c r="B4036"/>
      <c r="C4036"/>
    </row>
    <row r="4037" spans="2:3" x14ac:dyDescent="0.35">
      <c r="B4037"/>
      <c r="C4037"/>
    </row>
    <row r="4038" spans="2:3" x14ac:dyDescent="0.35">
      <c r="B4038"/>
      <c r="C4038"/>
    </row>
    <row r="4039" spans="2:3" x14ac:dyDescent="0.35">
      <c r="B4039"/>
      <c r="C4039"/>
    </row>
    <row r="4040" spans="2:3" x14ac:dyDescent="0.35">
      <c r="B4040"/>
      <c r="C4040"/>
    </row>
    <row r="4041" spans="2:3" x14ac:dyDescent="0.35">
      <c r="B4041"/>
      <c r="C4041"/>
    </row>
    <row r="4042" spans="2:3" x14ac:dyDescent="0.35">
      <c r="B4042"/>
      <c r="C4042"/>
    </row>
    <row r="4043" spans="2:3" x14ac:dyDescent="0.35">
      <c r="B4043"/>
      <c r="C4043"/>
    </row>
    <row r="4044" spans="2:3" x14ac:dyDescent="0.35">
      <c r="B4044"/>
      <c r="C4044"/>
    </row>
    <row r="4045" spans="2:3" x14ac:dyDescent="0.35">
      <c r="B4045"/>
      <c r="C4045"/>
    </row>
    <row r="4046" spans="2:3" x14ac:dyDescent="0.35">
      <c r="B4046"/>
      <c r="C4046"/>
    </row>
    <row r="4047" spans="2:3" x14ac:dyDescent="0.35">
      <c r="B4047"/>
      <c r="C4047"/>
    </row>
    <row r="4048" spans="2:3" x14ac:dyDescent="0.35">
      <c r="B4048"/>
      <c r="C4048"/>
    </row>
    <row r="4049" spans="2:3" x14ac:dyDescent="0.35">
      <c r="B4049"/>
      <c r="C4049"/>
    </row>
    <row r="4050" spans="2:3" x14ac:dyDescent="0.35">
      <c r="B4050"/>
      <c r="C4050"/>
    </row>
    <row r="4051" spans="2:3" x14ac:dyDescent="0.35">
      <c r="B4051"/>
      <c r="C4051"/>
    </row>
    <row r="4052" spans="2:3" x14ac:dyDescent="0.35">
      <c r="B4052"/>
      <c r="C4052"/>
    </row>
    <row r="4053" spans="2:3" x14ac:dyDescent="0.35">
      <c r="B4053"/>
      <c r="C4053"/>
    </row>
    <row r="4054" spans="2:3" x14ac:dyDescent="0.35">
      <c r="B4054"/>
      <c r="C4054"/>
    </row>
    <row r="4055" spans="2:3" x14ac:dyDescent="0.35">
      <c r="B4055"/>
      <c r="C4055"/>
    </row>
    <row r="4056" spans="2:3" x14ac:dyDescent="0.35">
      <c r="B4056"/>
      <c r="C4056"/>
    </row>
    <row r="4057" spans="2:3" x14ac:dyDescent="0.35">
      <c r="B4057"/>
      <c r="C4057"/>
    </row>
    <row r="4058" spans="2:3" x14ac:dyDescent="0.35">
      <c r="B4058"/>
      <c r="C4058"/>
    </row>
    <row r="4059" spans="2:3" x14ac:dyDescent="0.35">
      <c r="B4059"/>
      <c r="C4059"/>
    </row>
    <row r="4060" spans="2:3" x14ac:dyDescent="0.35">
      <c r="B4060"/>
      <c r="C4060"/>
    </row>
    <row r="4061" spans="2:3" x14ac:dyDescent="0.35">
      <c r="B4061"/>
      <c r="C4061"/>
    </row>
    <row r="4062" spans="2:3" x14ac:dyDescent="0.35">
      <c r="B4062"/>
      <c r="C4062"/>
    </row>
    <row r="4063" spans="2:3" x14ac:dyDescent="0.35">
      <c r="B4063"/>
      <c r="C4063"/>
    </row>
    <row r="4064" spans="2:3" x14ac:dyDescent="0.35">
      <c r="B4064"/>
      <c r="C4064"/>
    </row>
    <row r="4065" spans="2:3" x14ac:dyDescent="0.35">
      <c r="B4065"/>
      <c r="C4065"/>
    </row>
    <row r="4066" spans="2:3" x14ac:dyDescent="0.35">
      <c r="B4066"/>
      <c r="C4066"/>
    </row>
    <row r="4067" spans="2:3" x14ac:dyDescent="0.35">
      <c r="B4067"/>
      <c r="C4067"/>
    </row>
    <row r="4068" spans="2:3" x14ac:dyDescent="0.35">
      <c r="B4068"/>
      <c r="C4068"/>
    </row>
    <row r="4069" spans="2:3" x14ac:dyDescent="0.35">
      <c r="B4069"/>
      <c r="C4069"/>
    </row>
    <row r="4070" spans="2:3" x14ac:dyDescent="0.35">
      <c r="B4070"/>
      <c r="C4070"/>
    </row>
    <row r="4071" spans="2:3" x14ac:dyDescent="0.35">
      <c r="B4071"/>
      <c r="C4071"/>
    </row>
    <row r="4072" spans="2:3" x14ac:dyDescent="0.35">
      <c r="B4072"/>
      <c r="C4072"/>
    </row>
    <row r="4073" spans="2:3" x14ac:dyDescent="0.35">
      <c r="B4073"/>
      <c r="C4073"/>
    </row>
    <row r="4074" spans="2:3" x14ac:dyDescent="0.35">
      <c r="B4074"/>
      <c r="C4074"/>
    </row>
    <row r="4075" spans="2:3" x14ac:dyDescent="0.35">
      <c r="B4075"/>
      <c r="C4075"/>
    </row>
    <row r="4076" spans="2:3" x14ac:dyDescent="0.35">
      <c r="B4076"/>
      <c r="C4076"/>
    </row>
    <row r="4077" spans="2:3" x14ac:dyDescent="0.35">
      <c r="B4077"/>
      <c r="C4077"/>
    </row>
    <row r="4078" spans="2:3" x14ac:dyDescent="0.35">
      <c r="B4078"/>
      <c r="C4078"/>
    </row>
    <row r="4079" spans="2:3" x14ac:dyDescent="0.35">
      <c r="B4079"/>
      <c r="C4079"/>
    </row>
    <row r="4080" spans="2:3" x14ac:dyDescent="0.35">
      <c r="B4080"/>
      <c r="C4080"/>
    </row>
    <row r="4081" spans="2:3" x14ac:dyDescent="0.35">
      <c r="B4081"/>
      <c r="C4081"/>
    </row>
    <row r="4082" spans="2:3" x14ac:dyDescent="0.35">
      <c r="B4082"/>
      <c r="C4082"/>
    </row>
    <row r="4083" spans="2:3" x14ac:dyDescent="0.35">
      <c r="B4083"/>
      <c r="C4083"/>
    </row>
    <row r="4084" spans="2:3" x14ac:dyDescent="0.35">
      <c r="B4084"/>
      <c r="C4084"/>
    </row>
    <row r="4085" spans="2:3" x14ac:dyDescent="0.35">
      <c r="B4085"/>
      <c r="C4085"/>
    </row>
    <row r="4086" spans="2:3" x14ac:dyDescent="0.35">
      <c r="B4086"/>
      <c r="C4086"/>
    </row>
    <row r="4087" spans="2:3" x14ac:dyDescent="0.35">
      <c r="B4087"/>
      <c r="C4087"/>
    </row>
    <row r="4088" spans="2:3" x14ac:dyDescent="0.35">
      <c r="B4088"/>
      <c r="C4088"/>
    </row>
    <row r="4089" spans="2:3" x14ac:dyDescent="0.35">
      <c r="B4089"/>
      <c r="C4089"/>
    </row>
    <row r="4090" spans="2:3" x14ac:dyDescent="0.35">
      <c r="B4090"/>
      <c r="C4090"/>
    </row>
    <row r="4091" spans="2:3" x14ac:dyDescent="0.35">
      <c r="B4091"/>
      <c r="C4091"/>
    </row>
    <row r="4092" spans="2:3" x14ac:dyDescent="0.35">
      <c r="B4092"/>
      <c r="C4092"/>
    </row>
    <row r="4093" spans="2:3" x14ac:dyDescent="0.35">
      <c r="B4093"/>
      <c r="C4093"/>
    </row>
    <row r="4094" spans="2:3" x14ac:dyDescent="0.35">
      <c r="B4094"/>
      <c r="C4094"/>
    </row>
    <row r="4095" spans="2:3" x14ac:dyDescent="0.35">
      <c r="B4095"/>
      <c r="C4095"/>
    </row>
    <row r="4096" spans="2:3" x14ac:dyDescent="0.35">
      <c r="B4096"/>
      <c r="C4096"/>
    </row>
    <row r="4097" spans="2:3" x14ac:dyDescent="0.35">
      <c r="B4097"/>
      <c r="C4097"/>
    </row>
    <row r="4098" spans="2:3" x14ac:dyDescent="0.35">
      <c r="B4098"/>
      <c r="C4098"/>
    </row>
    <row r="4099" spans="2:3" x14ac:dyDescent="0.35">
      <c r="B4099"/>
      <c r="C4099"/>
    </row>
    <row r="4100" spans="2:3" x14ac:dyDescent="0.35">
      <c r="B4100"/>
      <c r="C4100"/>
    </row>
    <row r="4101" spans="2:3" x14ac:dyDescent="0.35">
      <c r="B4101"/>
      <c r="C4101"/>
    </row>
    <row r="4102" spans="2:3" x14ac:dyDescent="0.35">
      <c r="B4102"/>
      <c r="C4102"/>
    </row>
    <row r="4103" spans="2:3" x14ac:dyDescent="0.35">
      <c r="B4103"/>
      <c r="C4103"/>
    </row>
    <row r="4104" spans="2:3" x14ac:dyDescent="0.35">
      <c r="B4104"/>
      <c r="C4104"/>
    </row>
    <row r="4105" spans="2:3" x14ac:dyDescent="0.35">
      <c r="B4105"/>
      <c r="C4105"/>
    </row>
    <row r="4106" spans="2:3" x14ac:dyDescent="0.35">
      <c r="B4106"/>
      <c r="C4106"/>
    </row>
    <row r="4107" spans="2:3" x14ac:dyDescent="0.35">
      <c r="B4107"/>
      <c r="C4107"/>
    </row>
    <row r="4108" spans="2:3" x14ac:dyDescent="0.35">
      <c r="B4108"/>
      <c r="C4108"/>
    </row>
    <row r="4109" spans="2:3" x14ac:dyDescent="0.35">
      <c r="B4109"/>
      <c r="C4109"/>
    </row>
    <row r="4110" spans="2:3" x14ac:dyDescent="0.35">
      <c r="B4110"/>
      <c r="C4110"/>
    </row>
    <row r="4111" spans="2:3" x14ac:dyDescent="0.35">
      <c r="B4111"/>
      <c r="C4111"/>
    </row>
    <row r="4112" spans="2:3" x14ac:dyDescent="0.35">
      <c r="B4112"/>
      <c r="C4112"/>
    </row>
    <row r="4113" spans="2:3" x14ac:dyDescent="0.35">
      <c r="B4113"/>
      <c r="C4113"/>
    </row>
    <row r="4114" spans="2:3" x14ac:dyDescent="0.35">
      <c r="B4114"/>
      <c r="C4114"/>
    </row>
    <row r="4115" spans="2:3" x14ac:dyDescent="0.35">
      <c r="B4115"/>
      <c r="C4115"/>
    </row>
    <row r="4116" spans="2:3" x14ac:dyDescent="0.35">
      <c r="B4116"/>
      <c r="C4116"/>
    </row>
    <row r="4117" spans="2:3" x14ac:dyDescent="0.35">
      <c r="B4117"/>
      <c r="C4117"/>
    </row>
    <row r="4118" spans="2:3" x14ac:dyDescent="0.35">
      <c r="B4118"/>
      <c r="C4118"/>
    </row>
    <row r="4119" spans="2:3" x14ac:dyDescent="0.35">
      <c r="B4119"/>
      <c r="C4119"/>
    </row>
    <row r="4120" spans="2:3" x14ac:dyDescent="0.35">
      <c r="B4120"/>
      <c r="C4120"/>
    </row>
    <row r="4121" spans="2:3" x14ac:dyDescent="0.35">
      <c r="B4121"/>
      <c r="C4121"/>
    </row>
    <row r="4122" spans="2:3" x14ac:dyDescent="0.35">
      <c r="B4122"/>
      <c r="C4122"/>
    </row>
    <row r="4123" spans="2:3" x14ac:dyDescent="0.35">
      <c r="B4123"/>
      <c r="C4123"/>
    </row>
    <row r="4124" spans="2:3" x14ac:dyDescent="0.35">
      <c r="B4124"/>
      <c r="C4124"/>
    </row>
    <row r="4125" spans="2:3" x14ac:dyDescent="0.35">
      <c r="B4125"/>
      <c r="C4125"/>
    </row>
    <row r="4126" spans="2:3" x14ac:dyDescent="0.35">
      <c r="B4126"/>
      <c r="C4126"/>
    </row>
    <row r="4127" spans="2:3" x14ac:dyDescent="0.35">
      <c r="B4127"/>
      <c r="C4127"/>
    </row>
    <row r="4128" spans="2:3" x14ac:dyDescent="0.35">
      <c r="B4128"/>
      <c r="C4128"/>
    </row>
    <row r="4129" spans="2:3" x14ac:dyDescent="0.35">
      <c r="B4129"/>
      <c r="C4129"/>
    </row>
    <row r="4130" spans="2:3" x14ac:dyDescent="0.35">
      <c r="B4130"/>
      <c r="C4130"/>
    </row>
    <row r="4131" spans="2:3" x14ac:dyDescent="0.35">
      <c r="B4131"/>
      <c r="C4131"/>
    </row>
    <row r="4132" spans="2:3" x14ac:dyDescent="0.35">
      <c r="B4132"/>
      <c r="C4132"/>
    </row>
    <row r="4133" spans="2:3" x14ac:dyDescent="0.35">
      <c r="B4133"/>
      <c r="C4133"/>
    </row>
    <row r="4134" spans="2:3" x14ac:dyDescent="0.35">
      <c r="B4134"/>
      <c r="C4134"/>
    </row>
    <row r="4135" spans="2:3" x14ac:dyDescent="0.35">
      <c r="B4135"/>
      <c r="C4135"/>
    </row>
    <row r="4136" spans="2:3" x14ac:dyDescent="0.35">
      <c r="B4136"/>
      <c r="C4136"/>
    </row>
    <row r="4137" spans="2:3" x14ac:dyDescent="0.35">
      <c r="B4137"/>
      <c r="C4137"/>
    </row>
    <row r="4138" spans="2:3" x14ac:dyDescent="0.35">
      <c r="B4138"/>
      <c r="C4138"/>
    </row>
    <row r="4139" spans="2:3" x14ac:dyDescent="0.35">
      <c r="B4139"/>
      <c r="C4139"/>
    </row>
    <row r="4140" spans="2:3" x14ac:dyDescent="0.35">
      <c r="B4140"/>
      <c r="C4140"/>
    </row>
    <row r="4141" spans="2:3" x14ac:dyDescent="0.35">
      <c r="B4141"/>
      <c r="C4141"/>
    </row>
    <row r="4142" spans="2:3" x14ac:dyDescent="0.35">
      <c r="B4142"/>
      <c r="C4142"/>
    </row>
    <row r="4143" spans="2:3" x14ac:dyDescent="0.35">
      <c r="B4143"/>
      <c r="C4143"/>
    </row>
    <row r="4144" spans="2:3" x14ac:dyDescent="0.35">
      <c r="B4144"/>
      <c r="C4144"/>
    </row>
    <row r="4145" spans="2:3" x14ac:dyDescent="0.35">
      <c r="B4145"/>
      <c r="C4145"/>
    </row>
    <row r="4146" spans="2:3" x14ac:dyDescent="0.35">
      <c r="B4146"/>
      <c r="C4146"/>
    </row>
    <row r="4147" spans="2:3" x14ac:dyDescent="0.35">
      <c r="B4147"/>
      <c r="C4147"/>
    </row>
    <row r="4148" spans="2:3" x14ac:dyDescent="0.35">
      <c r="B4148"/>
      <c r="C4148"/>
    </row>
    <row r="4149" spans="2:3" x14ac:dyDescent="0.35">
      <c r="B4149"/>
      <c r="C4149"/>
    </row>
    <row r="4150" spans="2:3" x14ac:dyDescent="0.35">
      <c r="B4150"/>
      <c r="C4150"/>
    </row>
    <row r="4151" spans="2:3" x14ac:dyDescent="0.35">
      <c r="B4151"/>
      <c r="C4151"/>
    </row>
    <row r="4152" spans="2:3" x14ac:dyDescent="0.35">
      <c r="B4152"/>
      <c r="C4152"/>
    </row>
    <row r="4153" spans="2:3" x14ac:dyDescent="0.35">
      <c r="B4153"/>
      <c r="C4153"/>
    </row>
    <row r="4154" spans="2:3" x14ac:dyDescent="0.35">
      <c r="B4154"/>
      <c r="C4154"/>
    </row>
    <row r="4155" spans="2:3" x14ac:dyDescent="0.35">
      <c r="B4155"/>
      <c r="C4155"/>
    </row>
    <row r="4156" spans="2:3" x14ac:dyDescent="0.35">
      <c r="B4156"/>
      <c r="C4156"/>
    </row>
    <row r="4157" spans="2:3" x14ac:dyDescent="0.35">
      <c r="B4157"/>
      <c r="C4157"/>
    </row>
    <row r="4158" spans="2:3" x14ac:dyDescent="0.35">
      <c r="B4158"/>
      <c r="C4158"/>
    </row>
    <row r="4159" spans="2:3" x14ac:dyDescent="0.35">
      <c r="B4159"/>
      <c r="C4159"/>
    </row>
    <row r="4160" spans="2:3" x14ac:dyDescent="0.35">
      <c r="B4160"/>
      <c r="C4160"/>
    </row>
    <row r="4161" spans="2:3" x14ac:dyDescent="0.35">
      <c r="B4161"/>
      <c r="C4161"/>
    </row>
    <row r="4162" spans="2:3" x14ac:dyDescent="0.35">
      <c r="B4162"/>
      <c r="C4162"/>
    </row>
    <row r="4163" spans="2:3" x14ac:dyDescent="0.35">
      <c r="B4163"/>
      <c r="C4163"/>
    </row>
    <row r="4164" spans="2:3" x14ac:dyDescent="0.35">
      <c r="B4164"/>
      <c r="C4164"/>
    </row>
    <row r="4165" spans="2:3" x14ac:dyDescent="0.35">
      <c r="B4165"/>
      <c r="C4165"/>
    </row>
    <row r="4166" spans="2:3" x14ac:dyDescent="0.35">
      <c r="B4166"/>
      <c r="C4166"/>
    </row>
    <row r="4167" spans="2:3" x14ac:dyDescent="0.35">
      <c r="B4167"/>
      <c r="C4167"/>
    </row>
    <row r="4168" spans="2:3" x14ac:dyDescent="0.35">
      <c r="B4168"/>
      <c r="C4168"/>
    </row>
    <row r="4169" spans="2:3" x14ac:dyDescent="0.35">
      <c r="B4169"/>
      <c r="C4169"/>
    </row>
    <row r="4170" spans="2:3" x14ac:dyDescent="0.35">
      <c r="B4170"/>
      <c r="C4170"/>
    </row>
    <row r="4171" spans="2:3" x14ac:dyDescent="0.35">
      <c r="B4171"/>
      <c r="C4171"/>
    </row>
    <row r="4172" spans="2:3" x14ac:dyDescent="0.35">
      <c r="B4172"/>
      <c r="C4172"/>
    </row>
    <row r="4173" spans="2:3" x14ac:dyDescent="0.35">
      <c r="B4173"/>
      <c r="C4173"/>
    </row>
    <row r="4174" spans="2:3" x14ac:dyDescent="0.35">
      <c r="B4174"/>
      <c r="C4174"/>
    </row>
    <row r="4175" spans="2:3" x14ac:dyDescent="0.35">
      <c r="B4175"/>
      <c r="C4175"/>
    </row>
    <row r="4176" spans="2:3" x14ac:dyDescent="0.35">
      <c r="B4176"/>
      <c r="C4176"/>
    </row>
    <row r="4177" spans="2:3" x14ac:dyDescent="0.35">
      <c r="B4177"/>
      <c r="C4177"/>
    </row>
    <row r="4178" spans="2:3" x14ac:dyDescent="0.35">
      <c r="B4178"/>
      <c r="C4178"/>
    </row>
    <row r="4179" spans="2:3" x14ac:dyDescent="0.35">
      <c r="B4179"/>
      <c r="C4179"/>
    </row>
    <row r="4180" spans="2:3" x14ac:dyDescent="0.35">
      <c r="B4180"/>
      <c r="C4180"/>
    </row>
    <row r="4181" spans="2:3" x14ac:dyDescent="0.35">
      <c r="B4181"/>
      <c r="C4181"/>
    </row>
    <row r="4182" spans="2:3" x14ac:dyDescent="0.35">
      <c r="B4182"/>
      <c r="C4182"/>
    </row>
    <row r="4183" spans="2:3" x14ac:dyDescent="0.35">
      <c r="B4183"/>
      <c r="C4183"/>
    </row>
    <row r="4184" spans="2:3" x14ac:dyDescent="0.35">
      <c r="B4184"/>
      <c r="C4184"/>
    </row>
    <row r="4185" spans="2:3" x14ac:dyDescent="0.35">
      <c r="B4185"/>
      <c r="C4185"/>
    </row>
    <row r="4186" spans="2:3" x14ac:dyDescent="0.35">
      <c r="B4186"/>
      <c r="C4186"/>
    </row>
    <row r="4187" spans="2:3" x14ac:dyDescent="0.35">
      <c r="B4187"/>
      <c r="C4187"/>
    </row>
    <row r="4188" spans="2:3" x14ac:dyDescent="0.35">
      <c r="B4188"/>
      <c r="C4188"/>
    </row>
    <row r="4189" spans="2:3" x14ac:dyDescent="0.35">
      <c r="B4189"/>
      <c r="C4189"/>
    </row>
    <row r="4190" spans="2:3" x14ac:dyDescent="0.35">
      <c r="B4190"/>
      <c r="C4190"/>
    </row>
    <row r="4191" spans="2:3" x14ac:dyDescent="0.35">
      <c r="B4191"/>
      <c r="C4191"/>
    </row>
    <row r="4192" spans="2:3" x14ac:dyDescent="0.35">
      <c r="B4192"/>
      <c r="C4192"/>
    </row>
    <row r="4193" spans="2:3" x14ac:dyDescent="0.35">
      <c r="B4193"/>
      <c r="C4193"/>
    </row>
    <row r="4194" spans="2:3" x14ac:dyDescent="0.35">
      <c r="B4194"/>
      <c r="C4194"/>
    </row>
    <row r="4195" spans="2:3" x14ac:dyDescent="0.35">
      <c r="B4195"/>
      <c r="C4195"/>
    </row>
    <row r="4196" spans="2:3" x14ac:dyDescent="0.35">
      <c r="B4196"/>
      <c r="C4196"/>
    </row>
    <row r="4197" spans="2:3" x14ac:dyDescent="0.35">
      <c r="B4197"/>
      <c r="C4197"/>
    </row>
    <row r="4198" spans="2:3" x14ac:dyDescent="0.35">
      <c r="B4198"/>
      <c r="C4198"/>
    </row>
    <row r="4199" spans="2:3" x14ac:dyDescent="0.35">
      <c r="B4199"/>
      <c r="C4199"/>
    </row>
    <row r="4200" spans="2:3" x14ac:dyDescent="0.35">
      <c r="B4200"/>
      <c r="C4200"/>
    </row>
    <row r="4201" spans="2:3" x14ac:dyDescent="0.35">
      <c r="B4201"/>
      <c r="C4201"/>
    </row>
    <row r="4202" spans="2:3" x14ac:dyDescent="0.35">
      <c r="B4202"/>
      <c r="C4202"/>
    </row>
    <row r="4203" spans="2:3" x14ac:dyDescent="0.35">
      <c r="B4203"/>
      <c r="C4203"/>
    </row>
    <row r="4204" spans="2:3" x14ac:dyDescent="0.35">
      <c r="B4204"/>
      <c r="C4204"/>
    </row>
    <row r="4205" spans="2:3" x14ac:dyDescent="0.35">
      <c r="B4205"/>
      <c r="C4205"/>
    </row>
    <row r="4206" spans="2:3" x14ac:dyDescent="0.35">
      <c r="B4206"/>
      <c r="C4206"/>
    </row>
    <row r="4207" spans="2:3" x14ac:dyDescent="0.35">
      <c r="B4207"/>
      <c r="C4207"/>
    </row>
    <row r="4208" spans="2:3" x14ac:dyDescent="0.35">
      <c r="B4208"/>
      <c r="C4208"/>
    </row>
    <row r="4209" spans="2:3" x14ac:dyDescent="0.35">
      <c r="B4209"/>
      <c r="C4209"/>
    </row>
    <row r="4210" spans="2:3" x14ac:dyDescent="0.35">
      <c r="B4210"/>
      <c r="C4210"/>
    </row>
    <row r="4211" spans="2:3" x14ac:dyDescent="0.35">
      <c r="B4211"/>
      <c r="C4211"/>
    </row>
    <row r="4212" spans="2:3" x14ac:dyDescent="0.35">
      <c r="B4212"/>
      <c r="C4212"/>
    </row>
    <row r="4213" spans="2:3" x14ac:dyDescent="0.35">
      <c r="B4213"/>
      <c r="C4213"/>
    </row>
    <row r="4214" spans="2:3" x14ac:dyDescent="0.35">
      <c r="B4214"/>
      <c r="C4214"/>
    </row>
    <row r="4215" spans="2:3" x14ac:dyDescent="0.35">
      <c r="B4215"/>
      <c r="C4215"/>
    </row>
    <row r="4216" spans="2:3" x14ac:dyDescent="0.35">
      <c r="B4216"/>
      <c r="C4216"/>
    </row>
    <row r="4217" spans="2:3" x14ac:dyDescent="0.35">
      <c r="B4217"/>
      <c r="C4217"/>
    </row>
    <row r="4218" spans="2:3" x14ac:dyDescent="0.35">
      <c r="B4218"/>
      <c r="C4218"/>
    </row>
    <row r="4219" spans="2:3" x14ac:dyDescent="0.35">
      <c r="B4219"/>
      <c r="C4219"/>
    </row>
    <row r="4220" spans="2:3" x14ac:dyDescent="0.35">
      <c r="B4220"/>
      <c r="C4220"/>
    </row>
    <row r="4221" spans="2:3" x14ac:dyDescent="0.35">
      <c r="B4221"/>
      <c r="C4221"/>
    </row>
    <row r="4222" spans="2:3" x14ac:dyDescent="0.35">
      <c r="B4222"/>
      <c r="C4222"/>
    </row>
    <row r="4223" spans="2:3" x14ac:dyDescent="0.35">
      <c r="B4223"/>
      <c r="C4223"/>
    </row>
    <row r="4224" spans="2:3" x14ac:dyDescent="0.35">
      <c r="B4224"/>
      <c r="C4224"/>
    </row>
    <row r="4225" spans="2:3" x14ac:dyDescent="0.35">
      <c r="B4225"/>
      <c r="C4225"/>
    </row>
    <row r="4226" spans="2:3" x14ac:dyDescent="0.35">
      <c r="B4226"/>
      <c r="C4226"/>
    </row>
    <row r="4227" spans="2:3" x14ac:dyDescent="0.35">
      <c r="B4227"/>
      <c r="C4227"/>
    </row>
    <row r="4228" spans="2:3" x14ac:dyDescent="0.35">
      <c r="B4228"/>
      <c r="C4228"/>
    </row>
    <row r="4229" spans="2:3" x14ac:dyDescent="0.35">
      <c r="B4229"/>
      <c r="C4229"/>
    </row>
    <row r="4230" spans="2:3" x14ac:dyDescent="0.35">
      <c r="B4230"/>
      <c r="C4230"/>
    </row>
    <row r="4231" spans="2:3" x14ac:dyDescent="0.35">
      <c r="B4231"/>
      <c r="C4231"/>
    </row>
    <row r="4232" spans="2:3" x14ac:dyDescent="0.35">
      <c r="B4232"/>
      <c r="C4232"/>
    </row>
    <row r="4233" spans="2:3" x14ac:dyDescent="0.35">
      <c r="B4233"/>
      <c r="C4233"/>
    </row>
    <row r="4234" spans="2:3" x14ac:dyDescent="0.35">
      <c r="B4234"/>
      <c r="C4234"/>
    </row>
    <row r="4235" spans="2:3" x14ac:dyDescent="0.35">
      <c r="B4235"/>
      <c r="C4235"/>
    </row>
    <row r="4236" spans="2:3" x14ac:dyDescent="0.35">
      <c r="B4236"/>
      <c r="C4236"/>
    </row>
    <row r="4237" spans="2:3" x14ac:dyDescent="0.35">
      <c r="B4237"/>
      <c r="C4237"/>
    </row>
    <row r="4238" spans="2:3" x14ac:dyDescent="0.35">
      <c r="B4238"/>
      <c r="C4238"/>
    </row>
    <row r="4239" spans="2:3" x14ac:dyDescent="0.35">
      <c r="B4239"/>
      <c r="C4239"/>
    </row>
    <row r="4240" spans="2:3" x14ac:dyDescent="0.35">
      <c r="B4240"/>
      <c r="C4240"/>
    </row>
    <row r="4241" spans="2:3" x14ac:dyDescent="0.35">
      <c r="B4241"/>
      <c r="C4241"/>
    </row>
    <row r="4242" spans="2:3" x14ac:dyDescent="0.35">
      <c r="B4242"/>
      <c r="C4242"/>
    </row>
    <row r="4243" spans="2:3" x14ac:dyDescent="0.35">
      <c r="B4243"/>
      <c r="C4243"/>
    </row>
    <row r="4244" spans="2:3" x14ac:dyDescent="0.35">
      <c r="B4244"/>
      <c r="C4244"/>
    </row>
    <row r="4245" spans="2:3" x14ac:dyDescent="0.35">
      <c r="B4245"/>
      <c r="C4245"/>
    </row>
    <row r="4246" spans="2:3" x14ac:dyDescent="0.35">
      <c r="B4246"/>
      <c r="C4246"/>
    </row>
    <row r="4247" spans="2:3" x14ac:dyDescent="0.35">
      <c r="B4247"/>
      <c r="C4247"/>
    </row>
    <row r="4248" spans="2:3" x14ac:dyDescent="0.35">
      <c r="B4248"/>
      <c r="C4248"/>
    </row>
    <row r="4249" spans="2:3" x14ac:dyDescent="0.35">
      <c r="B4249"/>
      <c r="C4249"/>
    </row>
    <row r="4250" spans="2:3" x14ac:dyDescent="0.35">
      <c r="B4250"/>
      <c r="C4250"/>
    </row>
    <row r="4251" spans="2:3" x14ac:dyDescent="0.35">
      <c r="B4251"/>
      <c r="C4251"/>
    </row>
    <row r="4252" spans="2:3" x14ac:dyDescent="0.35">
      <c r="B4252"/>
      <c r="C4252"/>
    </row>
    <row r="4253" spans="2:3" x14ac:dyDescent="0.35">
      <c r="B4253"/>
      <c r="C4253"/>
    </row>
    <row r="4254" spans="2:3" x14ac:dyDescent="0.35">
      <c r="B4254"/>
      <c r="C4254"/>
    </row>
    <row r="4255" spans="2:3" x14ac:dyDescent="0.35">
      <c r="B4255"/>
      <c r="C4255"/>
    </row>
    <row r="4256" spans="2:3" x14ac:dyDescent="0.35">
      <c r="B4256"/>
      <c r="C4256"/>
    </row>
    <row r="4257" spans="2:3" x14ac:dyDescent="0.35">
      <c r="B4257"/>
      <c r="C4257"/>
    </row>
    <row r="4258" spans="2:3" x14ac:dyDescent="0.35">
      <c r="B4258"/>
      <c r="C4258"/>
    </row>
    <row r="4259" spans="2:3" x14ac:dyDescent="0.35">
      <c r="B4259"/>
      <c r="C4259"/>
    </row>
    <row r="4260" spans="2:3" x14ac:dyDescent="0.35">
      <c r="B4260"/>
      <c r="C4260"/>
    </row>
    <row r="4261" spans="2:3" x14ac:dyDescent="0.35">
      <c r="B4261"/>
      <c r="C4261"/>
    </row>
    <row r="4262" spans="2:3" x14ac:dyDescent="0.35">
      <c r="B4262"/>
      <c r="C4262"/>
    </row>
    <row r="4263" spans="2:3" x14ac:dyDescent="0.35">
      <c r="B4263"/>
      <c r="C4263"/>
    </row>
    <row r="4264" spans="2:3" x14ac:dyDescent="0.35">
      <c r="B4264"/>
      <c r="C4264"/>
    </row>
    <row r="4265" spans="2:3" x14ac:dyDescent="0.35">
      <c r="B4265"/>
      <c r="C4265"/>
    </row>
    <row r="4266" spans="2:3" x14ac:dyDescent="0.35">
      <c r="B4266"/>
      <c r="C4266"/>
    </row>
    <row r="4267" spans="2:3" x14ac:dyDescent="0.35">
      <c r="B4267"/>
      <c r="C4267"/>
    </row>
    <row r="4268" spans="2:3" x14ac:dyDescent="0.35">
      <c r="B4268"/>
      <c r="C4268"/>
    </row>
    <row r="4269" spans="2:3" x14ac:dyDescent="0.35">
      <c r="B4269"/>
      <c r="C4269"/>
    </row>
    <row r="4270" spans="2:3" x14ac:dyDescent="0.35">
      <c r="B4270"/>
      <c r="C4270"/>
    </row>
    <row r="4271" spans="2:3" x14ac:dyDescent="0.35">
      <c r="B4271"/>
      <c r="C4271"/>
    </row>
    <row r="4272" spans="2:3" x14ac:dyDescent="0.35">
      <c r="B4272"/>
      <c r="C4272"/>
    </row>
    <row r="4273" spans="2:3" x14ac:dyDescent="0.35">
      <c r="B4273"/>
      <c r="C4273"/>
    </row>
    <row r="4274" spans="2:3" x14ac:dyDescent="0.35">
      <c r="B4274"/>
      <c r="C4274"/>
    </row>
    <row r="4275" spans="2:3" x14ac:dyDescent="0.35">
      <c r="B4275"/>
      <c r="C4275"/>
    </row>
    <row r="4276" spans="2:3" x14ac:dyDescent="0.35">
      <c r="B4276"/>
      <c r="C4276"/>
    </row>
    <row r="4277" spans="2:3" x14ac:dyDescent="0.35">
      <c r="B4277"/>
      <c r="C4277"/>
    </row>
    <row r="4278" spans="2:3" x14ac:dyDescent="0.35">
      <c r="B4278"/>
      <c r="C4278"/>
    </row>
    <row r="4279" spans="2:3" x14ac:dyDescent="0.35">
      <c r="B4279"/>
      <c r="C4279"/>
    </row>
    <row r="4280" spans="2:3" x14ac:dyDescent="0.35">
      <c r="B4280"/>
      <c r="C4280"/>
    </row>
    <row r="4281" spans="2:3" x14ac:dyDescent="0.35">
      <c r="B4281"/>
      <c r="C4281"/>
    </row>
    <row r="4282" spans="2:3" x14ac:dyDescent="0.35">
      <c r="B4282"/>
      <c r="C4282"/>
    </row>
    <row r="4283" spans="2:3" x14ac:dyDescent="0.35">
      <c r="B4283"/>
      <c r="C4283"/>
    </row>
    <row r="4284" spans="2:3" x14ac:dyDescent="0.35">
      <c r="B4284"/>
      <c r="C4284"/>
    </row>
    <row r="4285" spans="2:3" x14ac:dyDescent="0.35">
      <c r="B4285"/>
      <c r="C4285"/>
    </row>
    <row r="4286" spans="2:3" x14ac:dyDescent="0.35">
      <c r="B4286"/>
      <c r="C4286"/>
    </row>
    <row r="4287" spans="2:3" x14ac:dyDescent="0.35">
      <c r="B4287"/>
      <c r="C4287"/>
    </row>
    <row r="4288" spans="2:3" x14ac:dyDescent="0.35">
      <c r="B4288"/>
      <c r="C4288"/>
    </row>
    <row r="4289" spans="2:3" x14ac:dyDescent="0.35">
      <c r="B4289"/>
      <c r="C4289"/>
    </row>
    <row r="4290" spans="2:3" x14ac:dyDescent="0.35">
      <c r="B4290"/>
      <c r="C4290"/>
    </row>
    <row r="4291" spans="2:3" x14ac:dyDescent="0.35">
      <c r="B4291"/>
      <c r="C4291"/>
    </row>
    <row r="4292" spans="2:3" x14ac:dyDescent="0.35">
      <c r="B4292"/>
      <c r="C4292"/>
    </row>
    <row r="4293" spans="2:3" x14ac:dyDescent="0.35">
      <c r="B4293"/>
      <c r="C4293"/>
    </row>
    <row r="4294" spans="2:3" x14ac:dyDescent="0.35">
      <c r="B4294"/>
      <c r="C4294"/>
    </row>
    <row r="4295" spans="2:3" x14ac:dyDescent="0.35">
      <c r="B4295"/>
      <c r="C4295"/>
    </row>
    <row r="4296" spans="2:3" x14ac:dyDescent="0.35">
      <c r="B4296"/>
      <c r="C4296"/>
    </row>
    <row r="4297" spans="2:3" x14ac:dyDescent="0.35">
      <c r="B4297"/>
      <c r="C4297"/>
    </row>
    <row r="4298" spans="2:3" x14ac:dyDescent="0.35">
      <c r="B4298"/>
      <c r="C4298"/>
    </row>
    <row r="4299" spans="2:3" x14ac:dyDescent="0.35">
      <c r="B4299"/>
      <c r="C4299"/>
    </row>
    <row r="4300" spans="2:3" x14ac:dyDescent="0.35">
      <c r="B4300"/>
      <c r="C4300"/>
    </row>
    <row r="4301" spans="2:3" x14ac:dyDescent="0.35">
      <c r="B4301"/>
      <c r="C4301"/>
    </row>
    <row r="4302" spans="2:3" x14ac:dyDescent="0.35">
      <c r="B4302"/>
      <c r="C4302"/>
    </row>
    <row r="4303" spans="2:3" x14ac:dyDescent="0.35">
      <c r="B4303"/>
      <c r="C4303"/>
    </row>
    <row r="4304" spans="2:3" x14ac:dyDescent="0.35">
      <c r="B4304"/>
      <c r="C4304"/>
    </row>
    <row r="4305" spans="2:3" x14ac:dyDescent="0.35">
      <c r="B4305"/>
      <c r="C4305"/>
    </row>
    <row r="4306" spans="2:3" x14ac:dyDescent="0.35">
      <c r="B4306"/>
      <c r="C4306"/>
    </row>
    <row r="4307" spans="2:3" x14ac:dyDescent="0.35">
      <c r="B4307"/>
      <c r="C4307"/>
    </row>
    <row r="4308" spans="2:3" x14ac:dyDescent="0.35">
      <c r="B4308"/>
      <c r="C4308"/>
    </row>
    <row r="4309" spans="2:3" x14ac:dyDescent="0.35">
      <c r="B4309"/>
      <c r="C4309"/>
    </row>
    <row r="4310" spans="2:3" x14ac:dyDescent="0.35">
      <c r="B4310"/>
      <c r="C4310"/>
    </row>
    <row r="4311" spans="2:3" x14ac:dyDescent="0.35">
      <c r="B4311"/>
      <c r="C4311"/>
    </row>
    <row r="4312" spans="2:3" x14ac:dyDescent="0.35">
      <c r="B4312"/>
      <c r="C4312"/>
    </row>
    <row r="4313" spans="2:3" x14ac:dyDescent="0.35">
      <c r="B4313"/>
      <c r="C4313"/>
    </row>
    <row r="4314" spans="2:3" x14ac:dyDescent="0.35">
      <c r="B4314"/>
      <c r="C4314"/>
    </row>
    <row r="4315" spans="2:3" x14ac:dyDescent="0.35">
      <c r="B4315"/>
      <c r="C4315"/>
    </row>
    <row r="4316" spans="2:3" x14ac:dyDescent="0.35">
      <c r="B4316"/>
      <c r="C4316"/>
    </row>
    <row r="4317" spans="2:3" x14ac:dyDescent="0.35">
      <c r="B4317"/>
      <c r="C4317"/>
    </row>
    <row r="4318" spans="2:3" x14ac:dyDescent="0.35">
      <c r="B4318"/>
      <c r="C4318"/>
    </row>
    <row r="4319" spans="2:3" x14ac:dyDescent="0.35">
      <c r="B4319"/>
      <c r="C4319"/>
    </row>
    <row r="4320" spans="2:3" x14ac:dyDescent="0.35">
      <c r="B4320"/>
      <c r="C4320"/>
    </row>
    <row r="4321" spans="2:3" x14ac:dyDescent="0.35">
      <c r="B4321"/>
      <c r="C4321"/>
    </row>
    <row r="4322" spans="2:3" x14ac:dyDescent="0.35">
      <c r="B4322"/>
      <c r="C4322"/>
    </row>
    <row r="4323" spans="2:3" x14ac:dyDescent="0.35">
      <c r="B4323"/>
      <c r="C4323"/>
    </row>
    <row r="4324" spans="2:3" x14ac:dyDescent="0.35">
      <c r="B4324"/>
      <c r="C4324"/>
    </row>
    <row r="4325" spans="2:3" x14ac:dyDescent="0.35">
      <c r="B4325"/>
      <c r="C4325"/>
    </row>
    <row r="4326" spans="2:3" x14ac:dyDescent="0.35">
      <c r="B4326"/>
      <c r="C4326"/>
    </row>
    <row r="4327" spans="2:3" x14ac:dyDescent="0.35">
      <c r="B4327"/>
      <c r="C4327"/>
    </row>
    <row r="4328" spans="2:3" x14ac:dyDescent="0.35">
      <c r="B4328"/>
      <c r="C4328"/>
    </row>
    <row r="4329" spans="2:3" x14ac:dyDescent="0.35">
      <c r="B4329"/>
      <c r="C4329"/>
    </row>
    <row r="4330" spans="2:3" x14ac:dyDescent="0.35">
      <c r="B4330"/>
      <c r="C4330"/>
    </row>
    <row r="4331" spans="2:3" x14ac:dyDescent="0.35">
      <c r="B4331"/>
      <c r="C4331"/>
    </row>
    <row r="4332" spans="2:3" x14ac:dyDescent="0.35">
      <c r="B4332"/>
      <c r="C4332"/>
    </row>
    <row r="4333" spans="2:3" x14ac:dyDescent="0.35">
      <c r="B4333"/>
      <c r="C4333"/>
    </row>
    <row r="4334" spans="2:3" x14ac:dyDescent="0.35">
      <c r="B4334"/>
      <c r="C4334"/>
    </row>
    <row r="4335" spans="2:3" x14ac:dyDescent="0.35">
      <c r="B4335"/>
      <c r="C4335"/>
    </row>
    <row r="4336" spans="2:3" x14ac:dyDescent="0.35">
      <c r="B4336"/>
      <c r="C4336"/>
    </row>
    <row r="4337" spans="2:3" x14ac:dyDescent="0.35">
      <c r="B4337"/>
      <c r="C4337"/>
    </row>
    <row r="4338" spans="2:3" x14ac:dyDescent="0.35">
      <c r="B4338"/>
      <c r="C4338"/>
    </row>
    <row r="4339" spans="2:3" x14ac:dyDescent="0.35">
      <c r="B4339"/>
      <c r="C4339"/>
    </row>
    <row r="4340" spans="2:3" x14ac:dyDescent="0.35">
      <c r="B4340"/>
      <c r="C4340"/>
    </row>
    <row r="4341" spans="2:3" x14ac:dyDescent="0.35">
      <c r="B4341"/>
      <c r="C4341"/>
    </row>
    <row r="4342" spans="2:3" x14ac:dyDescent="0.35">
      <c r="B4342"/>
      <c r="C4342"/>
    </row>
    <row r="4343" spans="2:3" x14ac:dyDescent="0.35">
      <c r="B4343"/>
      <c r="C4343"/>
    </row>
    <row r="4344" spans="2:3" x14ac:dyDescent="0.35">
      <c r="B4344"/>
      <c r="C4344"/>
    </row>
    <row r="4345" spans="2:3" x14ac:dyDescent="0.35">
      <c r="B4345"/>
      <c r="C4345"/>
    </row>
    <row r="4346" spans="2:3" x14ac:dyDescent="0.35">
      <c r="B4346"/>
      <c r="C4346"/>
    </row>
    <row r="4347" spans="2:3" x14ac:dyDescent="0.35">
      <c r="B4347"/>
      <c r="C4347"/>
    </row>
    <row r="4348" spans="2:3" x14ac:dyDescent="0.35">
      <c r="B4348"/>
      <c r="C4348"/>
    </row>
    <row r="4349" spans="2:3" x14ac:dyDescent="0.35">
      <c r="B4349"/>
      <c r="C4349"/>
    </row>
    <row r="4350" spans="2:3" x14ac:dyDescent="0.35">
      <c r="B4350"/>
      <c r="C4350"/>
    </row>
    <row r="4351" spans="2:3" x14ac:dyDescent="0.35">
      <c r="B4351"/>
      <c r="C4351"/>
    </row>
    <row r="4352" spans="2:3" x14ac:dyDescent="0.35">
      <c r="B4352"/>
      <c r="C4352"/>
    </row>
    <row r="4353" spans="2:3" x14ac:dyDescent="0.35">
      <c r="B4353"/>
      <c r="C4353"/>
    </row>
    <row r="4354" spans="2:3" x14ac:dyDescent="0.35">
      <c r="B4354"/>
      <c r="C4354"/>
    </row>
    <row r="4355" spans="2:3" x14ac:dyDescent="0.35">
      <c r="B4355"/>
      <c r="C4355"/>
    </row>
    <row r="4356" spans="2:3" x14ac:dyDescent="0.35">
      <c r="B4356"/>
      <c r="C4356"/>
    </row>
    <row r="4357" spans="2:3" x14ac:dyDescent="0.35">
      <c r="B4357"/>
      <c r="C4357"/>
    </row>
    <row r="4358" spans="2:3" x14ac:dyDescent="0.35">
      <c r="B4358"/>
      <c r="C4358"/>
    </row>
    <row r="4359" spans="2:3" x14ac:dyDescent="0.35">
      <c r="B4359"/>
      <c r="C4359"/>
    </row>
    <row r="4360" spans="2:3" x14ac:dyDescent="0.35">
      <c r="B4360"/>
      <c r="C4360"/>
    </row>
    <row r="4361" spans="2:3" x14ac:dyDescent="0.35">
      <c r="B4361"/>
      <c r="C4361"/>
    </row>
    <row r="4362" spans="2:3" x14ac:dyDescent="0.35">
      <c r="B4362"/>
      <c r="C4362"/>
    </row>
    <row r="4363" spans="2:3" x14ac:dyDescent="0.35">
      <c r="B4363"/>
      <c r="C4363"/>
    </row>
    <row r="4364" spans="2:3" x14ac:dyDescent="0.35">
      <c r="B4364"/>
      <c r="C4364"/>
    </row>
    <row r="4365" spans="2:3" x14ac:dyDescent="0.35">
      <c r="B4365"/>
      <c r="C4365"/>
    </row>
    <row r="4366" spans="2:3" x14ac:dyDescent="0.35">
      <c r="B4366"/>
      <c r="C4366"/>
    </row>
    <row r="4367" spans="2:3" x14ac:dyDescent="0.35">
      <c r="B4367"/>
      <c r="C4367"/>
    </row>
    <row r="4368" spans="2:3" x14ac:dyDescent="0.35">
      <c r="B4368"/>
      <c r="C4368"/>
    </row>
    <row r="4369" spans="2:3" x14ac:dyDescent="0.35">
      <c r="B4369"/>
      <c r="C4369"/>
    </row>
    <row r="4370" spans="2:3" x14ac:dyDescent="0.35">
      <c r="B4370"/>
      <c r="C4370"/>
    </row>
    <row r="4371" spans="2:3" x14ac:dyDescent="0.35">
      <c r="B4371"/>
      <c r="C4371"/>
    </row>
    <row r="4372" spans="2:3" x14ac:dyDescent="0.35">
      <c r="B4372"/>
      <c r="C4372"/>
    </row>
    <row r="4373" spans="2:3" x14ac:dyDescent="0.35">
      <c r="B4373"/>
      <c r="C4373"/>
    </row>
    <row r="4374" spans="2:3" x14ac:dyDescent="0.35">
      <c r="B4374"/>
      <c r="C4374"/>
    </row>
    <row r="4375" spans="2:3" x14ac:dyDescent="0.35">
      <c r="B4375"/>
      <c r="C4375"/>
    </row>
    <row r="4376" spans="2:3" x14ac:dyDescent="0.35">
      <c r="B4376"/>
      <c r="C4376"/>
    </row>
    <row r="4377" spans="2:3" x14ac:dyDescent="0.35">
      <c r="B4377"/>
      <c r="C4377"/>
    </row>
    <row r="4378" spans="2:3" x14ac:dyDescent="0.35">
      <c r="B4378"/>
      <c r="C4378"/>
    </row>
    <row r="4379" spans="2:3" x14ac:dyDescent="0.35">
      <c r="B4379"/>
      <c r="C4379"/>
    </row>
    <row r="4380" spans="2:3" x14ac:dyDescent="0.35">
      <c r="B4380"/>
      <c r="C4380"/>
    </row>
    <row r="4381" spans="2:3" x14ac:dyDescent="0.35">
      <c r="B4381"/>
      <c r="C4381"/>
    </row>
    <row r="4382" spans="2:3" x14ac:dyDescent="0.35">
      <c r="B4382"/>
      <c r="C4382"/>
    </row>
    <row r="4383" spans="2:3" x14ac:dyDescent="0.35">
      <c r="B4383"/>
      <c r="C4383"/>
    </row>
    <row r="4384" spans="2:3" x14ac:dyDescent="0.35">
      <c r="B4384"/>
      <c r="C4384"/>
    </row>
    <row r="4385" spans="2:3" x14ac:dyDescent="0.35">
      <c r="B4385"/>
      <c r="C4385"/>
    </row>
    <row r="4386" spans="2:3" x14ac:dyDescent="0.35">
      <c r="B4386"/>
      <c r="C4386"/>
    </row>
    <row r="4387" spans="2:3" x14ac:dyDescent="0.35">
      <c r="B4387"/>
      <c r="C4387"/>
    </row>
    <row r="4388" spans="2:3" x14ac:dyDescent="0.35">
      <c r="B4388"/>
      <c r="C4388"/>
    </row>
    <row r="4389" spans="2:3" x14ac:dyDescent="0.35">
      <c r="B4389"/>
      <c r="C4389"/>
    </row>
    <row r="4390" spans="2:3" x14ac:dyDescent="0.35">
      <c r="B4390"/>
      <c r="C4390"/>
    </row>
    <row r="4391" spans="2:3" x14ac:dyDescent="0.35">
      <c r="B4391"/>
      <c r="C4391"/>
    </row>
    <row r="4392" spans="2:3" x14ac:dyDescent="0.35">
      <c r="B4392"/>
      <c r="C4392"/>
    </row>
    <row r="4393" spans="2:3" x14ac:dyDescent="0.35">
      <c r="B4393"/>
      <c r="C4393"/>
    </row>
    <row r="4394" spans="2:3" x14ac:dyDescent="0.35">
      <c r="B4394"/>
      <c r="C4394"/>
    </row>
    <row r="4395" spans="2:3" x14ac:dyDescent="0.35">
      <c r="B4395"/>
      <c r="C4395"/>
    </row>
    <row r="4396" spans="2:3" x14ac:dyDescent="0.35">
      <c r="B4396"/>
      <c r="C4396"/>
    </row>
    <row r="4397" spans="2:3" x14ac:dyDescent="0.35">
      <c r="B4397"/>
      <c r="C4397"/>
    </row>
    <row r="4398" spans="2:3" x14ac:dyDescent="0.35">
      <c r="B4398"/>
      <c r="C4398"/>
    </row>
    <row r="4399" spans="2:3" x14ac:dyDescent="0.35">
      <c r="B4399"/>
      <c r="C4399"/>
    </row>
    <row r="4400" spans="2:3" x14ac:dyDescent="0.35">
      <c r="B4400"/>
      <c r="C4400"/>
    </row>
    <row r="4401" spans="2:3" x14ac:dyDescent="0.35">
      <c r="B4401"/>
      <c r="C4401"/>
    </row>
    <row r="4402" spans="2:3" x14ac:dyDescent="0.35">
      <c r="B4402"/>
      <c r="C4402"/>
    </row>
    <row r="4403" spans="2:3" x14ac:dyDescent="0.35">
      <c r="B4403"/>
      <c r="C4403"/>
    </row>
    <row r="4404" spans="2:3" x14ac:dyDescent="0.35">
      <c r="B4404"/>
      <c r="C4404"/>
    </row>
    <row r="4405" spans="2:3" x14ac:dyDescent="0.35">
      <c r="B4405"/>
      <c r="C4405"/>
    </row>
    <row r="4406" spans="2:3" x14ac:dyDescent="0.35">
      <c r="B4406"/>
      <c r="C4406"/>
    </row>
    <row r="4407" spans="2:3" x14ac:dyDescent="0.35">
      <c r="B4407"/>
      <c r="C4407"/>
    </row>
    <row r="4408" spans="2:3" x14ac:dyDescent="0.35">
      <c r="B4408"/>
      <c r="C4408"/>
    </row>
    <row r="4409" spans="2:3" x14ac:dyDescent="0.35">
      <c r="B4409"/>
      <c r="C4409"/>
    </row>
    <row r="4410" spans="2:3" x14ac:dyDescent="0.35">
      <c r="B4410"/>
      <c r="C4410"/>
    </row>
    <row r="4411" spans="2:3" x14ac:dyDescent="0.35">
      <c r="B4411"/>
      <c r="C4411"/>
    </row>
    <row r="4412" spans="2:3" x14ac:dyDescent="0.35">
      <c r="B4412"/>
      <c r="C4412"/>
    </row>
    <row r="4413" spans="2:3" x14ac:dyDescent="0.35">
      <c r="B4413"/>
      <c r="C4413"/>
    </row>
    <row r="4414" spans="2:3" x14ac:dyDescent="0.35">
      <c r="B4414"/>
      <c r="C4414"/>
    </row>
    <row r="4415" spans="2:3" x14ac:dyDescent="0.35">
      <c r="B4415"/>
      <c r="C4415"/>
    </row>
    <row r="4416" spans="2:3" x14ac:dyDescent="0.35">
      <c r="B4416"/>
      <c r="C4416"/>
    </row>
    <row r="4417" spans="2:3" x14ac:dyDescent="0.35">
      <c r="B4417"/>
      <c r="C4417"/>
    </row>
    <row r="4418" spans="2:3" x14ac:dyDescent="0.35">
      <c r="B4418"/>
      <c r="C4418"/>
    </row>
    <row r="4419" spans="2:3" x14ac:dyDescent="0.35">
      <c r="B4419"/>
      <c r="C4419"/>
    </row>
    <row r="4420" spans="2:3" x14ac:dyDescent="0.35">
      <c r="B4420"/>
      <c r="C4420"/>
    </row>
    <row r="4421" spans="2:3" x14ac:dyDescent="0.35">
      <c r="B4421"/>
      <c r="C4421"/>
    </row>
    <row r="4422" spans="2:3" x14ac:dyDescent="0.35">
      <c r="B4422"/>
      <c r="C4422"/>
    </row>
    <row r="4423" spans="2:3" x14ac:dyDescent="0.35">
      <c r="B4423"/>
      <c r="C4423"/>
    </row>
    <row r="4424" spans="2:3" x14ac:dyDescent="0.35">
      <c r="B4424"/>
      <c r="C4424"/>
    </row>
    <row r="4425" spans="2:3" x14ac:dyDescent="0.35">
      <c r="B4425"/>
      <c r="C4425"/>
    </row>
    <row r="4426" spans="2:3" x14ac:dyDescent="0.35">
      <c r="B4426"/>
      <c r="C4426"/>
    </row>
    <row r="4427" spans="2:3" x14ac:dyDescent="0.35">
      <c r="B4427"/>
      <c r="C4427"/>
    </row>
    <row r="4428" spans="2:3" x14ac:dyDescent="0.35">
      <c r="B4428"/>
      <c r="C4428"/>
    </row>
    <row r="4429" spans="2:3" x14ac:dyDescent="0.35">
      <c r="B4429"/>
      <c r="C4429"/>
    </row>
    <row r="4430" spans="2:3" x14ac:dyDescent="0.35">
      <c r="B4430"/>
      <c r="C4430"/>
    </row>
    <row r="4431" spans="2:3" x14ac:dyDescent="0.35">
      <c r="B4431"/>
      <c r="C4431"/>
    </row>
    <row r="4432" spans="2:3" x14ac:dyDescent="0.35">
      <c r="B4432"/>
      <c r="C4432"/>
    </row>
    <row r="4433" spans="2:3" x14ac:dyDescent="0.35">
      <c r="B4433"/>
      <c r="C4433"/>
    </row>
    <row r="4434" spans="2:3" x14ac:dyDescent="0.35">
      <c r="B4434"/>
      <c r="C4434"/>
    </row>
    <row r="4435" spans="2:3" x14ac:dyDescent="0.35">
      <c r="B4435"/>
      <c r="C4435"/>
    </row>
    <row r="4436" spans="2:3" x14ac:dyDescent="0.35">
      <c r="B4436"/>
      <c r="C4436"/>
    </row>
    <row r="4437" spans="2:3" x14ac:dyDescent="0.35">
      <c r="B4437"/>
      <c r="C4437"/>
    </row>
    <row r="4438" spans="2:3" x14ac:dyDescent="0.35">
      <c r="B4438"/>
      <c r="C4438"/>
    </row>
    <row r="4439" spans="2:3" x14ac:dyDescent="0.35">
      <c r="B4439"/>
      <c r="C4439"/>
    </row>
    <row r="4440" spans="2:3" x14ac:dyDescent="0.35">
      <c r="B4440"/>
      <c r="C4440"/>
    </row>
    <row r="4441" spans="2:3" x14ac:dyDescent="0.35">
      <c r="B4441"/>
      <c r="C4441"/>
    </row>
    <row r="4442" spans="2:3" x14ac:dyDescent="0.35">
      <c r="B4442"/>
      <c r="C4442"/>
    </row>
    <row r="4443" spans="2:3" x14ac:dyDescent="0.35">
      <c r="B4443"/>
      <c r="C4443"/>
    </row>
    <row r="4444" spans="2:3" x14ac:dyDescent="0.35">
      <c r="B4444"/>
      <c r="C4444"/>
    </row>
    <row r="4445" spans="2:3" x14ac:dyDescent="0.35">
      <c r="B4445"/>
      <c r="C4445"/>
    </row>
    <row r="4446" spans="2:3" x14ac:dyDescent="0.35">
      <c r="B4446"/>
      <c r="C4446"/>
    </row>
    <row r="4447" spans="2:3" x14ac:dyDescent="0.35">
      <c r="B4447"/>
      <c r="C4447"/>
    </row>
    <row r="4448" spans="2:3" x14ac:dyDescent="0.35">
      <c r="B4448"/>
      <c r="C4448"/>
    </row>
    <row r="4449" spans="2:3" x14ac:dyDescent="0.35">
      <c r="B4449"/>
      <c r="C4449"/>
    </row>
    <row r="4450" spans="2:3" x14ac:dyDescent="0.35">
      <c r="B4450"/>
      <c r="C4450"/>
    </row>
    <row r="4451" spans="2:3" x14ac:dyDescent="0.35">
      <c r="B4451"/>
      <c r="C4451"/>
    </row>
    <row r="4452" spans="2:3" x14ac:dyDescent="0.35">
      <c r="B4452"/>
      <c r="C4452"/>
    </row>
    <row r="4453" spans="2:3" x14ac:dyDescent="0.35">
      <c r="B4453"/>
      <c r="C4453"/>
    </row>
    <row r="4454" spans="2:3" x14ac:dyDescent="0.35">
      <c r="B4454"/>
      <c r="C4454"/>
    </row>
    <row r="4455" spans="2:3" x14ac:dyDescent="0.35">
      <c r="B4455"/>
      <c r="C4455"/>
    </row>
    <row r="4456" spans="2:3" x14ac:dyDescent="0.35">
      <c r="B4456"/>
      <c r="C4456"/>
    </row>
    <row r="4457" spans="2:3" x14ac:dyDescent="0.35">
      <c r="B4457"/>
      <c r="C4457"/>
    </row>
    <row r="4458" spans="2:3" x14ac:dyDescent="0.35">
      <c r="B4458"/>
      <c r="C4458"/>
    </row>
    <row r="4459" spans="2:3" x14ac:dyDescent="0.35">
      <c r="B4459"/>
      <c r="C4459"/>
    </row>
    <row r="4460" spans="2:3" x14ac:dyDescent="0.35">
      <c r="B4460"/>
      <c r="C4460"/>
    </row>
    <row r="4461" spans="2:3" x14ac:dyDescent="0.35">
      <c r="B4461"/>
      <c r="C4461"/>
    </row>
    <row r="4462" spans="2:3" x14ac:dyDescent="0.35">
      <c r="B4462"/>
      <c r="C4462"/>
    </row>
    <row r="4463" spans="2:3" x14ac:dyDescent="0.35">
      <c r="B4463"/>
      <c r="C4463"/>
    </row>
    <row r="4464" spans="2:3" x14ac:dyDescent="0.35">
      <c r="B4464"/>
      <c r="C4464"/>
    </row>
    <row r="4465" spans="2:3" x14ac:dyDescent="0.35">
      <c r="B4465"/>
      <c r="C4465"/>
    </row>
    <row r="4466" spans="2:3" x14ac:dyDescent="0.35">
      <c r="B4466"/>
      <c r="C4466"/>
    </row>
    <row r="4467" spans="2:3" x14ac:dyDescent="0.35">
      <c r="B4467"/>
      <c r="C4467"/>
    </row>
    <row r="4468" spans="2:3" x14ac:dyDescent="0.35">
      <c r="B4468"/>
      <c r="C4468"/>
    </row>
    <row r="4469" spans="2:3" x14ac:dyDescent="0.35">
      <c r="B4469"/>
      <c r="C4469"/>
    </row>
    <row r="4470" spans="2:3" x14ac:dyDescent="0.35">
      <c r="B4470"/>
      <c r="C4470"/>
    </row>
    <row r="4471" spans="2:3" x14ac:dyDescent="0.35">
      <c r="B4471"/>
      <c r="C4471"/>
    </row>
    <row r="4472" spans="2:3" x14ac:dyDescent="0.35">
      <c r="B4472"/>
      <c r="C4472"/>
    </row>
    <row r="4473" spans="2:3" x14ac:dyDescent="0.35">
      <c r="B4473"/>
      <c r="C4473"/>
    </row>
    <row r="4474" spans="2:3" x14ac:dyDescent="0.35">
      <c r="B4474"/>
      <c r="C4474"/>
    </row>
    <row r="4475" spans="2:3" x14ac:dyDescent="0.35">
      <c r="B4475"/>
      <c r="C4475"/>
    </row>
    <row r="4476" spans="2:3" x14ac:dyDescent="0.35">
      <c r="B4476"/>
      <c r="C4476"/>
    </row>
    <row r="4477" spans="2:3" x14ac:dyDescent="0.35">
      <c r="B4477"/>
      <c r="C4477"/>
    </row>
    <row r="4478" spans="2:3" x14ac:dyDescent="0.35">
      <c r="B4478"/>
      <c r="C4478"/>
    </row>
    <row r="4479" spans="2:3" x14ac:dyDescent="0.35">
      <c r="B4479"/>
      <c r="C4479"/>
    </row>
    <row r="4480" spans="2:3" x14ac:dyDescent="0.35">
      <c r="B4480"/>
      <c r="C4480"/>
    </row>
    <row r="4481" spans="2:3" x14ac:dyDescent="0.35">
      <c r="B4481"/>
      <c r="C4481"/>
    </row>
    <row r="4482" spans="2:3" x14ac:dyDescent="0.35">
      <c r="B4482"/>
      <c r="C4482"/>
    </row>
    <row r="4483" spans="2:3" x14ac:dyDescent="0.35">
      <c r="B4483"/>
      <c r="C4483"/>
    </row>
    <row r="4484" spans="2:3" x14ac:dyDescent="0.35">
      <c r="B4484"/>
      <c r="C4484"/>
    </row>
    <row r="4485" spans="2:3" x14ac:dyDescent="0.35">
      <c r="B4485"/>
      <c r="C4485"/>
    </row>
    <row r="4486" spans="2:3" x14ac:dyDescent="0.35">
      <c r="B4486"/>
      <c r="C4486"/>
    </row>
    <row r="4487" spans="2:3" x14ac:dyDescent="0.35">
      <c r="B4487"/>
      <c r="C4487"/>
    </row>
    <row r="4488" spans="2:3" x14ac:dyDescent="0.35">
      <c r="B4488"/>
      <c r="C4488"/>
    </row>
    <row r="4489" spans="2:3" x14ac:dyDescent="0.35">
      <c r="B4489"/>
      <c r="C4489"/>
    </row>
    <row r="4490" spans="2:3" x14ac:dyDescent="0.35">
      <c r="B4490"/>
      <c r="C4490"/>
    </row>
    <row r="4491" spans="2:3" x14ac:dyDescent="0.35">
      <c r="B4491"/>
      <c r="C4491"/>
    </row>
    <row r="4492" spans="2:3" x14ac:dyDescent="0.35">
      <c r="B4492"/>
      <c r="C4492"/>
    </row>
    <row r="4493" spans="2:3" x14ac:dyDescent="0.35">
      <c r="B4493"/>
      <c r="C4493"/>
    </row>
    <row r="4494" spans="2:3" x14ac:dyDescent="0.35">
      <c r="B4494"/>
      <c r="C4494"/>
    </row>
    <row r="4495" spans="2:3" x14ac:dyDescent="0.35">
      <c r="B4495"/>
      <c r="C4495"/>
    </row>
    <row r="4496" spans="2:3" x14ac:dyDescent="0.35">
      <c r="B4496"/>
      <c r="C4496"/>
    </row>
    <row r="4497" spans="2:3" x14ac:dyDescent="0.35">
      <c r="B4497"/>
      <c r="C4497"/>
    </row>
    <row r="4498" spans="2:3" x14ac:dyDescent="0.35">
      <c r="B4498"/>
      <c r="C4498"/>
    </row>
    <row r="4499" spans="2:3" x14ac:dyDescent="0.35">
      <c r="B4499"/>
      <c r="C4499"/>
    </row>
    <row r="4500" spans="2:3" x14ac:dyDescent="0.35">
      <c r="B4500"/>
      <c r="C4500"/>
    </row>
    <row r="4501" spans="2:3" x14ac:dyDescent="0.35">
      <c r="B4501"/>
      <c r="C4501"/>
    </row>
    <row r="4502" spans="2:3" x14ac:dyDescent="0.35">
      <c r="B4502"/>
      <c r="C4502"/>
    </row>
    <row r="4503" spans="2:3" x14ac:dyDescent="0.35">
      <c r="B4503"/>
      <c r="C4503"/>
    </row>
    <row r="4504" spans="2:3" x14ac:dyDescent="0.35">
      <c r="B4504"/>
      <c r="C4504"/>
    </row>
    <row r="4505" spans="2:3" x14ac:dyDescent="0.35">
      <c r="B4505"/>
      <c r="C4505"/>
    </row>
    <row r="4506" spans="2:3" x14ac:dyDescent="0.35">
      <c r="B4506"/>
      <c r="C4506"/>
    </row>
    <row r="4507" spans="2:3" x14ac:dyDescent="0.35">
      <c r="B4507"/>
      <c r="C4507"/>
    </row>
    <row r="4508" spans="2:3" x14ac:dyDescent="0.35">
      <c r="B4508"/>
      <c r="C4508"/>
    </row>
    <row r="4509" spans="2:3" x14ac:dyDescent="0.35">
      <c r="B4509"/>
      <c r="C4509"/>
    </row>
    <row r="4510" spans="2:3" x14ac:dyDescent="0.35">
      <c r="B4510"/>
      <c r="C4510"/>
    </row>
    <row r="4511" spans="2:3" x14ac:dyDescent="0.35">
      <c r="B4511"/>
      <c r="C4511"/>
    </row>
    <row r="4512" spans="2:3" x14ac:dyDescent="0.35">
      <c r="B4512"/>
      <c r="C4512"/>
    </row>
    <row r="4513" spans="2:3" x14ac:dyDescent="0.35">
      <c r="B4513"/>
      <c r="C4513"/>
    </row>
    <row r="4514" spans="2:3" x14ac:dyDescent="0.35">
      <c r="B4514"/>
      <c r="C4514"/>
    </row>
    <row r="4515" spans="2:3" x14ac:dyDescent="0.35">
      <c r="B4515"/>
      <c r="C4515"/>
    </row>
    <row r="4516" spans="2:3" x14ac:dyDescent="0.35">
      <c r="B4516"/>
      <c r="C4516"/>
    </row>
    <row r="4517" spans="2:3" x14ac:dyDescent="0.35">
      <c r="B4517"/>
      <c r="C4517"/>
    </row>
    <row r="4518" spans="2:3" x14ac:dyDescent="0.35">
      <c r="B4518"/>
      <c r="C4518"/>
    </row>
    <row r="4519" spans="2:3" x14ac:dyDescent="0.35">
      <c r="B4519"/>
      <c r="C4519"/>
    </row>
    <row r="4520" spans="2:3" x14ac:dyDescent="0.35">
      <c r="B4520"/>
      <c r="C4520"/>
    </row>
    <row r="4521" spans="2:3" x14ac:dyDescent="0.35">
      <c r="B4521"/>
      <c r="C4521"/>
    </row>
    <row r="4522" spans="2:3" x14ac:dyDescent="0.35">
      <c r="B4522"/>
      <c r="C4522"/>
    </row>
    <row r="4523" spans="2:3" x14ac:dyDescent="0.35">
      <c r="B4523"/>
      <c r="C4523"/>
    </row>
    <row r="4524" spans="2:3" x14ac:dyDescent="0.35">
      <c r="B4524"/>
      <c r="C4524"/>
    </row>
    <row r="4525" spans="2:3" x14ac:dyDescent="0.35">
      <c r="B4525"/>
      <c r="C4525"/>
    </row>
    <row r="4526" spans="2:3" x14ac:dyDescent="0.35">
      <c r="B4526"/>
      <c r="C4526"/>
    </row>
    <row r="4527" spans="2:3" x14ac:dyDescent="0.35">
      <c r="B4527"/>
      <c r="C4527"/>
    </row>
    <row r="4528" spans="2:3" x14ac:dyDescent="0.35">
      <c r="B4528"/>
      <c r="C4528"/>
    </row>
    <row r="4529" spans="2:3" x14ac:dyDescent="0.35">
      <c r="B4529"/>
      <c r="C4529"/>
    </row>
    <row r="4530" spans="2:3" x14ac:dyDescent="0.35">
      <c r="B4530"/>
      <c r="C4530"/>
    </row>
    <row r="4531" spans="2:3" x14ac:dyDescent="0.35">
      <c r="B4531"/>
      <c r="C4531"/>
    </row>
    <row r="4532" spans="2:3" x14ac:dyDescent="0.35">
      <c r="B4532"/>
      <c r="C4532"/>
    </row>
    <row r="4533" spans="2:3" x14ac:dyDescent="0.35">
      <c r="B4533"/>
      <c r="C4533"/>
    </row>
    <row r="4534" spans="2:3" x14ac:dyDescent="0.35">
      <c r="B4534"/>
      <c r="C4534"/>
    </row>
    <row r="4535" spans="2:3" x14ac:dyDescent="0.35">
      <c r="B4535"/>
      <c r="C4535"/>
    </row>
    <row r="4536" spans="2:3" x14ac:dyDescent="0.35">
      <c r="B4536"/>
      <c r="C4536"/>
    </row>
    <row r="4537" spans="2:3" x14ac:dyDescent="0.35">
      <c r="B4537"/>
      <c r="C4537"/>
    </row>
    <row r="4538" spans="2:3" x14ac:dyDescent="0.35">
      <c r="B4538"/>
      <c r="C4538"/>
    </row>
    <row r="4539" spans="2:3" x14ac:dyDescent="0.35">
      <c r="B4539"/>
      <c r="C4539"/>
    </row>
    <row r="4540" spans="2:3" x14ac:dyDescent="0.35">
      <c r="B4540"/>
      <c r="C4540"/>
    </row>
    <row r="4541" spans="2:3" x14ac:dyDescent="0.35">
      <c r="B4541"/>
      <c r="C4541"/>
    </row>
    <row r="4542" spans="2:3" x14ac:dyDescent="0.35">
      <c r="B4542"/>
      <c r="C4542"/>
    </row>
    <row r="4543" spans="2:3" x14ac:dyDescent="0.35">
      <c r="B4543"/>
      <c r="C4543"/>
    </row>
    <row r="4544" spans="2:3" x14ac:dyDescent="0.35">
      <c r="B4544"/>
      <c r="C4544"/>
    </row>
    <row r="4545" spans="2:3" x14ac:dyDescent="0.35">
      <c r="B4545"/>
      <c r="C4545"/>
    </row>
    <row r="4546" spans="2:3" x14ac:dyDescent="0.35">
      <c r="B4546"/>
      <c r="C4546"/>
    </row>
    <row r="4547" spans="2:3" x14ac:dyDescent="0.35">
      <c r="B4547"/>
      <c r="C4547"/>
    </row>
    <row r="4548" spans="2:3" x14ac:dyDescent="0.35">
      <c r="B4548"/>
      <c r="C4548"/>
    </row>
    <row r="4549" spans="2:3" x14ac:dyDescent="0.35">
      <c r="B4549"/>
      <c r="C4549"/>
    </row>
    <row r="4550" spans="2:3" x14ac:dyDescent="0.35">
      <c r="B4550"/>
      <c r="C4550"/>
    </row>
    <row r="4551" spans="2:3" x14ac:dyDescent="0.35">
      <c r="B4551"/>
      <c r="C4551"/>
    </row>
    <row r="4552" spans="2:3" x14ac:dyDescent="0.35">
      <c r="B4552"/>
      <c r="C4552"/>
    </row>
    <row r="4553" spans="2:3" x14ac:dyDescent="0.35">
      <c r="B4553"/>
      <c r="C4553"/>
    </row>
    <row r="4554" spans="2:3" x14ac:dyDescent="0.35">
      <c r="B4554"/>
      <c r="C4554"/>
    </row>
    <row r="4555" spans="2:3" x14ac:dyDescent="0.35">
      <c r="B4555"/>
      <c r="C4555"/>
    </row>
    <row r="4556" spans="2:3" x14ac:dyDescent="0.35">
      <c r="B4556"/>
      <c r="C4556"/>
    </row>
    <row r="4557" spans="2:3" x14ac:dyDescent="0.35">
      <c r="B4557"/>
      <c r="C4557"/>
    </row>
    <row r="4558" spans="2:3" x14ac:dyDescent="0.35">
      <c r="B4558"/>
      <c r="C4558"/>
    </row>
    <row r="4559" spans="2:3" x14ac:dyDescent="0.35">
      <c r="B4559"/>
      <c r="C4559"/>
    </row>
    <row r="4560" spans="2:3" x14ac:dyDescent="0.35">
      <c r="B4560"/>
      <c r="C4560"/>
    </row>
    <row r="4561" spans="2:3" x14ac:dyDescent="0.35">
      <c r="B4561"/>
      <c r="C4561"/>
    </row>
    <row r="4562" spans="2:3" x14ac:dyDescent="0.35">
      <c r="B4562"/>
      <c r="C4562"/>
    </row>
    <row r="4563" spans="2:3" x14ac:dyDescent="0.35">
      <c r="B4563"/>
      <c r="C4563"/>
    </row>
    <row r="4564" spans="2:3" x14ac:dyDescent="0.35">
      <c r="B4564"/>
      <c r="C4564"/>
    </row>
    <row r="4565" spans="2:3" x14ac:dyDescent="0.35">
      <c r="B4565"/>
      <c r="C4565"/>
    </row>
    <row r="4566" spans="2:3" x14ac:dyDescent="0.35">
      <c r="B4566"/>
      <c r="C4566"/>
    </row>
    <row r="4567" spans="2:3" x14ac:dyDescent="0.35">
      <c r="B4567"/>
      <c r="C4567"/>
    </row>
    <row r="4568" spans="2:3" x14ac:dyDescent="0.35">
      <c r="B4568"/>
      <c r="C4568"/>
    </row>
    <row r="4569" spans="2:3" x14ac:dyDescent="0.35">
      <c r="B4569"/>
      <c r="C4569"/>
    </row>
    <row r="4570" spans="2:3" x14ac:dyDescent="0.35">
      <c r="B4570"/>
      <c r="C4570"/>
    </row>
    <row r="4571" spans="2:3" x14ac:dyDescent="0.35">
      <c r="B4571"/>
      <c r="C4571"/>
    </row>
    <row r="4572" spans="2:3" x14ac:dyDescent="0.35">
      <c r="B4572"/>
      <c r="C4572"/>
    </row>
    <row r="4573" spans="2:3" x14ac:dyDescent="0.35">
      <c r="B4573"/>
      <c r="C4573"/>
    </row>
    <row r="4574" spans="2:3" x14ac:dyDescent="0.35">
      <c r="B4574"/>
      <c r="C4574"/>
    </row>
    <row r="4575" spans="2:3" x14ac:dyDescent="0.35">
      <c r="B4575"/>
      <c r="C4575"/>
    </row>
    <row r="4576" spans="2:3" x14ac:dyDescent="0.35">
      <c r="B4576"/>
      <c r="C4576"/>
    </row>
    <row r="4577" spans="2:3" x14ac:dyDescent="0.35">
      <c r="B4577"/>
      <c r="C4577"/>
    </row>
    <row r="4578" spans="2:3" x14ac:dyDescent="0.35">
      <c r="B4578"/>
      <c r="C4578"/>
    </row>
    <row r="4579" spans="2:3" x14ac:dyDescent="0.35">
      <c r="B4579"/>
      <c r="C4579"/>
    </row>
    <row r="4580" spans="2:3" x14ac:dyDescent="0.35">
      <c r="B4580"/>
      <c r="C4580"/>
    </row>
    <row r="4581" spans="2:3" x14ac:dyDescent="0.35">
      <c r="B4581"/>
      <c r="C4581"/>
    </row>
    <row r="4582" spans="2:3" x14ac:dyDescent="0.35">
      <c r="B4582"/>
      <c r="C4582"/>
    </row>
    <row r="4583" spans="2:3" x14ac:dyDescent="0.35">
      <c r="B4583"/>
      <c r="C4583"/>
    </row>
    <row r="4584" spans="2:3" x14ac:dyDescent="0.35">
      <c r="B4584"/>
      <c r="C4584"/>
    </row>
    <row r="4585" spans="2:3" x14ac:dyDescent="0.35">
      <c r="B4585"/>
      <c r="C4585"/>
    </row>
    <row r="4586" spans="2:3" x14ac:dyDescent="0.35">
      <c r="B4586"/>
      <c r="C4586"/>
    </row>
    <row r="4587" spans="2:3" x14ac:dyDescent="0.35">
      <c r="B4587"/>
      <c r="C4587"/>
    </row>
    <row r="4588" spans="2:3" x14ac:dyDescent="0.35">
      <c r="B4588"/>
      <c r="C4588"/>
    </row>
    <row r="4589" spans="2:3" x14ac:dyDescent="0.35">
      <c r="B4589"/>
      <c r="C4589"/>
    </row>
    <row r="4590" spans="2:3" x14ac:dyDescent="0.35">
      <c r="B4590"/>
      <c r="C4590"/>
    </row>
    <row r="4591" spans="2:3" x14ac:dyDescent="0.35">
      <c r="B4591"/>
      <c r="C4591"/>
    </row>
    <row r="4592" spans="2:3" x14ac:dyDescent="0.35">
      <c r="B4592"/>
      <c r="C4592"/>
    </row>
    <row r="4593" spans="2:3" x14ac:dyDescent="0.35">
      <c r="B4593"/>
      <c r="C4593"/>
    </row>
    <row r="4594" spans="2:3" x14ac:dyDescent="0.35">
      <c r="B4594"/>
      <c r="C4594"/>
    </row>
    <row r="4595" spans="2:3" x14ac:dyDescent="0.35">
      <c r="B4595"/>
      <c r="C4595"/>
    </row>
    <row r="4596" spans="2:3" x14ac:dyDescent="0.35">
      <c r="B4596"/>
      <c r="C4596"/>
    </row>
    <row r="4597" spans="2:3" x14ac:dyDescent="0.35">
      <c r="B4597"/>
      <c r="C4597"/>
    </row>
    <row r="4598" spans="2:3" x14ac:dyDescent="0.35">
      <c r="B4598"/>
      <c r="C4598"/>
    </row>
    <row r="4599" spans="2:3" x14ac:dyDescent="0.35">
      <c r="B4599"/>
      <c r="C4599"/>
    </row>
    <row r="4600" spans="2:3" x14ac:dyDescent="0.35">
      <c r="B4600"/>
      <c r="C4600"/>
    </row>
    <row r="4601" spans="2:3" x14ac:dyDescent="0.35">
      <c r="B4601"/>
      <c r="C4601"/>
    </row>
    <row r="4602" spans="2:3" x14ac:dyDescent="0.35">
      <c r="B4602"/>
      <c r="C4602"/>
    </row>
    <row r="4603" spans="2:3" x14ac:dyDescent="0.35">
      <c r="B4603"/>
      <c r="C4603"/>
    </row>
  </sheetData>
  <autoFilter ref="B4:E2578" xr:uid="{F2AC47FB-0DD1-6640-8534-080947EBDE7F}"/>
  <sortState xmlns:xlrd2="http://schemas.microsoft.com/office/spreadsheetml/2017/richdata2" ref="A5:E2382">
    <sortCondition ref="B5:B2382"/>
    <sortCondition ref="D5:D2382"/>
  </sortState>
  <phoneticPr fontId="29" type="noConversion"/>
  <pageMargins left="0.7" right="0.7" top="0.75" bottom="0.75" header="0.3" footer="0.3"/>
  <pageSetup orientation="portrait" r:id="rId1"/>
  <ignoredErrors>
    <ignoredError sqref="E2384:E2561 E2563:E257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7C9C-6917-4A49-B1EC-B343BD24D8C8}">
  <sheetPr codeName="Sheet8">
    <tabColor rgb="FFFFFF00"/>
  </sheetPr>
  <dimension ref="A4:G1051"/>
  <sheetViews>
    <sheetView showGridLines="0" topLeftCell="B1" zoomScale="90" zoomScaleNormal="90" workbookViewId="0">
      <pane ySplit="4" topLeftCell="A770" activePane="bottomLeft" state="frozen"/>
      <selection activeCell="C1" sqref="A1:C1048576"/>
      <selection pane="bottomLeft" activeCell="C1" sqref="A1:C1048576"/>
    </sheetView>
  </sheetViews>
  <sheetFormatPr defaultColWidth="10.58203125" defaultRowHeight="15.5" x14ac:dyDescent="0.35"/>
  <cols>
    <col min="1" max="1" width="16" style="3" hidden="1" customWidth="1"/>
    <col min="2" max="2" width="10.83203125" style="163" customWidth="1"/>
    <col min="3" max="3" width="36" customWidth="1"/>
    <col min="4" max="4" width="15.83203125" style="57" customWidth="1"/>
    <col min="5" max="5" width="16.08203125" style="57" customWidth="1"/>
    <col min="6" max="6" width="10.83203125" style="57" customWidth="1"/>
    <col min="7" max="7" width="23.33203125" customWidth="1"/>
    <col min="8" max="8" width="21.25" customWidth="1"/>
  </cols>
  <sheetData>
    <row r="4" spans="1:4" ht="32.15" customHeight="1" thickBot="1" x14ac:dyDescent="0.4">
      <c r="B4" s="223" t="s">
        <v>193</v>
      </c>
      <c r="C4" s="232" t="s">
        <v>1</v>
      </c>
      <c r="D4" s="233" t="s">
        <v>226</v>
      </c>
    </row>
    <row r="5" spans="1:4" ht="14.15" customHeight="1" x14ac:dyDescent="0.35">
      <c r="A5" s="3" t="str">
        <f>IF(C5="","",(VLOOKUP($C5,KEY!$B$5:$D$74,3,FALSE)))</f>
        <v>Arizona</v>
      </c>
      <c r="B5" s="221" t="s">
        <v>213</v>
      </c>
      <c r="C5" s="222" t="s">
        <v>111</v>
      </c>
      <c r="D5" s="218">
        <v>11</v>
      </c>
    </row>
    <row r="6" spans="1:4" ht="14.15" customHeight="1" x14ac:dyDescent="0.35">
      <c r="A6" s="3" t="str">
        <f>IF(C6="","",(VLOOKUP($C6,KEY!$B$5:$D$74,3,FALSE)))</f>
        <v>Southern California</v>
      </c>
      <c r="B6" s="221" t="s">
        <v>213</v>
      </c>
      <c r="C6" s="222" t="s">
        <v>112</v>
      </c>
      <c r="D6" s="218">
        <v>0</v>
      </c>
    </row>
    <row r="7" spans="1:4" ht="14.15" customHeight="1" x14ac:dyDescent="0.35">
      <c r="A7" s="3" t="str">
        <f>IF(C7="","",(VLOOKUP($C7,KEY!$B$5:$D$74,3,FALSE)))</f>
        <v>Arizona</v>
      </c>
      <c r="B7" s="221" t="s">
        <v>213</v>
      </c>
      <c r="C7" s="222" t="s">
        <v>113</v>
      </c>
      <c r="D7" s="218">
        <v>11</v>
      </c>
    </row>
    <row r="8" spans="1:4" ht="14.15" customHeight="1" x14ac:dyDescent="0.35">
      <c r="A8" s="3" t="str">
        <f>IF(C8="","",(VLOOKUP($C8,KEY!$B$5:$D$74,3,FALSE)))</f>
        <v>Southern California</v>
      </c>
      <c r="B8" s="221" t="s">
        <v>213</v>
      </c>
      <c r="C8" s="222" t="s">
        <v>114</v>
      </c>
      <c r="D8" s="218">
        <v>13</v>
      </c>
    </row>
    <row r="9" spans="1:4" ht="14.15" customHeight="1" x14ac:dyDescent="0.35">
      <c r="A9" s="3" t="str">
        <f>IF(C9="","",(VLOOKUP($C9,KEY!$B$5:$D$74,3,FALSE)))</f>
        <v>Orange County</v>
      </c>
      <c r="B9" s="221" t="s">
        <v>213</v>
      </c>
      <c r="C9" s="222" t="s">
        <v>115</v>
      </c>
      <c r="D9" s="218">
        <v>3</v>
      </c>
    </row>
    <row r="10" spans="1:4" ht="14.15" customHeight="1" x14ac:dyDescent="0.35">
      <c r="A10" s="3" t="str">
        <f>IF(C10="","",(VLOOKUP($C10,KEY!$B$5:$D$74,3,FALSE)))</f>
        <v>Arizona</v>
      </c>
      <c r="B10" s="221" t="s">
        <v>213</v>
      </c>
      <c r="C10" s="222" t="s">
        <v>116</v>
      </c>
      <c r="D10" s="218">
        <v>18</v>
      </c>
    </row>
    <row r="11" spans="1:4" ht="14.15" customHeight="1" x14ac:dyDescent="0.35">
      <c r="A11" s="3" t="str">
        <f>IF(C11="","",(VLOOKUP($C11,KEY!$B$5:$D$74,3,FALSE)))</f>
        <v>Orange County</v>
      </c>
      <c r="B11" s="221" t="s">
        <v>213</v>
      </c>
      <c r="C11" s="222" t="s">
        <v>117</v>
      </c>
      <c r="D11" s="218">
        <v>37</v>
      </c>
    </row>
    <row r="12" spans="1:4" ht="14.15" customHeight="1" x14ac:dyDescent="0.35">
      <c r="A12" s="3" t="str">
        <f>IF(C12="","",(VLOOKUP($C12,KEY!$B$5:$D$74,3,FALSE)))</f>
        <v>Northern California</v>
      </c>
      <c r="B12" s="221" t="s">
        <v>213</v>
      </c>
      <c r="C12" s="222" t="s">
        <v>118</v>
      </c>
      <c r="D12" s="218">
        <v>7</v>
      </c>
    </row>
    <row r="13" spans="1:4" ht="14.15" customHeight="1" x14ac:dyDescent="0.35">
      <c r="A13" s="3" t="str">
        <f>IF(C13="","",(VLOOKUP($C13,KEY!$B$5:$D$74,3,FALSE)))</f>
        <v>Arizona</v>
      </c>
      <c r="B13" s="221" t="s">
        <v>213</v>
      </c>
      <c r="C13" s="222" t="s">
        <v>119</v>
      </c>
      <c r="D13" s="218">
        <v>6</v>
      </c>
    </row>
    <row r="14" spans="1:4" ht="14.15" customHeight="1" x14ac:dyDescent="0.35">
      <c r="A14" s="3" t="str">
        <f>IF(C14="","",(VLOOKUP($C14,KEY!$B$5:$D$74,3,FALSE)))</f>
        <v>Arizona</v>
      </c>
      <c r="B14" s="221" t="s">
        <v>213</v>
      </c>
      <c r="C14" s="222" t="s">
        <v>120</v>
      </c>
      <c r="D14" s="218">
        <v>2</v>
      </c>
    </row>
    <row r="15" spans="1:4" ht="14.15" customHeight="1" x14ac:dyDescent="0.35">
      <c r="A15" s="3" t="str">
        <f>IF(C15="","",(VLOOKUP($C15,KEY!$B$5:$D$74,3,FALSE)))</f>
        <v>Texas</v>
      </c>
      <c r="B15" s="221" t="s">
        <v>213</v>
      </c>
      <c r="C15" s="222" t="s">
        <v>121</v>
      </c>
      <c r="D15" s="218">
        <v>2</v>
      </c>
    </row>
    <row r="16" spans="1:4" ht="14.15" customHeight="1" x14ac:dyDescent="0.35">
      <c r="A16" s="3" t="str">
        <f>IF(C16="","",(VLOOKUP($C16,KEY!$B$5:$D$74,3,FALSE)))</f>
        <v>Southern California</v>
      </c>
      <c r="B16" s="221" t="s">
        <v>213</v>
      </c>
      <c r="C16" s="222" t="s">
        <v>122</v>
      </c>
      <c r="D16" s="218">
        <v>23</v>
      </c>
    </row>
    <row r="17" spans="1:4" ht="14.15" customHeight="1" x14ac:dyDescent="0.35">
      <c r="A17" s="3" t="str">
        <f>IF(C17="","",(VLOOKUP($C17,KEY!$B$5:$D$74,3,FALSE)))</f>
        <v>Orange County</v>
      </c>
      <c r="B17" s="221" t="s">
        <v>213</v>
      </c>
      <c r="C17" s="222" t="s">
        <v>123</v>
      </c>
      <c r="D17" s="218">
        <v>18</v>
      </c>
    </row>
    <row r="18" spans="1:4" ht="14.15" customHeight="1" x14ac:dyDescent="0.35">
      <c r="A18" s="3" t="str">
        <f>IF(C18="","",(VLOOKUP($C18,KEY!$B$5:$D$74,3,FALSE)))</f>
        <v>Southern California</v>
      </c>
      <c r="B18" s="221" t="s">
        <v>213</v>
      </c>
      <c r="C18" s="222" t="s">
        <v>124</v>
      </c>
      <c r="D18" s="218">
        <v>25</v>
      </c>
    </row>
    <row r="19" spans="1:4" ht="14.15" customHeight="1" x14ac:dyDescent="0.35">
      <c r="A19" s="3" t="str">
        <f>IF(C19="","",(VLOOKUP($C19,KEY!$B$5:$D$74,3,FALSE)))</f>
        <v>Northern California</v>
      </c>
      <c r="B19" s="221" t="s">
        <v>213</v>
      </c>
      <c r="C19" s="222" t="s">
        <v>195</v>
      </c>
      <c r="D19" s="218">
        <v>0</v>
      </c>
    </row>
    <row r="20" spans="1:4" ht="14.15" customHeight="1" x14ac:dyDescent="0.35">
      <c r="A20" s="3" t="str">
        <f>IF(C20="","",(VLOOKUP($C20,KEY!$B$5:$D$74,3,FALSE)))</f>
        <v>Northern California</v>
      </c>
      <c r="B20" s="221" t="s">
        <v>213</v>
      </c>
      <c r="C20" s="222" t="s">
        <v>125</v>
      </c>
      <c r="D20" s="218">
        <v>5</v>
      </c>
    </row>
    <row r="21" spans="1:4" ht="14.15" customHeight="1" x14ac:dyDescent="0.35">
      <c r="A21" s="3" t="str">
        <f>IF(C21="","",(VLOOKUP($C21,KEY!$B$5:$D$74,3,FALSE)))</f>
        <v>Orange County</v>
      </c>
      <c r="B21" s="221" t="s">
        <v>213</v>
      </c>
      <c r="C21" s="222" t="s">
        <v>126</v>
      </c>
      <c r="D21" s="218">
        <v>35</v>
      </c>
    </row>
    <row r="22" spans="1:4" ht="14.15" customHeight="1" x14ac:dyDescent="0.35">
      <c r="A22" s="3" t="str">
        <f>IF(C22="","",(VLOOKUP($C22,KEY!$B$5:$D$74,3,FALSE)))</f>
        <v>Orange County</v>
      </c>
      <c r="B22" s="221" t="s">
        <v>213</v>
      </c>
      <c r="C22" s="222" t="s">
        <v>127</v>
      </c>
      <c r="D22" s="218">
        <v>10</v>
      </c>
    </row>
    <row r="23" spans="1:4" ht="14.15" customHeight="1" x14ac:dyDescent="0.35">
      <c r="A23" s="3" t="str">
        <f>IF(C23="","",(VLOOKUP($C23,KEY!$B$5:$D$74,3,FALSE)))</f>
        <v>Texas</v>
      </c>
      <c r="B23" s="221" t="s">
        <v>213</v>
      </c>
      <c r="C23" s="222" t="s">
        <v>128</v>
      </c>
      <c r="D23" s="218">
        <v>57</v>
      </c>
    </row>
    <row r="24" spans="1:4" ht="14.15" customHeight="1" x14ac:dyDescent="0.35">
      <c r="A24" s="3" t="str">
        <f>IF(C24="","",(VLOOKUP($C24,KEY!$B$5:$D$74,3,FALSE)))</f>
        <v>Northern California</v>
      </c>
      <c r="B24" s="221" t="s">
        <v>213</v>
      </c>
      <c r="C24" s="222" t="s">
        <v>129</v>
      </c>
      <c r="D24" s="218">
        <v>2</v>
      </c>
    </row>
    <row r="25" spans="1:4" ht="14.15" customHeight="1" x14ac:dyDescent="0.35">
      <c r="A25" s="3" t="str">
        <f>IF(C25="","",(VLOOKUP($C25,KEY!$B$5:$D$74,3,FALSE)))</f>
        <v>Southern California</v>
      </c>
      <c r="B25" s="221" t="s">
        <v>213</v>
      </c>
      <c r="C25" s="222" t="s">
        <v>130</v>
      </c>
      <c r="D25" s="218">
        <v>3</v>
      </c>
    </row>
    <row r="26" spans="1:4" ht="14.15" customHeight="1" x14ac:dyDescent="0.35">
      <c r="A26" s="3">
        <f>IF(C26="","",(VLOOKUP($C26,KEY!$B$5:$D$74,3,FALSE)))</f>
        <v>0</v>
      </c>
      <c r="B26" s="221" t="s">
        <v>213</v>
      </c>
      <c r="C26" s="222" t="s">
        <v>131</v>
      </c>
      <c r="D26" s="218">
        <v>51</v>
      </c>
    </row>
    <row r="27" spans="1:4" ht="14.15" customHeight="1" x14ac:dyDescent="0.35">
      <c r="A27" s="3" t="e">
        <f>IF(C27="","",(VLOOKUP($C27,KEY!$B$5:$D$74,3,FALSE)))</f>
        <v>#N/A</v>
      </c>
      <c r="B27" s="221" t="s">
        <v>213</v>
      </c>
      <c r="C27" s="222" t="s">
        <v>134</v>
      </c>
      <c r="D27" s="218">
        <v>0</v>
      </c>
    </row>
    <row r="28" spans="1:4" ht="14.15" customHeight="1" x14ac:dyDescent="0.35">
      <c r="A28" s="3" t="str">
        <f>IF(C28="","",(VLOOKUP($C28,KEY!$B$5:$D$74,3,FALSE)))</f>
        <v>Southern California</v>
      </c>
      <c r="B28" s="221" t="s">
        <v>213</v>
      </c>
      <c r="C28" s="222" t="s">
        <v>135</v>
      </c>
      <c r="D28" s="218">
        <v>7</v>
      </c>
    </row>
    <row r="29" spans="1:4" ht="14.15" customHeight="1" x14ac:dyDescent="0.35">
      <c r="A29" s="3" t="str">
        <f>IF(C29="","",(VLOOKUP($C29,KEY!$B$5:$D$74,3,FALSE)))</f>
        <v>Arizona</v>
      </c>
      <c r="B29" s="221" t="s">
        <v>213</v>
      </c>
      <c r="C29" s="222" t="s">
        <v>196</v>
      </c>
      <c r="D29" s="218">
        <v>0</v>
      </c>
    </row>
    <row r="30" spans="1:4" ht="14.15" customHeight="1" x14ac:dyDescent="0.35">
      <c r="A30" s="3" t="str">
        <f>IF(C30="","",(VLOOKUP($C30,KEY!$B$5:$D$74,3,FALSE)))</f>
        <v>Arizona</v>
      </c>
      <c r="B30" s="221" t="s">
        <v>213</v>
      </c>
      <c r="C30" s="222" t="s">
        <v>197</v>
      </c>
      <c r="D30" s="218">
        <v>23</v>
      </c>
    </row>
    <row r="31" spans="1:4" ht="14.15" customHeight="1" x14ac:dyDescent="0.35">
      <c r="A31" s="3" t="str">
        <f>IF(C31="","",(VLOOKUP($C31,KEY!$B$5:$D$74,3,FALSE)))</f>
        <v>Texas</v>
      </c>
      <c r="B31" s="221" t="s">
        <v>213</v>
      </c>
      <c r="C31" s="222" t="s">
        <v>136</v>
      </c>
      <c r="D31" s="218">
        <v>15</v>
      </c>
    </row>
    <row r="32" spans="1:4" ht="14.15" customHeight="1" x14ac:dyDescent="0.35">
      <c r="A32" s="3" t="str">
        <f>IF(C32="","",(VLOOKUP($C32,KEY!$B$5:$D$74,3,FALSE)))</f>
        <v>Arizona</v>
      </c>
      <c r="B32" s="221" t="s">
        <v>213</v>
      </c>
      <c r="C32" s="222" t="s">
        <v>137</v>
      </c>
      <c r="D32" s="218">
        <v>12</v>
      </c>
    </row>
    <row r="33" spans="1:4" ht="14.15" customHeight="1" x14ac:dyDescent="0.35">
      <c r="A33" s="3" t="str">
        <f>IF(C33="","",(VLOOKUP($C33,KEY!$B$5:$D$74,3,FALSE)))</f>
        <v>Texas</v>
      </c>
      <c r="B33" s="221" t="s">
        <v>213</v>
      </c>
      <c r="C33" s="222" t="s">
        <v>138</v>
      </c>
      <c r="D33" s="218">
        <v>3</v>
      </c>
    </row>
    <row r="34" spans="1:4" s="57" customFormat="1" ht="14.15" customHeight="1" x14ac:dyDescent="0.25">
      <c r="A34" s="3" t="str">
        <f>IF(C34="","",(VLOOKUP($C34,KEY!$B$5:$D$74,3,FALSE)))</f>
        <v>Southern California</v>
      </c>
      <c r="B34" s="221" t="s">
        <v>213</v>
      </c>
      <c r="C34" s="222" t="s">
        <v>139</v>
      </c>
      <c r="D34" s="218">
        <v>1</v>
      </c>
    </row>
    <row r="35" spans="1:4" s="57" customFormat="1" ht="14.15" customHeight="1" x14ac:dyDescent="0.25">
      <c r="A35" s="3" t="str">
        <f>IF(C35="","",(VLOOKUP($C35,KEY!$B$5:$D$74,3,FALSE)))</f>
        <v>Orange County</v>
      </c>
      <c r="B35" s="221" t="s">
        <v>213</v>
      </c>
      <c r="C35" s="222" t="s">
        <v>140</v>
      </c>
      <c r="D35" s="218">
        <v>22</v>
      </c>
    </row>
    <row r="36" spans="1:4" s="57" customFormat="1" ht="14.15" customHeight="1" x14ac:dyDescent="0.25">
      <c r="A36" s="3" t="str">
        <f>IF(C36="","",(VLOOKUP($C36,KEY!$B$5:$D$74,3,FALSE)))</f>
        <v>Southern California</v>
      </c>
      <c r="B36" s="221" t="s">
        <v>213</v>
      </c>
      <c r="C36" s="222" t="s">
        <v>142</v>
      </c>
      <c r="D36" s="218">
        <v>0</v>
      </c>
    </row>
    <row r="37" spans="1:4" s="57" customFormat="1" ht="14.15" customHeight="1" x14ac:dyDescent="0.25">
      <c r="A37" s="3" t="str">
        <f>IF(C37="","",(VLOOKUP($C37,KEY!$B$5:$D$74,3,FALSE)))</f>
        <v>Arizona</v>
      </c>
      <c r="B37" s="221" t="s">
        <v>213</v>
      </c>
      <c r="C37" s="222" t="s">
        <v>143</v>
      </c>
      <c r="D37" s="218">
        <v>10</v>
      </c>
    </row>
    <row r="38" spans="1:4" s="57" customFormat="1" ht="14.15" customHeight="1" x14ac:dyDescent="0.25">
      <c r="A38" s="3" t="str">
        <f>IF(C38="","",(VLOOKUP($C38,KEY!$B$5:$D$74,3,FALSE)))</f>
        <v>Arizona</v>
      </c>
      <c r="B38" s="221" t="s">
        <v>213</v>
      </c>
      <c r="C38" s="222" t="s">
        <v>144</v>
      </c>
      <c r="D38" s="218">
        <v>6</v>
      </c>
    </row>
    <row r="39" spans="1:4" s="57" customFormat="1" ht="14.15" customHeight="1" x14ac:dyDescent="0.25">
      <c r="A39" s="3" t="str">
        <f>IF(C39="","",(VLOOKUP($C39,KEY!$B$5:$D$74,3,FALSE)))</f>
        <v>Southern California</v>
      </c>
      <c r="B39" s="221" t="s">
        <v>213</v>
      </c>
      <c r="C39" s="222" t="s">
        <v>145</v>
      </c>
      <c r="D39" s="218">
        <v>17</v>
      </c>
    </row>
    <row r="40" spans="1:4" s="57" customFormat="1" ht="14.15" customHeight="1" x14ac:dyDescent="0.25">
      <c r="A40" s="3" t="str">
        <f>IF(C40="","",(VLOOKUP($C40,KEY!$B$5:$D$74,3,FALSE)))</f>
        <v>Arizona</v>
      </c>
      <c r="B40" s="221" t="s">
        <v>213</v>
      </c>
      <c r="C40" s="222" t="s">
        <v>146</v>
      </c>
      <c r="D40" s="218">
        <v>0</v>
      </c>
    </row>
    <row r="41" spans="1:4" s="57" customFormat="1" ht="14.15" customHeight="1" x14ac:dyDescent="0.25">
      <c r="A41" s="3" t="str">
        <f>IF(C41="","",(VLOOKUP($C41,KEY!$B$5:$D$74,3,FALSE)))</f>
        <v>Texas</v>
      </c>
      <c r="B41" s="221" t="s">
        <v>213</v>
      </c>
      <c r="C41" s="222" t="s">
        <v>147</v>
      </c>
      <c r="D41" s="218">
        <v>8</v>
      </c>
    </row>
    <row r="42" spans="1:4" s="57" customFormat="1" ht="14.15" customHeight="1" x14ac:dyDescent="0.25">
      <c r="A42" s="3" t="str">
        <f>IF(C42="","",(VLOOKUP($C42,KEY!$B$5:$D$74,3,FALSE)))</f>
        <v>Northern California</v>
      </c>
      <c r="B42" s="221" t="s">
        <v>213</v>
      </c>
      <c r="C42" s="222" t="s">
        <v>148</v>
      </c>
      <c r="D42" s="218">
        <v>0</v>
      </c>
    </row>
    <row r="43" spans="1:4" s="57" customFormat="1" ht="14.15" customHeight="1" x14ac:dyDescent="0.25">
      <c r="A43" s="3" t="str">
        <f>IF(C43="","",(VLOOKUP($C43,KEY!$B$5:$D$74,3,FALSE)))</f>
        <v>Orange County</v>
      </c>
      <c r="B43" s="221" t="s">
        <v>213</v>
      </c>
      <c r="C43" s="222" t="s">
        <v>149</v>
      </c>
      <c r="D43" s="218">
        <v>6</v>
      </c>
    </row>
    <row r="44" spans="1:4" s="57" customFormat="1" ht="14.15" customHeight="1" x14ac:dyDescent="0.25">
      <c r="A44" s="3" t="str">
        <f>IF(C44="","",(VLOOKUP($C44,KEY!$B$5:$D$74,3,FALSE)))</f>
        <v>Southern California</v>
      </c>
      <c r="B44" s="221" t="s">
        <v>213</v>
      </c>
      <c r="C44" s="222" t="s">
        <v>150</v>
      </c>
      <c r="D44" s="218">
        <v>0</v>
      </c>
    </row>
    <row r="45" spans="1:4" s="57" customFormat="1" ht="14.15" customHeight="1" x14ac:dyDescent="0.25">
      <c r="A45" s="3" t="str">
        <f>IF(C45="","",(VLOOKUP($C45,KEY!$B$5:$D$74,3,FALSE)))</f>
        <v>Arizona</v>
      </c>
      <c r="B45" s="221" t="s">
        <v>213</v>
      </c>
      <c r="C45" s="222" t="s">
        <v>151</v>
      </c>
      <c r="D45" s="218">
        <v>4</v>
      </c>
    </row>
    <row r="46" spans="1:4" s="57" customFormat="1" ht="14.15" customHeight="1" x14ac:dyDescent="0.25">
      <c r="A46" s="3" t="str">
        <f>IF(C46="","",(VLOOKUP($C46,KEY!$B$5:$D$74,3,FALSE)))</f>
        <v>Northern California</v>
      </c>
      <c r="B46" s="221" t="s">
        <v>213</v>
      </c>
      <c r="C46" s="222" t="s">
        <v>152</v>
      </c>
      <c r="D46" s="218">
        <v>5</v>
      </c>
    </row>
    <row r="47" spans="1:4" s="57" customFormat="1" ht="14.15" customHeight="1" x14ac:dyDescent="0.25">
      <c r="A47" s="3" t="str">
        <f>IF(C47="","",(VLOOKUP($C47,KEY!$B$5:$D$74,3,FALSE)))</f>
        <v>Arizona</v>
      </c>
      <c r="B47" s="221" t="s">
        <v>213</v>
      </c>
      <c r="C47" s="222" t="s">
        <v>153</v>
      </c>
      <c r="D47" s="218">
        <v>0</v>
      </c>
    </row>
    <row r="48" spans="1:4" s="57" customFormat="1" ht="14.15" customHeight="1" x14ac:dyDescent="0.25">
      <c r="A48" s="3" t="str">
        <f>IF(C48="","",(VLOOKUP($C48,KEY!$B$5:$D$74,3,FALSE)))</f>
        <v>Northern California</v>
      </c>
      <c r="B48" s="221" t="s">
        <v>213</v>
      </c>
      <c r="C48" s="222" t="s">
        <v>154</v>
      </c>
      <c r="D48" s="218">
        <v>24</v>
      </c>
    </row>
    <row r="49" spans="1:4" s="57" customFormat="1" ht="14.15" customHeight="1" x14ac:dyDescent="0.25">
      <c r="A49" s="3" t="str">
        <f>IF(C49="","",(VLOOKUP($C49,KEY!$B$5:$D$74,3,FALSE)))</f>
        <v>Texas</v>
      </c>
      <c r="B49" s="221" t="s">
        <v>213</v>
      </c>
      <c r="C49" s="222" t="s">
        <v>155</v>
      </c>
      <c r="D49" s="218">
        <v>6</v>
      </c>
    </row>
    <row r="50" spans="1:4" s="57" customFormat="1" ht="14.15" customHeight="1" x14ac:dyDescent="0.25">
      <c r="A50" s="3" t="str">
        <f>IF(C50="","",(VLOOKUP($C50,KEY!$B$5:$D$74,3,FALSE)))</f>
        <v>Texas</v>
      </c>
      <c r="B50" s="221" t="s">
        <v>213</v>
      </c>
      <c r="C50" s="222" t="s">
        <v>156</v>
      </c>
      <c r="D50" s="218">
        <v>6</v>
      </c>
    </row>
    <row r="51" spans="1:4" s="57" customFormat="1" ht="14.15" customHeight="1" x14ac:dyDescent="0.25">
      <c r="A51" s="3" t="str">
        <f>IF(C51="","",(VLOOKUP($C51,KEY!$B$5:$D$74,3,FALSE)))</f>
        <v>Texas</v>
      </c>
      <c r="B51" s="221" t="s">
        <v>213</v>
      </c>
      <c r="C51" s="222" t="s">
        <v>157</v>
      </c>
      <c r="D51" s="218">
        <v>5</v>
      </c>
    </row>
    <row r="52" spans="1:4" s="57" customFormat="1" ht="14.15" customHeight="1" x14ac:dyDescent="0.25">
      <c r="A52" s="3" t="str">
        <f>IF(C52="","",(VLOOKUP($C52,KEY!$B$5:$D$74,3,FALSE)))</f>
        <v>Arizona</v>
      </c>
      <c r="B52" s="221" t="s">
        <v>213</v>
      </c>
      <c r="C52" s="222" t="s">
        <v>158</v>
      </c>
      <c r="D52" s="218">
        <v>0</v>
      </c>
    </row>
    <row r="53" spans="1:4" s="57" customFormat="1" ht="14.15" customHeight="1" x14ac:dyDescent="0.25">
      <c r="A53" s="3" t="str">
        <f>IF(C53="","",(VLOOKUP($C53,KEY!$B$5:$D$74,3,FALSE)))</f>
        <v>Orange County</v>
      </c>
      <c r="B53" s="221" t="s">
        <v>213</v>
      </c>
      <c r="C53" s="222" t="s">
        <v>159</v>
      </c>
      <c r="D53" s="218">
        <v>42</v>
      </c>
    </row>
    <row r="54" spans="1:4" s="57" customFormat="1" ht="14.15" customHeight="1" x14ac:dyDescent="0.25">
      <c r="A54" s="3" t="str">
        <f>IF(C54="","",(VLOOKUP($C54,KEY!$B$5:$D$74,3,FALSE)))</f>
        <v>Arizona</v>
      </c>
      <c r="B54" s="221" t="s">
        <v>213</v>
      </c>
      <c r="C54" s="222" t="s">
        <v>160</v>
      </c>
      <c r="D54" s="218">
        <v>40</v>
      </c>
    </row>
    <row r="55" spans="1:4" s="57" customFormat="1" ht="14.15" customHeight="1" x14ac:dyDescent="0.25">
      <c r="A55" s="3" t="str">
        <f>IF(C55="","",(VLOOKUP($C55,KEY!$B$5:$D$74,3,FALSE)))</f>
        <v>Northern California</v>
      </c>
      <c r="B55" s="221" t="s">
        <v>213</v>
      </c>
      <c r="C55" s="222" t="s">
        <v>161</v>
      </c>
      <c r="D55" s="218">
        <v>9</v>
      </c>
    </row>
    <row r="56" spans="1:4" s="57" customFormat="1" ht="14.15" customHeight="1" x14ac:dyDescent="0.25">
      <c r="A56" s="3" t="e">
        <f>IF(C56="","",(VLOOKUP($C56,KEY!$B$5:$D$74,3,FALSE)))</f>
        <v>#N/A</v>
      </c>
      <c r="B56" s="221" t="s">
        <v>213</v>
      </c>
      <c r="C56" s="222" t="s">
        <v>162</v>
      </c>
      <c r="D56" s="218">
        <v>10</v>
      </c>
    </row>
    <row r="57" spans="1:4" s="57" customFormat="1" ht="14.15" customHeight="1" x14ac:dyDescent="0.25">
      <c r="A57" s="3" t="str">
        <f>IF(C57="","",(VLOOKUP($C57,KEY!$B$5:$D$74,3,FALSE)))</f>
        <v>Arizona</v>
      </c>
      <c r="B57" s="221" t="s">
        <v>213</v>
      </c>
      <c r="C57" s="222" t="s">
        <v>163</v>
      </c>
      <c r="D57" s="218">
        <v>24</v>
      </c>
    </row>
    <row r="58" spans="1:4" s="57" customFormat="1" ht="14.15" customHeight="1" x14ac:dyDescent="0.25">
      <c r="A58" s="3" t="str">
        <f>IF(C58="","",(VLOOKUP($C58,KEY!$B$5:$D$74,3,FALSE)))</f>
        <v>Arizona</v>
      </c>
      <c r="B58" s="221" t="s">
        <v>213</v>
      </c>
      <c r="C58" s="222" t="s">
        <v>164</v>
      </c>
      <c r="D58" s="218">
        <v>0</v>
      </c>
    </row>
    <row r="59" spans="1:4" s="57" customFormat="1" ht="14.15" customHeight="1" x14ac:dyDescent="0.25">
      <c r="A59" s="3" t="str">
        <f>IF(C59="","",(VLOOKUP($C59,KEY!$B$5:$D$74,3,FALSE)))</f>
        <v>Orange County</v>
      </c>
      <c r="B59" s="221" t="s">
        <v>213</v>
      </c>
      <c r="C59" s="222" t="s">
        <v>165</v>
      </c>
      <c r="D59" s="218">
        <v>8</v>
      </c>
    </row>
    <row r="60" spans="1:4" s="57" customFormat="1" ht="14.15" customHeight="1" x14ac:dyDescent="0.25">
      <c r="A60" s="3" t="str">
        <f>IF(C60="","",(VLOOKUP($C60,KEY!$B$5:$D$74,3,FALSE)))</f>
        <v/>
      </c>
      <c r="B60" s="221" t="s">
        <v>213</v>
      </c>
      <c r="C60" s="222"/>
      <c r="D60" s="218"/>
    </row>
    <row r="61" spans="1:4" s="57" customFormat="1" ht="14.15" customHeight="1" x14ac:dyDescent="0.25">
      <c r="A61" s="3" t="str">
        <f>IF(C61="","",(VLOOKUP($C61,KEY!$B$5:$D$74,3,FALSE)))</f>
        <v/>
      </c>
      <c r="B61" s="221" t="s">
        <v>213</v>
      </c>
      <c r="C61" s="222"/>
      <c r="D61" s="218"/>
    </row>
    <row r="62" spans="1:4" s="57" customFormat="1" ht="14.15" customHeight="1" x14ac:dyDescent="0.25">
      <c r="A62" s="3" t="str">
        <f>IF(C62="","",(VLOOKUP($C62,KEY!$B$5:$D$74,3,FALSE)))</f>
        <v/>
      </c>
      <c r="B62" s="221" t="s">
        <v>213</v>
      </c>
      <c r="C62" s="222"/>
      <c r="D62" s="218"/>
    </row>
    <row r="63" spans="1:4" s="57" customFormat="1" ht="14.15" customHeight="1" x14ac:dyDescent="0.25">
      <c r="A63" s="3" t="str">
        <f>IF(C63="","",(VLOOKUP($C63,KEY!$B$5:$D$74,3,FALSE)))</f>
        <v/>
      </c>
      <c r="B63" s="221" t="s">
        <v>213</v>
      </c>
      <c r="C63" s="222"/>
      <c r="D63" s="218"/>
    </row>
    <row r="64" spans="1:4" s="57" customFormat="1" ht="14.15" customHeight="1" x14ac:dyDescent="0.25">
      <c r="A64" s="3" t="str">
        <f>IF(C64="","",(VLOOKUP($C64,KEY!$B$5:$D$74,3,FALSE)))</f>
        <v/>
      </c>
      <c r="B64" s="221" t="s">
        <v>213</v>
      </c>
      <c r="C64" s="222"/>
      <c r="D64" s="218"/>
    </row>
    <row r="65" spans="1:4" s="57" customFormat="1" ht="14.15" customHeight="1" x14ac:dyDescent="0.25">
      <c r="A65" s="3" t="str">
        <f>IF(C65="","",(VLOOKUP($C65,KEY!$B$5:$D$74,3,FALSE)))</f>
        <v/>
      </c>
      <c r="B65" s="221" t="s">
        <v>213</v>
      </c>
      <c r="C65" s="222"/>
      <c r="D65" s="218"/>
    </row>
    <row r="66" spans="1:4" s="57" customFormat="1" ht="14.15" customHeight="1" x14ac:dyDescent="0.25">
      <c r="A66" s="3" t="str">
        <f>IF(C66="","",(VLOOKUP($C66,KEY!$B$5:$D$74,3,FALSE)))</f>
        <v/>
      </c>
      <c r="B66" s="221" t="s">
        <v>213</v>
      </c>
      <c r="C66" s="222"/>
      <c r="D66" s="218"/>
    </row>
    <row r="67" spans="1:4" s="57" customFormat="1" ht="14.15" customHeight="1" x14ac:dyDescent="0.25">
      <c r="A67" s="3" t="str">
        <f>IF(C67="","",(VLOOKUP($C67,KEY!$B$5:$D$74,3,FALSE)))</f>
        <v/>
      </c>
      <c r="B67" s="221" t="s">
        <v>213</v>
      </c>
      <c r="C67" s="222"/>
      <c r="D67" s="218"/>
    </row>
    <row r="68" spans="1:4" s="57" customFormat="1" ht="14.15" customHeight="1" x14ac:dyDescent="0.25">
      <c r="A68" s="3" t="str">
        <f>IF(C68="","",(VLOOKUP($C68,KEY!$B$5:$D$74,3,FALSE)))</f>
        <v/>
      </c>
      <c r="B68" s="221" t="s">
        <v>213</v>
      </c>
      <c r="C68" s="222"/>
      <c r="D68" s="218"/>
    </row>
    <row r="69" spans="1:4" s="57" customFormat="1" ht="14.15" customHeight="1" x14ac:dyDescent="0.25">
      <c r="A69" s="3" t="str">
        <f>IF(C69="","",(VLOOKUP($C69,KEY!$B$5:$D$74,3,FALSE)))</f>
        <v/>
      </c>
      <c r="B69" s="221" t="s">
        <v>213</v>
      </c>
      <c r="C69" s="222"/>
      <c r="D69" s="218"/>
    </row>
    <row r="70" spans="1:4" s="57" customFormat="1" ht="14.15" customHeight="1" x14ac:dyDescent="0.25">
      <c r="A70" s="3" t="str">
        <f>IF(C70="","",(VLOOKUP($C70,KEY!$B$5:$D$74,3,FALSE)))</f>
        <v/>
      </c>
      <c r="B70" s="221" t="s">
        <v>213</v>
      </c>
      <c r="C70" s="222"/>
      <c r="D70" s="218"/>
    </row>
    <row r="71" spans="1:4" s="57" customFormat="1" ht="14.15" customHeight="1" x14ac:dyDescent="0.25">
      <c r="A71" s="3" t="str">
        <f>IF(C71="","",(VLOOKUP($C71,KEY!$B$5:$D$74,3,FALSE)))</f>
        <v/>
      </c>
      <c r="B71" s="221" t="s">
        <v>213</v>
      </c>
      <c r="C71" s="222"/>
      <c r="D71" s="218"/>
    </row>
    <row r="72" spans="1:4" s="57" customFormat="1" ht="14.15" customHeight="1" x14ac:dyDescent="0.25">
      <c r="A72" s="3" t="str">
        <f>IF(C72="","",(VLOOKUP($C72,KEY!$B$5:$D$74,3,FALSE)))</f>
        <v/>
      </c>
      <c r="B72" s="221" t="s">
        <v>213</v>
      </c>
      <c r="C72" s="222"/>
      <c r="D72" s="218"/>
    </row>
    <row r="73" spans="1:4" s="57" customFormat="1" ht="14.15" customHeight="1" x14ac:dyDescent="0.25">
      <c r="A73" s="3" t="str">
        <f>IF(C73="","",(VLOOKUP($C73,KEY!$B$5:$D$74,3,FALSE)))</f>
        <v/>
      </c>
      <c r="B73" s="221" t="s">
        <v>213</v>
      </c>
      <c r="C73" s="222"/>
      <c r="D73" s="218"/>
    </row>
    <row r="74" spans="1:4" s="57" customFormat="1" ht="14.15" customHeight="1" x14ac:dyDescent="0.25">
      <c r="A74" s="3" t="str">
        <f>IF(C74="","",(VLOOKUP($C74,KEY!$B$5:$D$74,3,FALSE)))</f>
        <v/>
      </c>
      <c r="B74" s="402" t="s">
        <v>213</v>
      </c>
      <c r="C74" s="403"/>
      <c r="D74" s="404"/>
    </row>
    <row r="75" spans="1:4" s="57" customFormat="1" ht="14.15" customHeight="1" x14ac:dyDescent="0.25">
      <c r="A75" s="3" t="str">
        <f>IF(C75="","",(VLOOKUP($C75,KEY!$B$5:$D$74,3,FALSE)))</f>
        <v>Arizona</v>
      </c>
      <c r="B75" s="221" t="s">
        <v>214</v>
      </c>
      <c r="C75" s="222" t="s">
        <v>111</v>
      </c>
      <c r="D75" s="218">
        <v>11</v>
      </c>
    </row>
    <row r="76" spans="1:4" s="57" customFormat="1" ht="14.15" customHeight="1" x14ac:dyDescent="0.25">
      <c r="A76" s="3" t="str">
        <f>IF(C76="","",(VLOOKUP($C76,KEY!$B$5:$D$74,3,FALSE)))</f>
        <v>Southern California</v>
      </c>
      <c r="B76" s="221" t="s">
        <v>214</v>
      </c>
      <c r="C76" s="222" t="s">
        <v>112</v>
      </c>
      <c r="D76" s="218">
        <v>5</v>
      </c>
    </row>
    <row r="77" spans="1:4" s="57" customFormat="1" ht="14.15" customHeight="1" x14ac:dyDescent="0.25">
      <c r="A77" s="3" t="str">
        <f>IF(C77="","",(VLOOKUP($C77,KEY!$B$5:$D$74,3,FALSE)))</f>
        <v>Arizona</v>
      </c>
      <c r="B77" s="221" t="s">
        <v>214</v>
      </c>
      <c r="C77" s="222" t="s">
        <v>113</v>
      </c>
      <c r="D77" s="218">
        <v>5</v>
      </c>
    </row>
    <row r="78" spans="1:4" s="57" customFormat="1" ht="14.15" customHeight="1" x14ac:dyDescent="0.25">
      <c r="A78" s="3" t="str">
        <f>IF(C78="","",(VLOOKUP($C78,KEY!$B$5:$D$74,3,FALSE)))</f>
        <v>Southern California</v>
      </c>
      <c r="B78" s="221" t="s">
        <v>214</v>
      </c>
      <c r="C78" s="222" t="s">
        <v>114</v>
      </c>
      <c r="D78" s="218">
        <v>3</v>
      </c>
    </row>
    <row r="79" spans="1:4" s="57" customFormat="1" ht="14.15" customHeight="1" x14ac:dyDescent="0.25">
      <c r="A79" s="3" t="str">
        <f>IF(C79="","",(VLOOKUP($C79,KEY!$B$5:$D$74,3,FALSE)))</f>
        <v>Orange County</v>
      </c>
      <c r="B79" s="221" t="s">
        <v>214</v>
      </c>
      <c r="C79" s="222" t="s">
        <v>115</v>
      </c>
      <c r="D79" s="218">
        <v>10</v>
      </c>
    </row>
    <row r="80" spans="1:4" s="57" customFormat="1" ht="14.15" customHeight="1" x14ac:dyDescent="0.25">
      <c r="A80" s="3" t="str">
        <f>IF(C80="","",(VLOOKUP($C80,KEY!$B$5:$D$74,3,FALSE)))</f>
        <v>Arizona</v>
      </c>
      <c r="B80" s="221" t="s">
        <v>214</v>
      </c>
      <c r="C80" s="222" t="s">
        <v>116</v>
      </c>
      <c r="D80" s="218">
        <v>28</v>
      </c>
    </row>
    <row r="81" spans="1:4" s="57" customFormat="1" ht="14.15" customHeight="1" x14ac:dyDescent="0.25">
      <c r="A81" s="3" t="str">
        <f>IF(C81="","",(VLOOKUP($C81,KEY!$B$5:$D$74,3,FALSE)))</f>
        <v>Orange County</v>
      </c>
      <c r="B81" s="221" t="s">
        <v>214</v>
      </c>
      <c r="C81" s="222" t="s">
        <v>117</v>
      </c>
      <c r="D81" s="218">
        <v>13</v>
      </c>
    </row>
    <row r="82" spans="1:4" s="57" customFormat="1" ht="14.15" customHeight="1" x14ac:dyDescent="0.25">
      <c r="A82" s="3" t="str">
        <f>IF(C82="","",(VLOOKUP($C82,KEY!$B$5:$D$74,3,FALSE)))</f>
        <v>Northern California</v>
      </c>
      <c r="B82" s="221" t="s">
        <v>214</v>
      </c>
      <c r="C82" s="222" t="s">
        <v>118</v>
      </c>
      <c r="D82" s="218">
        <v>35</v>
      </c>
    </row>
    <row r="83" spans="1:4" s="57" customFormat="1" ht="14.15" customHeight="1" x14ac:dyDescent="0.25">
      <c r="A83" s="3" t="str">
        <f>IF(C83="","",(VLOOKUP($C83,KEY!$B$5:$D$74,3,FALSE)))</f>
        <v>Arizona</v>
      </c>
      <c r="B83" s="221" t="s">
        <v>214</v>
      </c>
      <c r="C83" s="222" t="s">
        <v>119</v>
      </c>
      <c r="D83" s="218">
        <v>9</v>
      </c>
    </row>
    <row r="84" spans="1:4" s="57" customFormat="1" ht="14.15" customHeight="1" x14ac:dyDescent="0.25">
      <c r="A84" s="3" t="str">
        <f>IF(C84="","",(VLOOKUP($C84,KEY!$B$5:$D$74,3,FALSE)))</f>
        <v>Arizona</v>
      </c>
      <c r="B84" s="221" t="s">
        <v>214</v>
      </c>
      <c r="C84" s="222" t="s">
        <v>120</v>
      </c>
      <c r="D84" s="218">
        <v>7</v>
      </c>
    </row>
    <row r="85" spans="1:4" s="57" customFormat="1" ht="14.15" customHeight="1" x14ac:dyDescent="0.25">
      <c r="A85" s="3" t="str">
        <f>IF(C85="","",(VLOOKUP($C85,KEY!$B$5:$D$74,3,FALSE)))</f>
        <v>Texas</v>
      </c>
      <c r="B85" s="221" t="s">
        <v>214</v>
      </c>
      <c r="C85" s="222" t="s">
        <v>121</v>
      </c>
      <c r="D85" s="218">
        <v>5</v>
      </c>
    </row>
    <row r="86" spans="1:4" s="57" customFormat="1" ht="14.15" customHeight="1" x14ac:dyDescent="0.25">
      <c r="A86" s="3" t="str">
        <f>IF(C86="","",(VLOOKUP($C86,KEY!$B$5:$D$74,3,FALSE)))</f>
        <v>Southern California</v>
      </c>
      <c r="B86" s="221" t="s">
        <v>214</v>
      </c>
      <c r="C86" s="222" t="s">
        <v>122</v>
      </c>
      <c r="D86" s="218">
        <v>14</v>
      </c>
    </row>
    <row r="87" spans="1:4" s="57" customFormat="1" ht="14.15" customHeight="1" x14ac:dyDescent="0.25">
      <c r="A87" s="3" t="str">
        <f>IF(C87="","",(VLOOKUP($C87,KEY!$B$5:$D$74,3,FALSE)))</f>
        <v>Orange County</v>
      </c>
      <c r="B87" s="221" t="s">
        <v>214</v>
      </c>
      <c r="C87" s="222" t="s">
        <v>123</v>
      </c>
      <c r="D87" s="218">
        <v>19</v>
      </c>
    </row>
    <row r="88" spans="1:4" s="57" customFormat="1" ht="14.15" customHeight="1" x14ac:dyDescent="0.25">
      <c r="A88" s="3" t="str">
        <f>IF(C88="","",(VLOOKUP($C88,KEY!$B$5:$D$74,3,FALSE)))</f>
        <v>Southern California</v>
      </c>
      <c r="B88" s="221" t="s">
        <v>214</v>
      </c>
      <c r="C88" s="222" t="s">
        <v>124</v>
      </c>
      <c r="D88" s="218">
        <v>28</v>
      </c>
    </row>
    <row r="89" spans="1:4" s="57" customFormat="1" ht="14.15" customHeight="1" x14ac:dyDescent="0.25">
      <c r="A89" s="3" t="str">
        <f>IF(C89="","",(VLOOKUP($C89,KEY!$B$5:$D$74,3,FALSE)))</f>
        <v>Northern California</v>
      </c>
      <c r="B89" s="221" t="s">
        <v>214</v>
      </c>
      <c r="C89" s="222" t="s">
        <v>195</v>
      </c>
      <c r="D89" s="218">
        <v>7</v>
      </c>
    </row>
    <row r="90" spans="1:4" s="57" customFormat="1" ht="14.15" customHeight="1" x14ac:dyDescent="0.25">
      <c r="A90" s="3" t="str">
        <f>IF(C90="","",(VLOOKUP($C90,KEY!$B$5:$D$74,3,FALSE)))</f>
        <v>Northern California</v>
      </c>
      <c r="B90" s="221" t="s">
        <v>214</v>
      </c>
      <c r="C90" s="222" t="s">
        <v>125</v>
      </c>
      <c r="D90" s="218">
        <v>36</v>
      </c>
    </row>
    <row r="91" spans="1:4" s="57" customFormat="1" ht="14.15" customHeight="1" x14ac:dyDescent="0.25">
      <c r="A91" s="3" t="str">
        <f>IF(C91="","",(VLOOKUP($C91,KEY!$B$5:$D$74,3,FALSE)))</f>
        <v>Orange County</v>
      </c>
      <c r="B91" s="221" t="s">
        <v>214</v>
      </c>
      <c r="C91" s="222" t="s">
        <v>126</v>
      </c>
      <c r="D91" s="218">
        <v>57</v>
      </c>
    </row>
    <row r="92" spans="1:4" s="57" customFormat="1" ht="14.15" customHeight="1" x14ac:dyDescent="0.25">
      <c r="A92" s="3" t="str">
        <f>IF(C92="","",(VLOOKUP($C92,KEY!$B$5:$D$74,3,FALSE)))</f>
        <v>Orange County</v>
      </c>
      <c r="B92" s="221" t="s">
        <v>214</v>
      </c>
      <c r="C92" s="222" t="s">
        <v>127</v>
      </c>
      <c r="D92" s="218">
        <v>7</v>
      </c>
    </row>
    <row r="93" spans="1:4" s="57" customFormat="1" ht="14.15" customHeight="1" x14ac:dyDescent="0.25">
      <c r="A93" s="3" t="str">
        <f>IF(C93="","",(VLOOKUP($C93,KEY!$B$5:$D$74,3,FALSE)))</f>
        <v>Texas</v>
      </c>
      <c r="B93" s="221" t="s">
        <v>214</v>
      </c>
      <c r="C93" s="222" t="s">
        <v>128</v>
      </c>
      <c r="D93" s="218">
        <v>70</v>
      </c>
    </row>
    <row r="94" spans="1:4" s="57" customFormat="1" ht="14.15" customHeight="1" x14ac:dyDescent="0.25">
      <c r="A94" s="3" t="str">
        <f>IF(C94="","",(VLOOKUP($C94,KEY!$B$5:$D$74,3,FALSE)))</f>
        <v>Northern California</v>
      </c>
      <c r="B94" s="221" t="s">
        <v>214</v>
      </c>
      <c r="C94" s="222" t="s">
        <v>129</v>
      </c>
      <c r="D94" s="218">
        <v>14</v>
      </c>
    </row>
    <row r="95" spans="1:4" s="57" customFormat="1" ht="14.15" customHeight="1" x14ac:dyDescent="0.25">
      <c r="A95" s="3" t="str">
        <f>IF(C95="","",(VLOOKUP($C95,KEY!$B$5:$D$74,3,FALSE)))</f>
        <v>Southern California</v>
      </c>
      <c r="B95" s="221" t="s">
        <v>214</v>
      </c>
      <c r="C95" s="222" t="s">
        <v>130</v>
      </c>
      <c r="D95" s="218">
        <v>8</v>
      </c>
    </row>
    <row r="96" spans="1:4" s="57" customFormat="1" ht="14.15" customHeight="1" x14ac:dyDescent="0.25">
      <c r="A96" s="3">
        <f>IF(C96="","",(VLOOKUP($C96,KEY!$B$5:$D$74,3,FALSE)))</f>
        <v>0</v>
      </c>
      <c r="B96" s="221" t="s">
        <v>214</v>
      </c>
      <c r="C96" s="222" t="s">
        <v>131</v>
      </c>
      <c r="D96" s="218">
        <v>7</v>
      </c>
    </row>
    <row r="97" spans="1:4" s="57" customFormat="1" ht="14.15" customHeight="1" x14ac:dyDescent="0.25">
      <c r="A97" s="3" t="e">
        <f>IF(C97="","",(VLOOKUP($C97,KEY!$B$5:$D$74,3,FALSE)))</f>
        <v>#N/A</v>
      </c>
      <c r="B97" s="221" t="s">
        <v>214</v>
      </c>
      <c r="C97" s="222" t="s">
        <v>134</v>
      </c>
      <c r="D97" s="218">
        <v>7</v>
      </c>
    </row>
    <row r="98" spans="1:4" s="57" customFormat="1" ht="14.15" customHeight="1" x14ac:dyDescent="0.25">
      <c r="A98" s="3" t="str">
        <f>IF(C98="","",(VLOOKUP($C98,KEY!$B$5:$D$74,3,FALSE)))</f>
        <v>Southern California</v>
      </c>
      <c r="B98" s="221" t="s">
        <v>214</v>
      </c>
      <c r="C98" s="222" t="s">
        <v>135</v>
      </c>
      <c r="D98" s="218">
        <v>22</v>
      </c>
    </row>
    <row r="99" spans="1:4" s="57" customFormat="1" ht="14.15" customHeight="1" x14ac:dyDescent="0.25">
      <c r="A99" s="3" t="str">
        <f>IF(C99="","",(VLOOKUP($C99,KEY!$B$5:$D$74,3,FALSE)))</f>
        <v>Arizona</v>
      </c>
      <c r="B99" s="221" t="s">
        <v>214</v>
      </c>
      <c r="C99" s="222" t="s">
        <v>196</v>
      </c>
      <c r="D99" s="218">
        <v>5</v>
      </c>
    </row>
    <row r="100" spans="1:4" s="57" customFormat="1" ht="14.15" customHeight="1" x14ac:dyDescent="0.25">
      <c r="A100" s="3" t="str">
        <f>IF(C100="","",(VLOOKUP($C100,KEY!$B$5:$D$74,3,FALSE)))</f>
        <v>Arizona</v>
      </c>
      <c r="B100" s="221" t="s">
        <v>214</v>
      </c>
      <c r="C100" s="222" t="s">
        <v>197</v>
      </c>
      <c r="D100" s="218">
        <v>16</v>
      </c>
    </row>
    <row r="101" spans="1:4" s="57" customFormat="1" ht="14.15" customHeight="1" x14ac:dyDescent="0.25">
      <c r="A101" s="3" t="str">
        <f>IF(C101="","",(VLOOKUP($C101,KEY!$B$5:$D$74,3,FALSE)))</f>
        <v>Texas</v>
      </c>
      <c r="B101" s="221" t="s">
        <v>214</v>
      </c>
      <c r="C101" s="222" t="s">
        <v>136</v>
      </c>
      <c r="D101" s="218">
        <v>5</v>
      </c>
    </row>
    <row r="102" spans="1:4" s="57" customFormat="1" ht="14.15" customHeight="1" x14ac:dyDescent="0.25">
      <c r="A102" s="3" t="str">
        <f>IF(C102="","",(VLOOKUP($C102,KEY!$B$5:$D$74,3,FALSE)))</f>
        <v>Arizona</v>
      </c>
      <c r="B102" s="221" t="s">
        <v>214</v>
      </c>
      <c r="C102" s="222" t="s">
        <v>137</v>
      </c>
      <c r="D102" s="218">
        <v>7</v>
      </c>
    </row>
    <row r="103" spans="1:4" s="57" customFormat="1" ht="14.15" customHeight="1" x14ac:dyDescent="0.25">
      <c r="A103" s="3" t="str">
        <f>IF(C103="","",(VLOOKUP($C103,KEY!$B$5:$D$74,3,FALSE)))</f>
        <v>Texas</v>
      </c>
      <c r="B103" s="221" t="s">
        <v>214</v>
      </c>
      <c r="C103" s="222" t="s">
        <v>138</v>
      </c>
      <c r="D103" s="218">
        <v>7</v>
      </c>
    </row>
    <row r="104" spans="1:4" s="57" customFormat="1" ht="14.15" customHeight="1" x14ac:dyDescent="0.25">
      <c r="A104" s="3" t="str">
        <f>IF(C104="","",(VLOOKUP($C104,KEY!$B$5:$D$74,3,FALSE)))</f>
        <v>Southern California</v>
      </c>
      <c r="B104" s="221" t="s">
        <v>214</v>
      </c>
      <c r="C104" s="222" t="s">
        <v>139</v>
      </c>
      <c r="D104" s="218">
        <v>19</v>
      </c>
    </row>
    <row r="105" spans="1:4" s="57" customFormat="1" ht="14.15" customHeight="1" x14ac:dyDescent="0.25">
      <c r="A105" s="3" t="str">
        <f>IF(C105="","",(VLOOKUP($C105,KEY!$B$5:$D$74,3,FALSE)))</f>
        <v>Orange County</v>
      </c>
      <c r="B105" s="221" t="s">
        <v>214</v>
      </c>
      <c r="C105" s="222" t="s">
        <v>140</v>
      </c>
      <c r="D105" s="218">
        <v>14</v>
      </c>
    </row>
    <row r="106" spans="1:4" s="57" customFormat="1" ht="14.15" customHeight="1" x14ac:dyDescent="0.25">
      <c r="A106" s="3" t="str">
        <f>IF(C106="","",(VLOOKUP($C106,KEY!$B$5:$D$74,3,FALSE)))</f>
        <v>Southern California</v>
      </c>
      <c r="B106" s="221" t="s">
        <v>214</v>
      </c>
      <c r="C106" s="222" t="s">
        <v>142</v>
      </c>
      <c r="D106" s="218">
        <v>3</v>
      </c>
    </row>
    <row r="107" spans="1:4" s="57" customFormat="1" ht="14.15" customHeight="1" x14ac:dyDescent="0.25">
      <c r="A107" s="3" t="str">
        <f>IF(C107="","",(VLOOKUP($C107,KEY!$B$5:$D$74,3,FALSE)))</f>
        <v>Arizona</v>
      </c>
      <c r="B107" s="221" t="s">
        <v>214</v>
      </c>
      <c r="C107" s="222" t="s">
        <v>143</v>
      </c>
      <c r="D107" s="218">
        <v>13</v>
      </c>
    </row>
    <row r="108" spans="1:4" s="57" customFormat="1" ht="14.15" customHeight="1" x14ac:dyDescent="0.25">
      <c r="A108" s="3" t="str">
        <f>IF(C108="","",(VLOOKUP($C108,KEY!$B$5:$D$74,3,FALSE)))</f>
        <v>Arizona</v>
      </c>
      <c r="B108" s="221" t="s">
        <v>214</v>
      </c>
      <c r="C108" s="222" t="s">
        <v>144</v>
      </c>
      <c r="D108" s="218">
        <v>18</v>
      </c>
    </row>
    <row r="109" spans="1:4" s="57" customFormat="1" ht="14.15" customHeight="1" x14ac:dyDescent="0.25">
      <c r="A109" s="3" t="str">
        <f>IF(C109="","",(VLOOKUP($C109,KEY!$B$5:$D$74,3,FALSE)))</f>
        <v>Southern California</v>
      </c>
      <c r="B109" s="221" t="s">
        <v>214</v>
      </c>
      <c r="C109" s="222" t="s">
        <v>145</v>
      </c>
      <c r="D109" s="218">
        <v>27</v>
      </c>
    </row>
    <row r="110" spans="1:4" s="57" customFormat="1" ht="14.15" customHeight="1" x14ac:dyDescent="0.25">
      <c r="A110" s="3" t="str">
        <f>IF(C110="","",(VLOOKUP($C110,KEY!$B$5:$D$74,3,FALSE)))</f>
        <v>Arizona</v>
      </c>
      <c r="B110" s="221" t="s">
        <v>214</v>
      </c>
      <c r="C110" s="222" t="s">
        <v>146</v>
      </c>
      <c r="D110" s="218">
        <v>6</v>
      </c>
    </row>
    <row r="111" spans="1:4" s="57" customFormat="1" ht="14.15" customHeight="1" x14ac:dyDescent="0.25">
      <c r="A111" s="3" t="str">
        <f>IF(C111="","",(VLOOKUP($C111,KEY!$B$5:$D$74,3,FALSE)))</f>
        <v>Texas</v>
      </c>
      <c r="B111" s="221" t="s">
        <v>214</v>
      </c>
      <c r="C111" s="222" t="s">
        <v>147</v>
      </c>
      <c r="D111" s="218">
        <v>7</v>
      </c>
    </row>
    <row r="112" spans="1:4" s="57" customFormat="1" ht="14.15" customHeight="1" x14ac:dyDescent="0.25">
      <c r="A112" s="3" t="str">
        <f>IF(C112="","",(VLOOKUP($C112,KEY!$B$5:$D$74,3,FALSE)))</f>
        <v>Northern California</v>
      </c>
      <c r="B112" s="221" t="s">
        <v>214</v>
      </c>
      <c r="C112" s="222" t="s">
        <v>148</v>
      </c>
      <c r="D112" s="218">
        <v>4</v>
      </c>
    </row>
    <row r="113" spans="1:4" s="57" customFormat="1" ht="14.15" customHeight="1" x14ac:dyDescent="0.25">
      <c r="A113" s="3" t="str">
        <f>IF(C113="","",(VLOOKUP($C113,KEY!$B$5:$D$74,3,FALSE)))</f>
        <v>Orange County</v>
      </c>
      <c r="B113" s="221" t="s">
        <v>214</v>
      </c>
      <c r="C113" s="222" t="s">
        <v>149</v>
      </c>
      <c r="D113" s="218">
        <v>5</v>
      </c>
    </row>
    <row r="114" spans="1:4" s="57" customFormat="1" ht="14.15" customHeight="1" x14ac:dyDescent="0.25">
      <c r="A114" s="3" t="str">
        <f>IF(C114="","",(VLOOKUP($C114,KEY!$B$5:$D$74,3,FALSE)))</f>
        <v>Southern California</v>
      </c>
      <c r="B114" s="221" t="s">
        <v>214</v>
      </c>
      <c r="C114" s="222" t="s">
        <v>150</v>
      </c>
      <c r="D114" s="218">
        <v>0</v>
      </c>
    </row>
    <row r="115" spans="1:4" s="57" customFormat="1" ht="14.15" customHeight="1" x14ac:dyDescent="0.25">
      <c r="A115" s="3" t="str">
        <f>IF(C115="","",(VLOOKUP($C115,KEY!$B$5:$D$74,3,FALSE)))</f>
        <v>Arizona</v>
      </c>
      <c r="B115" s="221" t="s">
        <v>214</v>
      </c>
      <c r="C115" s="222" t="s">
        <v>151</v>
      </c>
      <c r="D115" s="218">
        <v>9</v>
      </c>
    </row>
    <row r="116" spans="1:4" s="57" customFormat="1" ht="14.15" customHeight="1" x14ac:dyDescent="0.25">
      <c r="A116" s="3" t="str">
        <f>IF(C116="","",(VLOOKUP($C116,KEY!$B$5:$D$74,3,FALSE)))</f>
        <v>Northern California</v>
      </c>
      <c r="B116" s="221" t="s">
        <v>214</v>
      </c>
      <c r="C116" s="222" t="s">
        <v>152</v>
      </c>
      <c r="D116" s="218">
        <v>19</v>
      </c>
    </row>
    <row r="117" spans="1:4" s="57" customFormat="1" ht="14.15" customHeight="1" x14ac:dyDescent="0.25">
      <c r="A117" s="3" t="str">
        <f>IF(C117="","",(VLOOKUP($C117,KEY!$B$5:$D$74,3,FALSE)))</f>
        <v>Arizona</v>
      </c>
      <c r="B117" s="221" t="s">
        <v>214</v>
      </c>
      <c r="C117" s="222" t="s">
        <v>153</v>
      </c>
      <c r="D117" s="218">
        <v>15</v>
      </c>
    </row>
    <row r="118" spans="1:4" s="57" customFormat="1" ht="14.15" customHeight="1" x14ac:dyDescent="0.25">
      <c r="A118" s="3" t="str">
        <f>IF(C118="","",(VLOOKUP($C118,KEY!$B$5:$D$74,3,FALSE)))</f>
        <v>Northern California</v>
      </c>
      <c r="B118" s="221" t="s">
        <v>214</v>
      </c>
      <c r="C118" s="222" t="s">
        <v>154</v>
      </c>
      <c r="D118" s="218">
        <v>39</v>
      </c>
    </row>
    <row r="119" spans="1:4" s="57" customFormat="1" ht="14.15" customHeight="1" x14ac:dyDescent="0.25">
      <c r="A119" s="3" t="str">
        <f>IF(C119="","",(VLOOKUP($C119,KEY!$B$5:$D$74,3,FALSE)))</f>
        <v>Texas</v>
      </c>
      <c r="B119" s="221" t="s">
        <v>214</v>
      </c>
      <c r="C119" s="222" t="s">
        <v>155</v>
      </c>
      <c r="D119" s="218">
        <v>37</v>
      </c>
    </row>
    <row r="120" spans="1:4" s="57" customFormat="1" ht="14.15" customHeight="1" x14ac:dyDescent="0.25">
      <c r="A120" s="3" t="str">
        <f>IF(C120="","",(VLOOKUP($C120,KEY!$B$5:$D$74,3,FALSE)))</f>
        <v>Texas</v>
      </c>
      <c r="B120" s="221" t="s">
        <v>214</v>
      </c>
      <c r="C120" s="222" t="s">
        <v>156</v>
      </c>
      <c r="D120" s="218">
        <v>5</v>
      </c>
    </row>
    <row r="121" spans="1:4" s="57" customFormat="1" ht="14.15" customHeight="1" x14ac:dyDescent="0.25">
      <c r="A121" s="3" t="str">
        <f>IF(C121="","",(VLOOKUP($C121,KEY!$B$5:$D$74,3,FALSE)))</f>
        <v>Texas</v>
      </c>
      <c r="B121" s="221" t="s">
        <v>214</v>
      </c>
      <c r="C121" s="222" t="s">
        <v>157</v>
      </c>
      <c r="D121" s="218">
        <v>14</v>
      </c>
    </row>
    <row r="122" spans="1:4" s="57" customFormat="1" ht="14.15" customHeight="1" x14ac:dyDescent="0.25">
      <c r="A122" s="3" t="str">
        <f>IF(C122="","",(VLOOKUP($C122,KEY!$B$5:$D$74,3,FALSE)))</f>
        <v>Arizona</v>
      </c>
      <c r="B122" s="221" t="s">
        <v>214</v>
      </c>
      <c r="C122" s="222" t="s">
        <v>158</v>
      </c>
      <c r="D122" s="218">
        <v>5</v>
      </c>
    </row>
    <row r="123" spans="1:4" s="57" customFormat="1" ht="14.15" customHeight="1" x14ac:dyDescent="0.25">
      <c r="A123" s="3" t="str">
        <f>IF(C123="","",(VLOOKUP($C123,KEY!$B$5:$D$74,3,FALSE)))</f>
        <v>Orange County</v>
      </c>
      <c r="B123" s="221" t="s">
        <v>214</v>
      </c>
      <c r="C123" s="222" t="s">
        <v>159</v>
      </c>
      <c r="D123" s="218">
        <v>15</v>
      </c>
    </row>
    <row r="124" spans="1:4" s="57" customFormat="1" ht="14.15" customHeight="1" x14ac:dyDescent="0.25">
      <c r="A124" s="3" t="str">
        <f>IF(C124="","",(VLOOKUP($C124,KEY!$B$5:$D$74,3,FALSE)))</f>
        <v>Arizona</v>
      </c>
      <c r="B124" s="221" t="s">
        <v>214</v>
      </c>
      <c r="C124" s="222" t="s">
        <v>160</v>
      </c>
      <c r="D124" s="218">
        <v>28</v>
      </c>
    </row>
    <row r="125" spans="1:4" s="57" customFormat="1" ht="14.15" customHeight="1" x14ac:dyDescent="0.25">
      <c r="A125" s="3" t="str">
        <f>IF(C125="","",(VLOOKUP($C125,KEY!$B$5:$D$74,3,FALSE)))</f>
        <v>Northern California</v>
      </c>
      <c r="B125" s="221" t="s">
        <v>214</v>
      </c>
      <c r="C125" s="222" t="s">
        <v>161</v>
      </c>
      <c r="D125" s="218">
        <v>26</v>
      </c>
    </row>
    <row r="126" spans="1:4" s="57" customFormat="1" ht="14.15" customHeight="1" x14ac:dyDescent="0.25">
      <c r="A126" s="3" t="e">
        <f>IF(C126="","",(VLOOKUP($C126,KEY!$B$5:$D$74,3,FALSE)))</f>
        <v>#N/A</v>
      </c>
      <c r="B126" s="221" t="s">
        <v>214</v>
      </c>
      <c r="C126" s="222" t="s">
        <v>162</v>
      </c>
      <c r="D126" s="218">
        <v>34</v>
      </c>
    </row>
    <row r="127" spans="1:4" s="57" customFormat="1" ht="14.15" customHeight="1" x14ac:dyDescent="0.25">
      <c r="A127" s="3" t="str">
        <f>IF(C127="","",(VLOOKUP($C127,KEY!$B$5:$D$74,3,FALSE)))</f>
        <v>Arizona</v>
      </c>
      <c r="B127" s="221" t="s">
        <v>214</v>
      </c>
      <c r="C127" s="222" t="s">
        <v>163</v>
      </c>
      <c r="D127" s="218">
        <v>126</v>
      </c>
    </row>
    <row r="128" spans="1:4" s="57" customFormat="1" ht="14.15" customHeight="1" x14ac:dyDescent="0.25">
      <c r="A128" s="3" t="str">
        <f>IF(C128="","",(VLOOKUP($C128,KEY!$B$5:$D$74,3,FALSE)))</f>
        <v>Arizona</v>
      </c>
      <c r="B128" s="221" t="s">
        <v>214</v>
      </c>
      <c r="C128" s="222" t="s">
        <v>164</v>
      </c>
      <c r="D128" s="218">
        <v>8</v>
      </c>
    </row>
    <row r="129" spans="1:4" s="57" customFormat="1" ht="14.15" customHeight="1" x14ac:dyDescent="0.25">
      <c r="A129" s="3" t="str">
        <f>IF(C129="","",(VLOOKUP($C129,KEY!$B$5:$D$74,3,FALSE)))</f>
        <v>Orange County</v>
      </c>
      <c r="B129" s="221" t="s">
        <v>214</v>
      </c>
      <c r="C129" s="222" t="s">
        <v>165</v>
      </c>
      <c r="D129" s="218">
        <v>11</v>
      </c>
    </row>
    <row r="130" spans="1:4" s="57" customFormat="1" ht="14.15" customHeight="1" x14ac:dyDescent="0.25">
      <c r="A130" s="3" t="str">
        <f>IF(C130="","",(VLOOKUP($C130,KEY!$B$5:$D$74,3,FALSE)))</f>
        <v/>
      </c>
      <c r="B130" s="221" t="s">
        <v>214</v>
      </c>
      <c r="C130" s="222"/>
      <c r="D130" s="218"/>
    </row>
    <row r="131" spans="1:4" s="57" customFormat="1" ht="14.15" customHeight="1" x14ac:dyDescent="0.25">
      <c r="A131" s="3" t="str">
        <f>IF(C131="","",(VLOOKUP($C131,KEY!$B$5:$D$74,3,FALSE)))</f>
        <v/>
      </c>
      <c r="B131" s="221" t="s">
        <v>214</v>
      </c>
      <c r="C131" s="222"/>
      <c r="D131" s="218"/>
    </row>
    <row r="132" spans="1:4" s="57" customFormat="1" ht="14.15" customHeight="1" x14ac:dyDescent="0.25">
      <c r="A132" s="3" t="str">
        <f>IF(C132="","",(VLOOKUP($C132,KEY!$B$5:$D$74,3,FALSE)))</f>
        <v/>
      </c>
      <c r="B132" s="221" t="s">
        <v>214</v>
      </c>
      <c r="C132" s="222"/>
      <c r="D132" s="218"/>
    </row>
    <row r="133" spans="1:4" s="57" customFormat="1" ht="14.15" customHeight="1" x14ac:dyDescent="0.25">
      <c r="A133" s="3" t="str">
        <f>IF(C133="","",(VLOOKUP($C133,KEY!$B$5:$D$74,3,FALSE)))</f>
        <v/>
      </c>
      <c r="B133" s="221" t="s">
        <v>214</v>
      </c>
      <c r="C133" s="222"/>
      <c r="D133" s="218"/>
    </row>
    <row r="134" spans="1:4" s="57" customFormat="1" ht="14.15" customHeight="1" x14ac:dyDescent="0.25">
      <c r="A134" s="3" t="str">
        <f>IF(C134="","",(VLOOKUP($C134,KEY!$B$5:$D$74,3,FALSE)))</f>
        <v/>
      </c>
      <c r="B134" s="221" t="s">
        <v>214</v>
      </c>
      <c r="C134" s="222"/>
      <c r="D134" s="218"/>
    </row>
    <row r="135" spans="1:4" s="57" customFormat="1" ht="14.15" customHeight="1" x14ac:dyDescent="0.25">
      <c r="A135" s="3" t="str">
        <f>IF(C135="","",(VLOOKUP($C135,KEY!$B$5:$D$74,3,FALSE)))</f>
        <v/>
      </c>
      <c r="B135" s="221" t="s">
        <v>214</v>
      </c>
      <c r="C135" s="222"/>
      <c r="D135" s="218"/>
    </row>
    <row r="136" spans="1:4" s="57" customFormat="1" ht="14.15" customHeight="1" x14ac:dyDescent="0.25">
      <c r="A136" s="3" t="str">
        <f>IF(C136="","",(VLOOKUP($C136,KEY!$B$5:$D$74,3,FALSE)))</f>
        <v/>
      </c>
      <c r="B136" s="221" t="s">
        <v>214</v>
      </c>
      <c r="C136" s="222"/>
      <c r="D136" s="218"/>
    </row>
    <row r="137" spans="1:4" s="57" customFormat="1" ht="14.15" customHeight="1" x14ac:dyDescent="0.25">
      <c r="A137" s="3" t="str">
        <f>IF(C137="","",(VLOOKUP($C137,KEY!$B$5:$D$74,3,FALSE)))</f>
        <v/>
      </c>
      <c r="B137" s="221" t="s">
        <v>214</v>
      </c>
      <c r="C137" s="222"/>
      <c r="D137" s="218"/>
    </row>
    <row r="138" spans="1:4" s="57" customFormat="1" ht="14.15" customHeight="1" x14ac:dyDescent="0.25">
      <c r="A138" s="3" t="str">
        <f>IF(C138="","",(VLOOKUP($C138,KEY!$B$5:$D$74,3,FALSE)))</f>
        <v/>
      </c>
      <c r="B138" s="221" t="s">
        <v>214</v>
      </c>
      <c r="C138" s="222"/>
      <c r="D138" s="218"/>
    </row>
    <row r="139" spans="1:4" s="57" customFormat="1" ht="14.15" customHeight="1" x14ac:dyDescent="0.25">
      <c r="A139" s="3" t="str">
        <f>IF(C139="","",(VLOOKUP($C139,KEY!$B$5:$D$74,3,FALSE)))</f>
        <v/>
      </c>
      <c r="B139" s="221" t="s">
        <v>214</v>
      </c>
      <c r="C139" s="222"/>
      <c r="D139" s="218"/>
    </row>
    <row r="140" spans="1:4" s="57" customFormat="1" ht="14.15" customHeight="1" x14ac:dyDescent="0.25">
      <c r="A140" s="3" t="str">
        <f>IF(C140="","",(VLOOKUP($C140,KEY!$B$5:$D$74,3,FALSE)))</f>
        <v/>
      </c>
      <c r="B140" s="221" t="s">
        <v>214</v>
      </c>
      <c r="C140" s="222"/>
      <c r="D140" s="218"/>
    </row>
    <row r="141" spans="1:4" s="57" customFormat="1" ht="14.15" customHeight="1" x14ac:dyDescent="0.25">
      <c r="A141" s="3" t="str">
        <f>IF(C141="","",(VLOOKUP($C141,KEY!$B$5:$D$74,3,FALSE)))</f>
        <v/>
      </c>
      <c r="B141" s="221" t="s">
        <v>214</v>
      </c>
      <c r="C141" s="222"/>
      <c r="D141" s="218"/>
    </row>
    <row r="142" spans="1:4" s="57" customFormat="1" ht="14.15" customHeight="1" x14ac:dyDescent="0.25">
      <c r="A142" s="3" t="str">
        <f>IF(C142="","",(VLOOKUP($C142,KEY!$B$5:$D$74,3,FALSE)))</f>
        <v/>
      </c>
      <c r="B142" s="221" t="s">
        <v>214</v>
      </c>
      <c r="C142" s="222"/>
      <c r="D142" s="218"/>
    </row>
    <row r="143" spans="1:4" s="57" customFormat="1" ht="14.15" customHeight="1" x14ac:dyDescent="0.25">
      <c r="A143" s="3" t="str">
        <f>IF(C143="","",(VLOOKUP($C143,KEY!$B$5:$D$74,3,FALSE)))</f>
        <v/>
      </c>
      <c r="B143" s="221" t="s">
        <v>214</v>
      </c>
      <c r="C143" s="222"/>
      <c r="D143" s="218"/>
    </row>
    <row r="144" spans="1:4" s="57" customFormat="1" ht="14.15" customHeight="1" x14ac:dyDescent="0.25">
      <c r="A144" s="3" t="str">
        <f>IF(C144="","",(VLOOKUP($C144,KEY!$B$5:$D$74,3,FALSE)))</f>
        <v/>
      </c>
      <c r="B144" s="402" t="s">
        <v>214</v>
      </c>
      <c r="C144" s="403"/>
      <c r="D144" s="404"/>
    </row>
    <row r="145" spans="1:4" s="57" customFormat="1" ht="14.15" customHeight="1" x14ac:dyDescent="0.25">
      <c r="A145" s="3" t="str">
        <f>IF(C145="","",(VLOOKUP($C145,KEY!$B$5:$D$74,3,FALSE)))</f>
        <v>Arizona</v>
      </c>
      <c r="B145" s="221" t="s">
        <v>215</v>
      </c>
      <c r="C145" s="222" t="s">
        <v>111</v>
      </c>
      <c r="D145" s="218">
        <v>14</v>
      </c>
    </row>
    <row r="146" spans="1:4" s="57" customFormat="1" ht="14.15" customHeight="1" x14ac:dyDescent="0.25">
      <c r="A146" s="3" t="str">
        <f>IF(C146="","",(VLOOKUP($C146,KEY!$B$5:$D$74,3,FALSE)))</f>
        <v>Southern California</v>
      </c>
      <c r="B146" s="221" t="s">
        <v>215</v>
      </c>
      <c r="C146" s="222" t="s">
        <v>112</v>
      </c>
      <c r="D146" s="218">
        <v>2</v>
      </c>
    </row>
    <row r="147" spans="1:4" s="57" customFormat="1" ht="14.15" customHeight="1" x14ac:dyDescent="0.25">
      <c r="A147" s="3" t="str">
        <f>IF(C147="","",(VLOOKUP($C147,KEY!$B$5:$D$74,3,FALSE)))</f>
        <v>Arizona</v>
      </c>
      <c r="B147" s="221" t="s">
        <v>215</v>
      </c>
      <c r="C147" s="222" t="s">
        <v>113</v>
      </c>
      <c r="D147" s="218">
        <v>5</v>
      </c>
    </row>
    <row r="148" spans="1:4" s="57" customFormat="1" ht="14.15" customHeight="1" x14ac:dyDescent="0.25">
      <c r="A148" s="3" t="str">
        <f>IF(C148="","",(VLOOKUP($C148,KEY!$B$5:$D$74,3,FALSE)))</f>
        <v>Southern California</v>
      </c>
      <c r="B148" s="221" t="s">
        <v>215</v>
      </c>
      <c r="C148" s="222" t="s">
        <v>114</v>
      </c>
      <c r="D148" s="218">
        <v>7</v>
      </c>
    </row>
    <row r="149" spans="1:4" s="57" customFormat="1" ht="14.15" customHeight="1" x14ac:dyDescent="0.25">
      <c r="A149" s="3" t="str">
        <f>IF(C149="","",(VLOOKUP($C149,KEY!$B$5:$D$74,3,FALSE)))</f>
        <v>Orange County</v>
      </c>
      <c r="B149" s="221" t="s">
        <v>215</v>
      </c>
      <c r="C149" s="222" t="s">
        <v>115</v>
      </c>
      <c r="D149" s="218">
        <v>2</v>
      </c>
    </row>
    <row r="150" spans="1:4" s="57" customFormat="1" ht="14.15" customHeight="1" x14ac:dyDescent="0.25">
      <c r="A150" s="3" t="str">
        <f>IF(C150="","",(VLOOKUP($C150,KEY!$B$5:$D$74,3,FALSE)))</f>
        <v>Arizona</v>
      </c>
      <c r="B150" s="221" t="s">
        <v>215</v>
      </c>
      <c r="C150" s="222" t="s">
        <v>116</v>
      </c>
      <c r="D150" s="218">
        <v>6</v>
      </c>
    </row>
    <row r="151" spans="1:4" s="57" customFormat="1" ht="14.15" customHeight="1" x14ac:dyDescent="0.25">
      <c r="A151" s="3" t="str">
        <f>IF(C151="","",(VLOOKUP($C151,KEY!$B$5:$D$74,3,FALSE)))</f>
        <v>Orange County</v>
      </c>
      <c r="B151" s="221" t="s">
        <v>215</v>
      </c>
      <c r="C151" s="222" t="s">
        <v>117</v>
      </c>
      <c r="D151" s="218">
        <v>50</v>
      </c>
    </row>
    <row r="152" spans="1:4" s="57" customFormat="1" ht="14.15" customHeight="1" x14ac:dyDescent="0.25">
      <c r="A152" s="3" t="str">
        <f>IF(C152="","",(VLOOKUP($C152,KEY!$B$5:$D$74,3,FALSE)))</f>
        <v>Northern California</v>
      </c>
      <c r="B152" s="221" t="s">
        <v>215</v>
      </c>
      <c r="C152" s="222" t="s">
        <v>118</v>
      </c>
      <c r="D152" s="218">
        <v>23</v>
      </c>
    </row>
    <row r="153" spans="1:4" s="57" customFormat="1" ht="14.15" customHeight="1" x14ac:dyDescent="0.25">
      <c r="A153" s="3" t="str">
        <f>IF(C153="","",(VLOOKUP($C153,KEY!$B$5:$D$74,3,FALSE)))</f>
        <v>Arizona</v>
      </c>
      <c r="B153" s="221" t="s">
        <v>215</v>
      </c>
      <c r="C153" s="222" t="s">
        <v>119</v>
      </c>
      <c r="D153" s="218">
        <v>4</v>
      </c>
    </row>
    <row r="154" spans="1:4" s="57" customFormat="1" ht="14.15" customHeight="1" x14ac:dyDescent="0.25">
      <c r="A154" s="3" t="str">
        <f>IF(C154="","",(VLOOKUP($C154,KEY!$B$5:$D$74,3,FALSE)))</f>
        <v>Arizona</v>
      </c>
      <c r="B154" s="221" t="s">
        <v>215</v>
      </c>
      <c r="C154" s="222" t="s">
        <v>120</v>
      </c>
      <c r="D154" s="218">
        <v>15</v>
      </c>
    </row>
    <row r="155" spans="1:4" s="57" customFormat="1" ht="14.15" customHeight="1" x14ac:dyDescent="0.25">
      <c r="A155" s="3" t="str">
        <f>IF(C155="","",(VLOOKUP($C155,KEY!$B$5:$D$74,3,FALSE)))</f>
        <v>Texas</v>
      </c>
      <c r="B155" s="221" t="s">
        <v>215</v>
      </c>
      <c r="C155" s="222" t="s">
        <v>121</v>
      </c>
      <c r="D155" s="218">
        <v>24</v>
      </c>
    </row>
    <row r="156" spans="1:4" s="57" customFormat="1" ht="14.15" customHeight="1" x14ac:dyDescent="0.25">
      <c r="A156" s="3" t="str">
        <f>IF(C156="","",(VLOOKUP($C156,KEY!$B$5:$D$74,3,FALSE)))</f>
        <v>Southern California</v>
      </c>
      <c r="B156" s="221" t="s">
        <v>215</v>
      </c>
      <c r="C156" s="222" t="s">
        <v>122</v>
      </c>
      <c r="D156" s="218">
        <v>13</v>
      </c>
    </row>
    <row r="157" spans="1:4" s="57" customFormat="1" ht="14.15" customHeight="1" x14ac:dyDescent="0.25">
      <c r="A157" s="3" t="str">
        <f>IF(C157="","",(VLOOKUP($C157,KEY!$B$5:$D$74,3,FALSE)))</f>
        <v>Orange County</v>
      </c>
      <c r="B157" s="221" t="s">
        <v>215</v>
      </c>
      <c r="C157" s="222" t="s">
        <v>123</v>
      </c>
      <c r="D157" s="218">
        <v>26</v>
      </c>
    </row>
    <row r="158" spans="1:4" s="57" customFormat="1" ht="14.15" customHeight="1" x14ac:dyDescent="0.25">
      <c r="A158" s="3" t="str">
        <f>IF(C158="","",(VLOOKUP($C158,KEY!$B$5:$D$74,3,FALSE)))</f>
        <v>Southern California</v>
      </c>
      <c r="B158" s="221" t="s">
        <v>215</v>
      </c>
      <c r="C158" s="222" t="s">
        <v>124</v>
      </c>
      <c r="D158" s="218">
        <v>2</v>
      </c>
    </row>
    <row r="159" spans="1:4" s="57" customFormat="1" ht="14.15" customHeight="1" x14ac:dyDescent="0.25">
      <c r="A159" s="3" t="str">
        <f>IF(C159="","",(VLOOKUP($C159,KEY!$B$5:$D$74,3,FALSE)))</f>
        <v>Northern California</v>
      </c>
      <c r="B159" s="221" t="s">
        <v>215</v>
      </c>
      <c r="C159" s="222" t="s">
        <v>195</v>
      </c>
      <c r="D159" s="218">
        <v>9</v>
      </c>
    </row>
    <row r="160" spans="1:4" s="57" customFormat="1" ht="14.15" customHeight="1" x14ac:dyDescent="0.25">
      <c r="A160" s="3" t="str">
        <f>IF(C160="","",(VLOOKUP($C160,KEY!$B$5:$D$74,3,FALSE)))</f>
        <v>Northern California</v>
      </c>
      <c r="B160" s="221" t="s">
        <v>215</v>
      </c>
      <c r="C160" s="222" t="s">
        <v>125</v>
      </c>
      <c r="D160" s="218">
        <v>46</v>
      </c>
    </row>
    <row r="161" spans="1:4" s="57" customFormat="1" ht="14.15" customHeight="1" x14ac:dyDescent="0.25">
      <c r="A161" s="3" t="str">
        <f>IF(C161="","",(VLOOKUP($C161,KEY!$B$5:$D$74,3,FALSE)))</f>
        <v>Orange County</v>
      </c>
      <c r="B161" s="221" t="s">
        <v>215</v>
      </c>
      <c r="C161" s="222" t="s">
        <v>126</v>
      </c>
      <c r="D161" s="218">
        <v>73</v>
      </c>
    </row>
    <row r="162" spans="1:4" s="57" customFormat="1" ht="14.15" customHeight="1" x14ac:dyDescent="0.25">
      <c r="A162" s="3" t="str">
        <f>IF(C162="","",(VLOOKUP($C162,KEY!$B$5:$D$74,3,FALSE)))</f>
        <v>Orange County</v>
      </c>
      <c r="B162" s="221" t="s">
        <v>215</v>
      </c>
      <c r="C162" s="222" t="s">
        <v>127</v>
      </c>
      <c r="D162" s="218">
        <v>3</v>
      </c>
    </row>
    <row r="163" spans="1:4" s="57" customFormat="1" ht="14.15" customHeight="1" x14ac:dyDescent="0.25">
      <c r="A163" s="3" t="str">
        <f>IF(C163="","",(VLOOKUP($C163,KEY!$B$5:$D$74,3,FALSE)))</f>
        <v>Texas</v>
      </c>
      <c r="B163" s="221" t="s">
        <v>215</v>
      </c>
      <c r="C163" s="222" t="s">
        <v>128</v>
      </c>
      <c r="D163" s="218">
        <v>43</v>
      </c>
    </row>
    <row r="164" spans="1:4" s="57" customFormat="1" ht="14.15" customHeight="1" x14ac:dyDescent="0.25">
      <c r="A164" s="3" t="str">
        <f>IF(C164="","",(VLOOKUP($C164,KEY!$B$5:$D$74,3,FALSE)))</f>
        <v>Northern California</v>
      </c>
      <c r="B164" s="221" t="s">
        <v>215</v>
      </c>
      <c r="C164" s="222" t="s">
        <v>129</v>
      </c>
      <c r="D164" s="218">
        <v>5</v>
      </c>
    </row>
    <row r="165" spans="1:4" s="57" customFormat="1" ht="14.15" customHeight="1" x14ac:dyDescent="0.25">
      <c r="A165" s="3" t="str">
        <f>IF(C165="","",(VLOOKUP($C165,KEY!$B$5:$D$74,3,FALSE)))</f>
        <v>Southern California</v>
      </c>
      <c r="B165" s="221" t="s">
        <v>215</v>
      </c>
      <c r="C165" s="222" t="s">
        <v>130</v>
      </c>
      <c r="D165" s="218">
        <v>3</v>
      </c>
    </row>
    <row r="166" spans="1:4" s="57" customFormat="1" ht="14.15" customHeight="1" x14ac:dyDescent="0.25">
      <c r="A166" s="3">
        <f>IF(C166="","",(VLOOKUP($C166,KEY!$B$5:$D$74,3,FALSE)))</f>
        <v>0</v>
      </c>
      <c r="B166" s="221" t="s">
        <v>215</v>
      </c>
      <c r="C166" s="222" t="s">
        <v>131</v>
      </c>
      <c r="D166" s="218">
        <v>13</v>
      </c>
    </row>
    <row r="167" spans="1:4" s="57" customFormat="1" ht="14.15" customHeight="1" x14ac:dyDescent="0.25">
      <c r="A167" s="3" t="e">
        <f>IF(C167="","",(VLOOKUP($C167,KEY!$B$5:$D$74,3,FALSE)))</f>
        <v>#N/A</v>
      </c>
      <c r="B167" s="221" t="s">
        <v>215</v>
      </c>
      <c r="C167" s="222" t="s">
        <v>134</v>
      </c>
      <c r="D167" s="218">
        <v>8</v>
      </c>
    </row>
    <row r="168" spans="1:4" s="57" customFormat="1" ht="14.15" customHeight="1" x14ac:dyDescent="0.25">
      <c r="A168" s="3" t="str">
        <f>IF(C168="","",(VLOOKUP($C168,KEY!$B$5:$D$74,3,FALSE)))</f>
        <v>Southern California</v>
      </c>
      <c r="B168" s="221" t="s">
        <v>215</v>
      </c>
      <c r="C168" s="222" t="s">
        <v>135</v>
      </c>
      <c r="D168" s="218">
        <v>21</v>
      </c>
    </row>
    <row r="169" spans="1:4" s="57" customFormat="1" ht="14.15" customHeight="1" x14ac:dyDescent="0.25">
      <c r="A169" s="3" t="str">
        <f>IF(C169="","",(VLOOKUP($C169,KEY!$B$5:$D$74,3,FALSE)))</f>
        <v>Arizona</v>
      </c>
      <c r="B169" s="221" t="s">
        <v>215</v>
      </c>
      <c r="C169" s="222" t="s">
        <v>196</v>
      </c>
      <c r="D169" s="218">
        <v>0</v>
      </c>
    </row>
    <row r="170" spans="1:4" s="57" customFormat="1" ht="14.15" customHeight="1" x14ac:dyDescent="0.25">
      <c r="A170" s="3" t="str">
        <f>IF(C170="","",(VLOOKUP($C170,KEY!$B$5:$D$74,3,FALSE)))</f>
        <v>Arizona</v>
      </c>
      <c r="B170" s="221" t="s">
        <v>215</v>
      </c>
      <c r="C170" s="222" t="s">
        <v>197</v>
      </c>
      <c r="D170" s="218">
        <v>17</v>
      </c>
    </row>
    <row r="171" spans="1:4" s="57" customFormat="1" ht="14.15" customHeight="1" x14ac:dyDescent="0.25">
      <c r="A171" s="3" t="str">
        <f>IF(C171="","",(VLOOKUP($C171,KEY!$B$5:$D$74,3,FALSE)))</f>
        <v>Texas</v>
      </c>
      <c r="B171" s="221" t="s">
        <v>215</v>
      </c>
      <c r="C171" s="222" t="s">
        <v>136</v>
      </c>
      <c r="D171" s="218">
        <v>14</v>
      </c>
    </row>
    <row r="172" spans="1:4" s="57" customFormat="1" ht="14.15" customHeight="1" x14ac:dyDescent="0.25">
      <c r="A172" s="3" t="str">
        <f>IF(C172="","",(VLOOKUP($C172,KEY!$B$5:$D$74,3,FALSE)))</f>
        <v>Arizona</v>
      </c>
      <c r="B172" s="221" t="s">
        <v>215</v>
      </c>
      <c r="C172" s="222" t="s">
        <v>137</v>
      </c>
      <c r="D172" s="218">
        <v>10</v>
      </c>
    </row>
    <row r="173" spans="1:4" s="57" customFormat="1" ht="14.15" customHeight="1" x14ac:dyDescent="0.25">
      <c r="A173" s="3" t="str">
        <f>IF(C173="","",(VLOOKUP($C173,KEY!$B$5:$D$74,3,FALSE)))</f>
        <v>Texas</v>
      </c>
      <c r="B173" s="221" t="s">
        <v>215</v>
      </c>
      <c r="C173" s="222" t="s">
        <v>138</v>
      </c>
      <c r="D173" s="218">
        <v>7</v>
      </c>
    </row>
    <row r="174" spans="1:4" s="57" customFormat="1" ht="14.15" customHeight="1" x14ac:dyDescent="0.25">
      <c r="A174" s="3" t="str">
        <f>IF(C174="","",(VLOOKUP($C174,KEY!$B$5:$D$74,3,FALSE)))</f>
        <v>Southern California</v>
      </c>
      <c r="B174" s="221" t="s">
        <v>215</v>
      </c>
      <c r="C174" s="222" t="s">
        <v>139</v>
      </c>
      <c r="D174" s="218">
        <v>17</v>
      </c>
    </row>
    <row r="175" spans="1:4" s="57" customFormat="1" ht="14.15" customHeight="1" x14ac:dyDescent="0.25">
      <c r="A175" s="3" t="str">
        <f>IF(C175="","",(VLOOKUP($C175,KEY!$B$5:$D$74,3,FALSE)))</f>
        <v>Orange County</v>
      </c>
      <c r="B175" s="221" t="s">
        <v>215</v>
      </c>
      <c r="C175" s="222" t="s">
        <v>140</v>
      </c>
      <c r="D175" s="218">
        <v>1</v>
      </c>
    </row>
    <row r="176" spans="1:4" s="57" customFormat="1" ht="14.15" customHeight="1" x14ac:dyDescent="0.25">
      <c r="A176" s="3" t="str">
        <f>IF(C176="","",(VLOOKUP($C176,KEY!$B$5:$D$74,3,FALSE)))</f>
        <v>Southern California</v>
      </c>
      <c r="B176" s="221" t="s">
        <v>215</v>
      </c>
      <c r="C176" s="222" t="s">
        <v>142</v>
      </c>
      <c r="D176" s="218">
        <v>10</v>
      </c>
    </row>
    <row r="177" spans="1:4" s="57" customFormat="1" ht="14.15" customHeight="1" x14ac:dyDescent="0.25">
      <c r="A177" s="3" t="str">
        <f>IF(C177="","",(VLOOKUP($C177,KEY!$B$5:$D$74,3,FALSE)))</f>
        <v>Arizona</v>
      </c>
      <c r="B177" s="221" t="s">
        <v>215</v>
      </c>
      <c r="C177" s="222" t="s">
        <v>143</v>
      </c>
      <c r="D177" s="218">
        <v>18</v>
      </c>
    </row>
    <row r="178" spans="1:4" s="57" customFormat="1" ht="14.15" customHeight="1" x14ac:dyDescent="0.25">
      <c r="A178" s="3" t="str">
        <f>IF(C178="","",(VLOOKUP($C178,KEY!$B$5:$D$74,3,FALSE)))</f>
        <v>Arizona</v>
      </c>
      <c r="B178" s="221" t="s">
        <v>215</v>
      </c>
      <c r="C178" s="222" t="s">
        <v>144</v>
      </c>
      <c r="D178" s="218">
        <v>11</v>
      </c>
    </row>
    <row r="179" spans="1:4" s="57" customFormat="1" ht="14.15" customHeight="1" x14ac:dyDescent="0.25">
      <c r="A179" s="3" t="str">
        <f>IF(C179="","",(VLOOKUP($C179,KEY!$B$5:$D$74,3,FALSE)))</f>
        <v>Southern California</v>
      </c>
      <c r="B179" s="221" t="s">
        <v>215</v>
      </c>
      <c r="C179" s="222" t="s">
        <v>145</v>
      </c>
      <c r="D179" s="218">
        <v>38</v>
      </c>
    </row>
    <row r="180" spans="1:4" s="57" customFormat="1" ht="14.15" customHeight="1" x14ac:dyDescent="0.25">
      <c r="A180" s="3" t="str">
        <f>IF(C180="","",(VLOOKUP($C180,KEY!$B$5:$D$74,3,FALSE)))</f>
        <v>Arizona</v>
      </c>
      <c r="B180" s="221" t="s">
        <v>215</v>
      </c>
      <c r="C180" s="222" t="s">
        <v>146</v>
      </c>
      <c r="D180" s="218">
        <v>6</v>
      </c>
    </row>
    <row r="181" spans="1:4" s="57" customFormat="1" ht="14.15" customHeight="1" x14ac:dyDescent="0.25">
      <c r="A181" s="3" t="str">
        <f>IF(C181="","",(VLOOKUP($C181,KEY!$B$5:$D$74,3,FALSE)))</f>
        <v>Texas</v>
      </c>
      <c r="B181" s="221" t="s">
        <v>215</v>
      </c>
      <c r="C181" s="222" t="s">
        <v>147</v>
      </c>
      <c r="D181" s="218">
        <v>10</v>
      </c>
    </row>
    <row r="182" spans="1:4" s="57" customFormat="1" ht="14.15" customHeight="1" x14ac:dyDescent="0.25">
      <c r="A182" s="3" t="str">
        <f>IF(C182="","",(VLOOKUP($C182,KEY!$B$5:$D$74,3,FALSE)))</f>
        <v>Northern California</v>
      </c>
      <c r="B182" s="221" t="s">
        <v>215</v>
      </c>
      <c r="C182" s="222" t="s">
        <v>148</v>
      </c>
      <c r="D182" s="218">
        <v>1</v>
      </c>
    </row>
    <row r="183" spans="1:4" s="57" customFormat="1" ht="14.15" customHeight="1" x14ac:dyDescent="0.25">
      <c r="A183" s="3" t="str">
        <f>IF(C183="","",(VLOOKUP($C183,KEY!$B$5:$D$74,3,FALSE)))</f>
        <v>Orange County</v>
      </c>
      <c r="B183" s="221" t="s">
        <v>215</v>
      </c>
      <c r="C183" s="222" t="s">
        <v>149</v>
      </c>
      <c r="D183" s="218">
        <v>9</v>
      </c>
    </row>
    <row r="184" spans="1:4" s="57" customFormat="1" ht="14.15" customHeight="1" x14ac:dyDescent="0.25">
      <c r="A184" s="3" t="str">
        <f>IF(C184="","",(VLOOKUP($C184,KEY!$B$5:$D$74,3,FALSE)))</f>
        <v>Southern California</v>
      </c>
      <c r="B184" s="221" t="s">
        <v>215</v>
      </c>
      <c r="C184" s="222" t="s">
        <v>150</v>
      </c>
      <c r="D184" s="218">
        <v>17</v>
      </c>
    </row>
    <row r="185" spans="1:4" s="57" customFormat="1" ht="14.15" customHeight="1" x14ac:dyDescent="0.25">
      <c r="A185" s="3" t="str">
        <f>IF(C185="","",(VLOOKUP($C185,KEY!$B$5:$D$74,3,FALSE)))</f>
        <v>Arizona</v>
      </c>
      <c r="B185" s="221" t="s">
        <v>215</v>
      </c>
      <c r="C185" s="222" t="s">
        <v>151</v>
      </c>
      <c r="D185" s="218">
        <v>20</v>
      </c>
    </row>
    <row r="186" spans="1:4" s="57" customFormat="1" ht="14.15" customHeight="1" x14ac:dyDescent="0.25">
      <c r="A186" s="3" t="str">
        <f>IF(C186="","",(VLOOKUP($C186,KEY!$B$5:$D$74,3,FALSE)))</f>
        <v>Northern California</v>
      </c>
      <c r="B186" s="221" t="s">
        <v>215</v>
      </c>
      <c r="C186" s="222" t="s">
        <v>152</v>
      </c>
      <c r="D186" s="218">
        <v>22</v>
      </c>
    </row>
    <row r="187" spans="1:4" s="57" customFormat="1" ht="14.15" customHeight="1" x14ac:dyDescent="0.25">
      <c r="A187" s="3" t="str">
        <f>IF(C187="","",(VLOOKUP($C187,KEY!$B$5:$D$74,3,FALSE)))</f>
        <v>Arizona</v>
      </c>
      <c r="B187" s="221" t="s">
        <v>215</v>
      </c>
      <c r="C187" s="222" t="s">
        <v>153</v>
      </c>
      <c r="D187" s="218">
        <v>23</v>
      </c>
    </row>
    <row r="188" spans="1:4" s="57" customFormat="1" ht="14.15" customHeight="1" x14ac:dyDescent="0.25">
      <c r="A188" s="3" t="str">
        <f>IF(C188="","",(VLOOKUP($C188,KEY!$B$5:$D$74,3,FALSE)))</f>
        <v>Northern California</v>
      </c>
      <c r="B188" s="221" t="s">
        <v>215</v>
      </c>
      <c r="C188" s="222" t="s">
        <v>154</v>
      </c>
      <c r="D188" s="218">
        <v>31</v>
      </c>
    </row>
    <row r="189" spans="1:4" s="57" customFormat="1" ht="14.15" customHeight="1" x14ac:dyDescent="0.25">
      <c r="A189" s="3" t="str">
        <f>IF(C189="","",(VLOOKUP($C189,KEY!$B$5:$D$74,3,FALSE)))</f>
        <v>Texas</v>
      </c>
      <c r="B189" s="221" t="s">
        <v>215</v>
      </c>
      <c r="C189" s="222" t="s">
        <v>155</v>
      </c>
      <c r="D189" s="218">
        <v>8</v>
      </c>
    </row>
    <row r="190" spans="1:4" s="57" customFormat="1" ht="14.15" customHeight="1" x14ac:dyDescent="0.25">
      <c r="A190" s="3" t="str">
        <f>IF(C190="","",(VLOOKUP($C190,KEY!$B$5:$D$74,3,FALSE)))</f>
        <v>Texas</v>
      </c>
      <c r="B190" s="221" t="s">
        <v>215</v>
      </c>
      <c r="C190" s="222" t="s">
        <v>156</v>
      </c>
      <c r="D190" s="218">
        <v>32</v>
      </c>
    </row>
    <row r="191" spans="1:4" s="57" customFormat="1" ht="14.15" customHeight="1" x14ac:dyDescent="0.25">
      <c r="A191" s="3" t="str">
        <f>IF(C191="","",(VLOOKUP($C191,KEY!$B$5:$D$74,3,FALSE)))</f>
        <v>Texas</v>
      </c>
      <c r="B191" s="221" t="s">
        <v>215</v>
      </c>
      <c r="C191" s="222" t="s">
        <v>157</v>
      </c>
      <c r="D191" s="218">
        <v>35</v>
      </c>
    </row>
    <row r="192" spans="1:4" s="57" customFormat="1" ht="14.15" customHeight="1" x14ac:dyDescent="0.25">
      <c r="A192" s="3" t="str">
        <f>IF(C192="","",(VLOOKUP($C192,KEY!$B$5:$D$74,3,FALSE)))</f>
        <v>Arizona</v>
      </c>
      <c r="B192" s="221" t="s">
        <v>215</v>
      </c>
      <c r="C192" s="222" t="s">
        <v>158</v>
      </c>
      <c r="D192" s="218">
        <v>0</v>
      </c>
    </row>
    <row r="193" spans="1:4" s="57" customFormat="1" ht="14.15" customHeight="1" x14ac:dyDescent="0.25">
      <c r="A193" s="3" t="str">
        <f>IF(C193="","",(VLOOKUP($C193,KEY!$B$5:$D$74,3,FALSE)))</f>
        <v>Orange County</v>
      </c>
      <c r="B193" s="221" t="s">
        <v>215</v>
      </c>
      <c r="C193" s="222" t="s">
        <v>159</v>
      </c>
      <c r="D193" s="218">
        <v>30</v>
      </c>
    </row>
    <row r="194" spans="1:4" s="57" customFormat="1" ht="14.15" customHeight="1" x14ac:dyDescent="0.25">
      <c r="A194" s="3" t="str">
        <f>IF(C194="","",(VLOOKUP($C194,KEY!$B$5:$D$74,3,FALSE)))</f>
        <v>Arizona</v>
      </c>
      <c r="B194" s="221" t="s">
        <v>215</v>
      </c>
      <c r="C194" s="222" t="s">
        <v>160</v>
      </c>
      <c r="D194" s="218">
        <v>12</v>
      </c>
    </row>
    <row r="195" spans="1:4" s="57" customFormat="1" ht="14.15" customHeight="1" x14ac:dyDescent="0.25">
      <c r="A195" s="3" t="str">
        <f>IF(C195="","",(VLOOKUP($C195,KEY!$B$5:$D$74,3,FALSE)))</f>
        <v>Northern California</v>
      </c>
      <c r="B195" s="221" t="s">
        <v>215</v>
      </c>
      <c r="C195" s="222" t="s">
        <v>161</v>
      </c>
      <c r="D195" s="218">
        <v>18</v>
      </c>
    </row>
    <row r="196" spans="1:4" s="57" customFormat="1" ht="14.15" customHeight="1" x14ac:dyDescent="0.25">
      <c r="A196" s="3" t="e">
        <f>IF(C196="","",(VLOOKUP($C196,KEY!$B$5:$D$74,3,FALSE)))</f>
        <v>#N/A</v>
      </c>
      <c r="B196" s="221" t="s">
        <v>215</v>
      </c>
      <c r="C196" s="222" t="s">
        <v>162</v>
      </c>
      <c r="D196" s="218">
        <v>84</v>
      </c>
    </row>
    <row r="197" spans="1:4" s="57" customFormat="1" ht="14.15" customHeight="1" x14ac:dyDescent="0.25">
      <c r="A197" s="3" t="str">
        <f>IF(C197="","",(VLOOKUP($C197,KEY!$B$5:$D$74,3,FALSE)))</f>
        <v>Arizona</v>
      </c>
      <c r="B197" s="221" t="s">
        <v>215</v>
      </c>
      <c r="C197" s="222" t="s">
        <v>163</v>
      </c>
      <c r="D197" s="218">
        <v>87</v>
      </c>
    </row>
    <row r="198" spans="1:4" s="57" customFormat="1" ht="14.15" customHeight="1" x14ac:dyDescent="0.25">
      <c r="A198" s="3" t="str">
        <f>IF(C198="","",(VLOOKUP($C198,KEY!$B$5:$D$74,3,FALSE)))</f>
        <v>Arizona</v>
      </c>
      <c r="B198" s="221" t="s">
        <v>215</v>
      </c>
      <c r="C198" s="222" t="s">
        <v>164</v>
      </c>
      <c r="D198" s="218">
        <v>4</v>
      </c>
    </row>
    <row r="199" spans="1:4" s="57" customFormat="1" ht="14.15" customHeight="1" x14ac:dyDescent="0.25">
      <c r="A199" s="3" t="str">
        <f>IF(C199="","",(VLOOKUP($C199,KEY!$B$5:$D$74,3,FALSE)))</f>
        <v>Orange County</v>
      </c>
      <c r="B199" s="221" t="s">
        <v>215</v>
      </c>
      <c r="C199" s="222" t="s">
        <v>165</v>
      </c>
      <c r="D199" s="218">
        <v>11</v>
      </c>
    </row>
    <row r="200" spans="1:4" s="57" customFormat="1" ht="14.15" customHeight="1" x14ac:dyDescent="0.25">
      <c r="A200" s="3" t="str">
        <f>IF(C200="","",(VLOOKUP($C200,KEY!$B$5:$D$74,3,FALSE)))</f>
        <v/>
      </c>
      <c r="B200" s="221" t="s">
        <v>215</v>
      </c>
      <c r="C200" s="222"/>
      <c r="D200" s="218"/>
    </row>
    <row r="201" spans="1:4" s="57" customFormat="1" ht="14.15" customHeight="1" x14ac:dyDescent="0.25">
      <c r="A201" s="3" t="str">
        <f>IF(C201="","",(VLOOKUP($C201,KEY!$B$5:$D$74,3,FALSE)))</f>
        <v/>
      </c>
      <c r="B201" s="221" t="s">
        <v>215</v>
      </c>
      <c r="C201" s="222"/>
      <c r="D201" s="218"/>
    </row>
    <row r="202" spans="1:4" s="57" customFormat="1" ht="14.15" customHeight="1" x14ac:dyDescent="0.25">
      <c r="A202" s="3" t="str">
        <f>IF(C202="","",(VLOOKUP($C202,KEY!$B$5:$D$74,3,FALSE)))</f>
        <v/>
      </c>
      <c r="B202" s="221" t="s">
        <v>215</v>
      </c>
      <c r="C202" s="222"/>
      <c r="D202" s="218"/>
    </row>
    <row r="203" spans="1:4" s="57" customFormat="1" ht="14.15" customHeight="1" x14ac:dyDescent="0.25">
      <c r="A203" s="3" t="str">
        <f>IF(C203="","",(VLOOKUP($C203,KEY!$B$5:$D$74,3,FALSE)))</f>
        <v/>
      </c>
      <c r="B203" s="221" t="s">
        <v>215</v>
      </c>
      <c r="C203" s="222"/>
      <c r="D203" s="218"/>
    </row>
    <row r="204" spans="1:4" s="57" customFormat="1" ht="14.15" customHeight="1" x14ac:dyDescent="0.25">
      <c r="A204" s="3" t="str">
        <f>IF(C204="","",(VLOOKUP($C204,KEY!$B$5:$D$74,3,FALSE)))</f>
        <v/>
      </c>
      <c r="B204" s="221" t="s">
        <v>215</v>
      </c>
      <c r="C204" s="222"/>
      <c r="D204" s="218"/>
    </row>
    <row r="205" spans="1:4" s="57" customFormat="1" ht="14.15" customHeight="1" x14ac:dyDescent="0.25">
      <c r="A205" s="3" t="str">
        <f>IF(C205="","",(VLOOKUP($C205,KEY!$B$5:$D$74,3,FALSE)))</f>
        <v/>
      </c>
      <c r="B205" s="221" t="s">
        <v>215</v>
      </c>
      <c r="C205" s="222"/>
      <c r="D205" s="218"/>
    </row>
    <row r="206" spans="1:4" s="57" customFormat="1" ht="14.15" customHeight="1" x14ac:dyDescent="0.25">
      <c r="A206" s="3" t="str">
        <f>IF(C206="","",(VLOOKUP($C206,KEY!$B$5:$D$74,3,FALSE)))</f>
        <v/>
      </c>
      <c r="B206" s="221" t="s">
        <v>215</v>
      </c>
      <c r="C206" s="222"/>
      <c r="D206" s="218"/>
    </row>
    <row r="207" spans="1:4" s="57" customFormat="1" ht="14.15" customHeight="1" x14ac:dyDescent="0.25">
      <c r="A207" s="3" t="str">
        <f>IF(C207="","",(VLOOKUP($C207,KEY!$B$5:$D$74,3,FALSE)))</f>
        <v/>
      </c>
      <c r="B207" s="221" t="s">
        <v>215</v>
      </c>
      <c r="C207" s="222"/>
      <c r="D207" s="218"/>
    </row>
    <row r="208" spans="1:4" s="57" customFormat="1" ht="14.15" customHeight="1" x14ac:dyDescent="0.25">
      <c r="A208" s="3" t="str">
        <f>IF(C208="","",(VLOOKUP($C208,KEY!$B$5:$D$74,3,FALSE)))</f>
        <v/>
      </c>
      <c r="B208" s="221" t="s">
        <v>215</v>
      </c>
      <c r="C208" s="222"/>
      <c r="D208" s="218"/>
    </row>
    <row r="209" spans="1:4" s="57" customFormat="1" ht="14.15" customHeight="1" x14ac:dyDescent="0.25">
      <c r="A209" s="3" t="str">
        <f>IF(C209="","",(VLOOKUP($C209,KEY!$B$5:$D$74,3,FALSE)))</f>
        <v/>
      </c>
      <c r="B209" s="221" t="s">
        <v>215</v>
      </c>
      <c r="C209" s="222"/>
      <c r="D209" s="218"/>
    </row>
    <row r="210" spans="1:4" s="57" customFormat="1" ht="14.15" customHeight="1" x14ac:dyDescent="0.25">
      <c r="A210" s="3" t="str">
        <f>IF(C210="","",(VLOOKUP($C210,KEY!$B$5:$D$74,3,FALSE)))</f>
        <v/>
      </c>
      <c r="B210" s="221" t="s">
        <v>215</v>
      </c>
      <c r="C210" s="222"/>
      <c r="D210" s="218"/>
    </row>
    <row r="211" spans="1:4" s="57" customFormat="1" ht="14.15" customHeight="1" x14ac:dyDescent="0.25">
      <c r="A211" s="3" t="str">
        <f>IF(C211="","",(VLOOKUP($C211,KEY!$B$5:$D$74,3,FALSE)))</f>
        <v/>
      </c>
      <c r="B211" s="221" t="s">
        <v>215</v>
      </c>
      <c r="C211" s="222"/>
      <c r="D211" s="218"/>
    </row>
    <row r="212" spans="1:4" s="57" customFormat="1" ht="14.15" customHeight="1" x14ac:dyDescent="0.25">
      <c r="A212" s="3" t="str">
        <f>IF(C212="","",(VLOOKUP($C212,KEY!$B$5:$D$74,3,FALSE)))</f>
        <v/>
      </c>
      <c r="B212" s="221" t="s">
        <v>215</v>
      </c>
      <c r="C212" s="222"/>
      <c r="D212" s="218"/>
    </row>
    <row r="213" spans="1:4" s="57" customFormat="1" ht="14.15" customHeight="1" x14ac:dyDescent="0.25">
      <c r="A213" s="3" t="str">
        <f>IF(C213="","",(VLOOKUP($C213,KEY!$B$5:$D$74,3,FALSE)))</f>
        <v/>
      </c>
      <c r="B213" s="221" t="s">
        <v>215</v>
      </c>
      <c r="C213" s="222"/>
      <c r="D213" s="218"/>
    </row>
    <row r="214" spans="1:4" s="57" customFormat="1" ht="14.15" customHeight="1" x14ac:dyDescent="0.25">
      <c r="A214" s="3" t="str">
        <f>IF(C214="","",(VLOOKUP($C214,KEY!$B$5:$D$74,3,FALSE)))</f>
        <v/>
      </c>
      <c r="B214" s="402" t="s">
        <v>215</v>
      </c>
      <c r="C214" s="403"/>
      <c r="D214" s="404"/>
    </row>
    <row r="215" spans="1:4" s="57" customFormat="1" ht="14.15" customHeight="1" x14ac:dyDescent="0.25">
      <c r="A215" s="3" t="str">
        <f>IF(C215="","",(VLOOKUP($C215,KEY!$B$5:$D$74,3,FALSE)))</f>
        <v>Arizona</v>
      </c>
      <c r="B215" s="221" t="s">
        <v>216</v>
      </c>
      <c r="C215" s="222" t="s">
        <v>111</v>
      </c>
      <c r="D215" s="218">
        <v>15</v>
      </c>
    </row>
    <row r="216" spans="1:4" s="57" customFormat="1" ht="14.15" customHeight="1" x14ac:dyDescent="0.25">
      <c r="A216" s="3" t="str">
        <f>IF(C216="","",(VLOOKUP($C216,KEY!$B$5:$D$74,3,FALSE)))</f>
        <v>Southern California</v>
      </c>
      <c r="B216" s="221" t="s">
        <v>216</v>
      </c>
      <c r="C216" s="222" t="s">
        <v>112</v>
      </c>
      <c r="D216" s="218">
        <v>3</v>
      </c>
    </row>
    <row r="217" spans="1:4" s="57" customFormat="1" ht="14.15" customHeight="1" x14ac:dyDescent="0.25">
      <c r="A217" s="3" t="str">
        <f>IF(C217="","",(VLOOKUP($C217,KEY!$B$5:$D$74,3,FALSE)))</f>
        <v>Arizona</v>
      </c>
      <c r="B217" s="221" t="s">
        <v>216</v>
      </c>
      <c r="C217" s="222" t="s">
        <v>113</v>
      </c>
      <c r="D217" s="218">
        <v>23</v>
      </c>
    </row>
    <row r="218" spans="1:4" s="57" customFormat="1" ht="14.15" customHeight="1" x14ac:dyDescent="0.25">
      <c r="A218" s="3" t="str">
        <f>IF(C218="","",(VLOOKUP($C218,KEY!$B$5:$D$74,3,FALSE)))</f>
        <v>Southern California</v>
      </c>
      <c r="B218" s="221" t="s">
        <v>216</v>
      </c>
      <c r="C218" s="222" t="s">
        <v>114</v>
      </c>
      <c r="D218" s="218">
        <v>8</v>
      </c>
    </row>
    <row r="219" spans="1:4" s="57" customFormat="1" ht="14.15" customHeight="1" x14ac:dyDescent="0.25">
      <c r="A219" s="3" t="str">
        <f>IF(C219="","",(VLOOKUP($C219,KEY!$B$5:$D$74,3,FALSE)))</f>
        <v>Orange County</v>
      </c>
      <c r="B219" s="221" t="s">
        <v>216</v>
      </c>
      <c r="C219" s="222" t="s">
        <v>115</v>
      </c>
      <c r="D219" s="218">
        <v>8</v>
      </c>
    </row>
    <row r="220" spans="1:4" s="57" customFormat="1" ht="14.15" customHeight="1" x14ac:dyDescent="0.25">
      <c r="A220" s="3" t="str">
        <f>IF(C220="","",(VLOOKUP($C220,KEY!$B$5:$D$74,3,FALSE)))</f>
        <v>Arizona</v>
      </c>
      <c r="B220" s="221" t="s">
        <v>216</v>
      </c>
      <c r="C220" s="222" t="s">
        <v>116</v>
      </c>
      <c r="D220" s="218">
        <v>34</v>
      </c>
    </row>
    <row r="221" spans="1:4" s="57" customFormat="1" ht="14.15" customHeight="1" x14ac:dyDescent="0.25">
      <c r="A221" s="3" t="str">
        <f>IF(C221="","",(VLOOKUP($C221,KEY!$B$5:$D$74,3,FALSE)))</f>
        <v>Orange County</v>
      </c>
      <c r="B221" s="221" t="s">
        <v>216</v>
      </c>
      <c r="C221" s="222" t="s">
        <v>117</v>
      </c>
      <c r="D221" s="218">
        <v>34</v>
      </c>
    </row>
    <row r="222" spans="1:4" s="57" customFormat="1" ht="14.15" customHeight="1" x14ac:dyDescent="0.25">
      <c r="A222" s="3" t="str">
        <f>IF(C222="","",(VLOOKUP($C222,KEY!$B$5:$D$74,3,FALSE)))</f>
        <v>Northern California</v>
      </c>
      <c r="B222" s="221" t="s">
        <v>216</v>
      </c>
      <c r="C222" s="222" t="s">
        <v>118</v>
      </c>
      <c r="D222" s="218">
        <v>31</v>
      </c>
    </row>
    <row r="223" spans="1:4" s="57" customFormat="1" ht="14.15" customHeight="1" x14ac:dyDescent="0.25">
      <c r="A223" s="3" t="str">
        <f>IF(C223="","",(VLOOKUP($C223,KEY!$B$5:$D$74,3,FALSE)))</f>
        <v>Arizona</v>
      </c>
      <c r="B223" s="221" t="s">
        <v>216</v>
      </c>
      <c r="C223" s="222" t="s">
        <v>119</v>
      </c>
      <c r="D223" s="218">
        <v>5</v>
      </c>
    </row>
    <row r="224" spans="1:4" s="57" customFormat="1" ht="14.15" customHeight="1" x14ac:dyDescent="0.25">
      <c r="A224" s="3" t="str">
        <f>IF(C224="","",(VLOOKUP($C224,KEY!$B$5:$D$74,3,FALSE)))</f>
        <v>Arizona</v>
      </c>
      <c r="B224" s="221" t="s">
        <v>216</v>
      </c>
      <c r="C224" s="222" t="s">
        <v>120</v>
      </c>
      <c r="D224" s="218">
        <v>27</v>
      </c>
    </row>
    <row r="225" spans="1:4" s="57" customFormat="1" ht="14.15" customHeight="1" x14ac:dyDescent="0.25">
      <c r="A225" s="3" t="str">
        <f>IF(C225="","",(VLOOKUP($C225,KEY!$B$5:$D$74,3,FALSE)))</f>
        <v>Texas</v>
      </c>
      <c r="B225" s="221" t="s">
        <v>216</v>
      </c>
      <c r="C225" s="222" t="s">
        <v>121</v>
      </c>
      <c r="D225" s="218">
        <v>24</v>
      </c>
    </row>
    <row r="226" spans="1:4" s="57" customFormat="1" ht="14.15" customHeight="1" x14ac:dyDescent="0.25">
      <c r="A226" s="3" t="str">
        <f>IF(C226="","",(VLOOKUP($C226,KEY!$B$5:$D$74,3,FALSE)))</f>
        <v>Southern California</v>
      </c>
      <c r="B226" s="221" t="s">
        <v>216</v>
      </c>
      <c r="C226" s="222" t="s">
        <v>122</v>
      </c>
      <c r="D226" s="218">
        <v>11</v>
      </c>
    </row>
    <row r="227" spans="1:4" s="57" customFormat="1" ht="14.15" customHeight="1" x14ac:dyDescent="0.25">
      <c r="A227" s="3" t="str">
        <f>IF(C227="","",(VLOOKUP($C227,KEY!$B$5:$D$74,3,FALSE)))</f>
        <v>Orange County</v>
      </c>
      <c r="B227" s="221" t="s">
        <v>216</v>
      </c>
      <c r="C227" s="222" t="s">
        <v>123</v>
      </c>
      <c r="D227" s="218">
        <v>28</v>
      </c>
    </row>
    <row r="228" spans="1:4" s="57" customFormat="1" ht="14.15" customHeight="1" x14ac:dyDescent="0.25">
      <c r="A228" s="3" t="str">
        <f>IF(C228="","",(VLOOKUP($C228,KEY!$B$5:$D$74,3,FALSE)))</f>
        <v>Southern California</v>
      </c>
      <c r="B228" s="221" t="s">
        <v>216</v>
      </c>
      <c r="C228" s="222" t="s">
        <v>124</v>
      </c>
      <c r="D228" s="218">
        <v>54</v>
      </c>
    </row>
    <row r="229" spans="1:4" s="57" customFormat="1" ht="14.15" customHeight="1" x14ac:dyDescent="0.25">
      <c r="A229" s="3" t="str">
        <f>IF(C229="","",(VLOOKUP($C229,KEY!$B$5:$D$74,3,FALSE)))</f>
        <v>Northern California</v>
      </c>
      <c r="B229" s="221" t="s">
        <v>216</v>
      </c>
      <c r="C229" s="222" t="s">
        <v>195</v>
      </c>
      <c r="D229" s="218">
        <v>13</v>
      </c>
    </row>
    <row r="230" spans="1:4" s="57" customFormat="1" ht="14.15" customHeight="1" x14ac:dyDescent="0.25">
      <c r="A230" s="3" t="str">
        <f>IF(C230="","",(VLOOKUP($C230,KEY!$B$5:$D$74,3,FALSE)))</f>
        <v>Northern California</v>
      </c>
      <c r="B230" s="221" t="s">
        <v>216</v>
      </c>
      <c r="C230" s="222" t="s">
        <v>125</v>
      </c>
      <c r="D230" s="218">
        <v>13</v>
      </c>
    </row>
    <row r="231" spans="1:4" s="57" customFormat="1" ht="14.15" customHeight="1" x14ac:dyDescent="0.25">
      <c r="A231" s="3" t="str">
        <f>IF(C231="","",(VLOOKUP($C231,KEY!$B$5:$D$74,3,FALSE)))</f>
        <v>Orange County</v>
      </c>
      <c r="B231" s="221" t="s">
        <v>216</v>
      </c>
      <c r="C231" s="222" t="s">
        <v>126</v>
      </c>
      <c r="D231" s="218">
        <v>48</v>
      </c>
    </row>
    <row r="232" spans="1:4" s="57" customFormat="1" ht="14.15" customHeight="1" x14ac:dyDescent="0.25">
      <c r="A232" s="3" t="str">
        <f>IF(C232="","",(VLOOKUP($C232,KEY!$B$5:$D$74,3,FALSE)))</f>
        <v>Orange County</v>
      </c>
      <c r="B232" s="221" t="s">
        <v>216</v>
      </c>
      <c r="C232" s="222" t="s">
        <v>127</v>
      </c>
      <c r="D232" s="218">
        <v>7</v>
      </c>
    </row>
    <row r="233" spans="1:4" s="57" customFormat="1" ht="14.15" customHeight="1" x14ac:dyDescent="0.25">
      <c r="A233" s="3" t="str">
        <f>IF(C233="","",(VLOOKUP($C233,KEY!$B$5:$D$74,3,FALSE)))</f>
        <v>Texas</v>
      </c>
      <c r="B233" s="221" t="s">
        <v>216</v>
      </c>
      <c r="C233" s="222" t="s">
        <v>128</v>
      </c>
      <c r="D233" s="218">
        <v>7</v>
      </c>
    </row>
    <row r="234" spans="1:4" s="57" customFormat="1" ht="14.15" customHeight="1" x14ac:dyDescent="0.25">
      <c r="A234" s="3" t="str">
        <f>IF(C234="","",(VLOOKUP($C234,KEY!$B$5:$D$74,3,FALSE)))</f>
        <v>Northern California</v>
      </c>
      <c r="B234" s="221" t="s">
        <v>216</v>
      </c>
      <c r="C234" s="222" t="s">
        <v>129</v>
      </c>
      <c r="D234" s="218">
        <v>59</v>
      </c>
    </row>
    <row r="235" spans="1:4" s="57" customFormat="1" ht="14.15" customHeight="1" x14ac:dyDescent="0.25">
      <c r="A235" s="3" t="str">
        <f>IF(C235="","",(VLOOKUP($C235,KEY!$B$5:$D$74,3,FALSE)))</f>
        <v>Southern California</v>
      </c>
      <c r="B235" s="221" t="s">
        <v>216</v>
      </c>
      <c r="C235" s="222" t="s">
        <v>130</v>
      </c>
      <c r="D235" s="218">
        <v>14</v>
      </c>
    </row>
    <row r="236" spans="1:4" s="57" customFormat="1" ht="14.15" customHeight="1" x14ac:dyDescent="0.25">
      <c r="A236" s="3">
        <f>IF(C236="","",(VLOOKUP($C236,KEY!$B$5:$D$74,3,FALSE)))</f>
        <v>0</v>
      </c>
      <c r="B236" s="221" t="s">
        <v>216</v>
      </c>
      <c r="C236" s="222" t="s">
        <v>131</v>
      </c>
      <c r="D236" s="218">
        <v>15</v>
      </c>
    </row>
    <row r="237" spans="1:4" s="57" customFormat="1" ht="14.15" customHeight="1" x14ac:dyDescent="0.25">
      <c r="A237" s="3" t="e">
        <f>IF(C237="","",(VLOOKUP($C237,KEY!$B$5:$D$74,3,FALSE)))</f>
        <v>#N/A</v>
      </c>
      <c r="B237" s="221" t="s">
        <v>216</v>
      </c>
      <c r="C237" s="222" t="s">
        <v>134</v>
      </c>
      <c r="D237" s="218">
        <v>8</v>
      </c>
    </row>
    <row r="238" spans="1:4" s="57" customFormat="1" ht="14.15" customHeight="1" x14ac:dyDescent="0.25">
      <c r="A238" s="3" t="str">
        <f>IF(C238="","",(VLOOKUP($C238,KEY!$B$5:$D$74,3,FALSE)))</f>
        <v>Southern California</v>
      </c>
      <c r="B238" s="221" t="s">
        <v>216</v>
      </c>
      <c r="C238" s="222" t="s">
        <v>135</v>
      </c>
      <c r="D238" s="218">
        <v>24</v>
      </c>
    </row>
    <row r="239" spans="1:4" s="57" customFormat="1" ht="14.15" customHeight="1" x14ac:dyDescent="0.25">
      <c r="A239" s="3" t="str">
        <f>IF(C239="","",(VLOOKUP($C239,KEY!$B$5:$D$74,3,FALSE)))</f>
        <v>Arizona</v>
      </c>
      <c r="B239" s="221" t="s">
        <v>216</v>
      </c>
      <c r="C239" s="222" t="s">
        <v>196</v>
      </c>
      <c r="D239" s="218">
        <v>22</v>
      </c>
    </row>
    <row r="240" spans="1:4" s="57" customFormat="1" ht="14.15" customHeight="1" x14ac:dyDescent="0.25">
      <c r="A240" s="3" t="str">
        <f>IF(C240="","",(VLOOKUP($C240,KEY!$B$5:$D$74,3,FALSE)))</f>
        <v>Arizona</v>
      </c>
      <c r="B240" s="221" t="s">
        <v>216</v>
      </c>
      <c r="C240" s="222" t="s">
        <v>197</v>
      </c>
      <c r="D240" s="218">
        <v>25</v>
      </c>
    </row>
    <row r="241" spans="1:4" s="57" customFormat="1" ht="14.15" customHeight="1" x14ac:dyDescent="0.25">
      <c r="A241" s="3" t="str">
        <f>IF(C241="","",(VLOOKUP($C241,KEY!$B$5:$D$74,3,FALSE)))</f>
        <v>Texas</v>
      </c>
      <c r="B241" s="221" t="s">
        <v>216</v>
      </c>
      <c r="C241" s="222" t="s">
        <v>136</v>
      </c>
      <c r="D241" s="218">
        <v>55</v>
      </c>
    </row>
    <row r="242" spans="1:4" s="57" customFormat="1" ht="14.15" customHeight="1" x14ac:dyDescent="0.25">
      <c r="A242" s="3" t="str">
        <f>IF(C242="","",(VLOOKUP($C242,KEY!$B$5:$D$74,3,FALSE)))</f>
        <v>Arizona</v>
      </c>
      <c r="B242" s="221" t="s">
        <v>216</v>
      </c>
      <c r="C242" s="222" t="s">
        <v>137</v>
      </c>
      <c r="D242" s="218">
        <v>12</v>
      </c>
    </row>
    <row r="243" spans="1:4" s="57" customFormat="1" ht="14.15" customHeight="1" x14ac:dyDescent="0.25">
      <c r="A243" s="3" t="str">
        <f>IF(C243="","",(VLOOKUP($C243,KEY!$B$5:$D$74,3,FALSE)))</f>
        <v>Texas</v>
      </c>
      <c r="B243" s="221" t="s">
        <v>216</v>
      </c>
      <c r="C243" s="222" t="s">
        <v>138</v>
      </c>
      <c r="D243" s="218">
        <v>17</v>
      </c>
    </row>
    <row r="244" spans="1:4" s="57" customFormat="1" ht="14.15" customHeight="1" x14ac:dyDescent="0.25">
      <c r="A244" s="3" t="str">
        <f>IF(C244="","",(VLOOKUP($C244,KEY!$B$5:$D$74,3,FALSE)))</f>
        <v>Southern California</v>
      </c>
      <c r="B244" s="221" t="s">
        <v>216</v>
      </c>
      <c r="C244" s="222" t="s">
        <v>139</v>
      </c>
      <c r="D244" s="218">
        <v>24</v>
      </c>
    </row>
    <row r="245" spans="1:4" s="57" customFormat="1" ht="14.15" customHeight="1" x14ac:dyDescent="0.25">
      <c r="A245" s="3" t="str">
        <f>IF(C245="","",(VLOOKUP($C245,KEY!$B$5:$D$74,3,FALSE)))</f>
        <v>Orange County</v>
      </c>
      <c r="B245" s="221" t="s">
        <v>216</v>
      </c>
      <c r="C245" s="222" t="s">
        <v>140</v>
      </c>
      <c r="D245" s="218">
        <v>13</v>
      </c>
    </row>
    <row r="246" spans="1:4" s="57" customFormat="1" ht="14.15" customHeight="1" x14ac:dyDescent="0.25">
      <c r="A246" s="3" t="str">
        <f>IF(C246="","",(VLOOKUP($C246,KEY!$B$5:$D$74,3,FALSE)))</f>
        <v>Southern California</v>
      </c>
      <c r="B246" s="221" t="s">
        <v>216</v>
      </c>
      <c r="C246" s="222" t="s">
        <v>142</v>
      </c>
      <c r="D246" s="218">
        <v>9</v>
      </c>
    </row>
    <row r="247" spans="1:4" s="57" customFormat="1" ht="14.15" customHeight="1" x14ac:dyDescent="0.25">
      <c r="A247" s="3" t="str">
        <f>IF(C247="","",(VLOOKUP($C247,KEY!$B$5:$D$74,3,FALSE)))</f>
        <v>Arizona</v>
      </c>
      <c r="B247" s="221" t="s">
        <v>216</v>
      </c>
      <c r="C247" s="222" t="s">
        <v>143</v>
      </c>
      <c r="D247" s="218">
        <v>14</v>
      </c>
    </row>
    <row r="248" spans="1:4" s="57" customFormat="1" ht="14.15" customHeight="1" x14ac:dyDescent="0.25">
      <c r="A248" s="3" t="str">
        <f>IF(C248="","",(VLOOKUP($C248,KEY!$B$5:$D$74,3,FALSE)))</f>
        <v>Arizona</v>
      </c>
      <c r="B248" s="221" t="s">
        <v>216</v>
      </c>
      <c r="C248" s="222" t="s">
        <v>144</v>
      </c>
      <c r="D248" s="218">
        <v>20</v>
      </c>
    </row>
    <row r="249" spans="1:4" s="57" customFormat="1" ht="14.15" customHeight="1" x14ac:dyDescent="0.25">
      <c r="A249" s="3" t="str">
        <f>IF(C249="","",(VLOOKUP($C249,KEY!$B$5:$D$74,3,FALSE)))</f>
        <v>Southern California</v>
      </c>
      <c r="B249" s="221" t="s">
        <v>216</v>
      </c>
      <c r="C249" s="222" t="s">
        <v>145</v>
      </c>
      <c r="D249" s="218">
        <v>31</v>
      </c>
    </row>
    <row r="250" spans="1:4" s="57" customFormat="1" ht="14.15" customHeight="1" x14ac:dyDescent="0.25">
      <c r="A250" s="3" t="str">
        <f>IF(C250="","",(VLOOKUP($C250,KEY!$B$5:$D$74,3,FALSE)))</f>
        <v>Arizona</v>
      </c>
      <c r="B250" s="221" t="s">
        <v>216</v>
      </c>
      <c r="C250" s="222" t="s">
        <v>146</v>
      </c>
      <c r="D250" s="218">
        <v>3</v>
      </c>
    </row>
    <row r="251" spans="1:4" s="57" customFormat="1" ht="14.15" customHeight="1" x14ac:dyDescent="0.25">
      <c r="A251" s="3" t="str">
        <f>IF(C251="","",(VLOOKUP($C251,KEY!$B$5:$D$74,3,FALSE)))</f>
        <v>Texas</v>
      </c>
      <c r="B251" s="221" t="s">
        <v>216</v>
      </c>
      <c r="C251" s="222" t="s">
        <v>147</v>
      </c>
      <c r="D251" s="218">
        <v>2</v>
      </c>
    </row>
    <row r="252" spans="1:4" s="57" customFormat="1" ht="14.15" customHeight="1" x14ac:dyDescent="0.25">
      <c r="A252" s="3" t="str">
        <f>IF(C252="","",(VLOOKUP($C252,KEY!$B$5:$D$74,3,FALSE)))</f>
        <v>Northern California</v>
      </c>
      <c r="B252" s="221" t="s">
        <v>216</v>
      </c>
      <c r="C252" s="222" t="s">
        <v>148</v>
      </c>
      <c r="D252" s="218">
        <v>8</v>
      </c>
    </row>
    <row r="253" spans="1:4" s="57" customFormat="1" ht="14.15" customHeight="1" x14ac:dyDescent="0.25">
      <c r="A253" s="3" t="str">
        <f>IF(C253="","",(VLOOKUP($C253,KEY!$B$5:$D$74,3,FALSE)))</f>
        <v>Orange County</v>
      </c>
      <c r="B253" s="221" t="s">
        <v>216</v>
      </c>
      <c r="C253" s="222" t="s">
        <v>149</v>
      </c>
      <c r="D253" s="218">
        <v>7</v>
      </c>
    </row>
    <row r="254" spans="1:4" s="57" customFormat="1" ht="14.15" customHeight="1" x14ac:dyDescent="0.25">
      <c r="A254" s="3" t="str">
        <f>IF(C254="","",(VLOOKUP($C254,KEY!$B$5:$D$74,3,FALSE)))</f>
        <v>Southern California</v>
      </c>
      <c r="B254" s="221" t="s">
        <v>216</v>
      </c>
      <c r="C254" s="222" t="s">
        <v>150</v>
      </c>
      <c r="D254" s="218">
        <v>11</v>
      </c>
    </row>
    <row r="255" spans="1:4" s="57" customFormat="1" ht="14.15" customHeight="1" x14ac:dyDescent="0.25">
      <c r="A255" s="3" t="str">
        <f>IF(C255="","",(VLOOKUP($C255,KEY!$B$5:$D$74,3,FALSE)))</f>
        <v>Arizona</v>
      </c>
      <c r="B255" s="221" t="s">
        <v>216</v>
      </c>
      <c r="C255" s="222" t="s">
        <v>151</v>
      </c>
      <c r="D255" s="218">
        <v>22</v>
      </c>
    </row>
    <row r="256" spans="1:4" s="57" customFormat="1" ht="14.15" customHeight="1" x14ac:dyDescent="0.25">
      <c r="A256" s="3" t="str">
        <f>IF(C256="","",(VLOOKUP($C256,KEY!$B$5:$D$74,3,FALSE)))</f>
        <v>Northern California</v>
      </c>
      <c r="B256" s="221" t="s">
        <v>216</v>
      </c>
      <c r="C256" s="222" t="s">
        <v>152</v>
      </c>
      <c r="D256" s="218">
        <v>15</v>
      </c>
    </row>
    <row r="257" spans="1:4" s="57" customFormat="1" ht="14.15" customHeight="1" x14ac:dyDescent="0.25">
      <c r="A257" s="3" t="str">
        <f>IF(C257="","",(VLOOKUP($C257,KEY!$B$5:$D$74,3,FALSE)))</f>
        <v>Arizona</v>
      </c>
      <c r="B257" s="221" t="s">
        <v>216</v>
      </c>
      <c r="C257" s="222" t="s">
        <v>153</v>
      </c>
      <c r="D257" s="218">
        <v>32</v>
      </c>
    </row>
    <row r="258" spans="1:4" s="57" customFormat="1" ht="14.15" customHeight="1" x14ac:dyDescent="0.25">
      <c r="A258" s="3" t="str">
        <f>IF(C258="","",(VLOOKUP($C258,KEY!$B$5:$D$74,3,FALSE)))</f>
        <v>Northern California</v>
      </c>
      <c r="B258" s="221" t="s">
        <v>216</v>
      </c>
      <c r="C258" s="222" t="s">
        <v>154</v>
      </c>
      <c r="D258" s="218">
        <v>22</v>
      </c>
    </row>
    <row r="259" spans="1:4" s="57" customFormat="1" ht="14.15" customHeight="1" x14ac:dyDescent="0.25">
      <c r="A259" s="3" t="str">
        <f>IF(C259="","",(VLOOKUP($C259,KEY!$B$5:$D$74,3,FALSE)))</f>
        <v>Texas</v>
      </c>
      <c r="B259" s="221" t="s">
        <v>216</v>
      </c>
      <c r="C259" s="222" t="s">
        <v>155</v>
      </c>
      <c r="D259" s="218">
        <v>43</v>
      </c>
    </row>
    <row r="260" spans="1:4" s="57" customFormat="1" ht="14.15" customHeight="1" x14ac:dyDescent="0.25">
      <c r="A260" s="3" t="str">
        <f>IF(C260="","",(VLOOKUP($C260,KEY!$B$5:$D$74,3,FALSE)))</f>
        <v>Texas</v>
      </c>
      <c r="B260" s="221" t="s">
        <v>216</v>
      </c>
      <c r="C260" s="222" t="s">
        <v>156</v>
      </c>
      <c r="D260" s="218">
        <v>13</v>
      </c>
    </row>
    <row r="261" spans="1:4" s="57" customFormat="1" ht="14.15" customHeight="1" x14ac:dyDescent="0.25">
      <c r="A261" s="3" t="str">
        <f>IF(C261="","",(VLOOKUP($C261,KEY!$B$5:$D$74,3,FALSE)))</f>
        <v>Texas</v>
      </c>
      <c r="B261" s="221" t="s">
        <v>216</v>
      </c>
      <c r="C261" s="222" t="s">
        <v>157</v>
      </c>
      <c r="D261" s="218">
        <v>70</v>
      </c>
    </row>
    <row r="262" spans="1:4" s="57" customFormat="1" ht="14.15" customHeight="1" x14ac:dyDescent="0.25">
      <c r="A262" s="3" t="str">
        <f>IF(C262="","",(VLOOKUP($C262,KEY!$B$5:$D$74,3,FALSE)))</f>
        <v>Arizona</v>
      </c>
      <c r="B262" s="221" t="s">
        <v>216</v>
      </c>
      <c r="C262" s="222" t="s">
        <v>158</v>
      </c>
      <c r="D262" s="218">
        <v>3</v>
      </c>
    </row>
    <row r="263" spans="1:4" s="57" customFormat="1" ht="14.15" customHeight="1" x14ac:dyDescent="0.25">
      <c r="A263" s="3" t="str">
        <f>IF(C263="","",(VLOOKUP($C263,KEY!$B$5:$D$74,3,FALSE)))</f>
        <v>Orange County</v>
      </c>
      <c r="B263" s="221" t="s">
        <v>216</v>
      </c>
      <c r="C263" s="222" t="s">
        <v>159</v>
      </c>
      <c r="D263" s="218">
        <v>19</v>
      </c>
    </row>
    <row r="264" spans="1:4" s="57" customFormat="1" ht="14.15" customHeight="1" x14ac:dyDescent="0.25">
      <c r="A264" s="3" t="str">
        <f>IF(C264="","",(VLOOKUP($C264,KEY!$B$5:$D$74,3,FALSE)))</f>
        <v>Arizona</v>
      </c>
      <c r="B264" s="221" t="s">
        <v>216</v>
      </c>
      <c r="C264" s="222" t="s">
        <v>160</v>
      </c>
      <c r="D264" s="218">
        <v>58</v>
      </c>
    </row>
    <row r="265" spans="1:4" s="57" customFormat="1" ht="14.15" customHeight="1" x14ac:dyDescent="0.25">
      <c r="A265" s="3" t="str">
        <f>IF(C265="","",(VLOOKUP($C265,KEY!$B$5:$D$74,3,FALSE)))</f>
        <v>Northern California</v>
      </c>
      <c r="B265" s="221" t="s">
        <v>216</v>
      </c>
      <c r="C265" s="222" t="s">
        <v>161</v>
      </c>
      <c r="D265" s="218">
        <v>21</v>
      </c>
    </row>
    <row r="266" spans="1:4" s="57" customFormat="1" ht="14.15" customHeight="1" x14ac:dyDescent="0.25">
      <c r="A266" s="3" t="e">
        <f>IF(C266="","",(VLOOKUP($C266,KEY!$B$5:$D$74,3,FALSE)))</f>
        <v>#N/A</v>
      </c>
      <c r="B266" s="221" t="s">
        <v>216</v>
      </c>
      <c r="C266" s="222" t="s">
        <v>162</v>
      </c>
      <c r="D266" s="218">
        <v>23</v>
      </c>
    </row>
    <row r="267" spans="1:4" s="57" customFormat="1" ht="14.15" customHeight="1" x14ac:dyDescent="0.25">
      <c r="A267" s="3" t="str">
        <f>IF(C267="","",(VLOOKUP($C267,KEY!$B$5:$D$74,3,FALSE)))</f>
        <v>Arizona</v>
      </c>
      <c r="B267" s="221" t="s">
        <v>216</v>
      </c>
      <c r="C267" s="222" t="s">
        <v>163</v>
      </c>
      <c r="D267" s="218">
        <v>70</v>
      </c>
    </row>
    <row r="268" spans="1:4" s="57" customFormat="1" ht="14.15" customHeight="1" x14ac:dyDescent="0.25">
      <c r="A268" s="3" t="str">
        <f>IF(C268="","",(VLOOKUP($C268,KEY!$B$5:$D$74,3,FALSE)))</f>
        <v>Arizona</v>
      </c>
      <c r="B268" s="221" t="s">
        <v>216</v>
      </c>
      <c r="C268" s="222" t="s">
        <v>164</v>
      </c>
      <c r="D268" s="218">
        <v>11</v>
      </c>
    </row>
    <row r="269" spans="1:4" s="57" customFormat="1" ht="14.15" customHeight="1" x14ac:dyDescent="0.25">
      <c r="A269" s="3" t="str">
        <f>IF(C269="","",(VLOOKUP($C269,KEY!$B$5:$D$74,3,FALSE)))</f>
        <v>Orange County</v>
      </c>
      <c r="B269" s="221" t="s">
        <v>216</v>
      </c>
      <c r="C269" s="222" t="s">
        <v>165</v>
      </c>
      <c r="D269" s="218">
        <v>14</v>
      </c>
    </row>
    <row r="270" spans="1:4" s="57" customFormat="1" ht="14.15" customHeight="1" x14ac:dyDescent="0.25">
      <c r="A270" s="3" t="str">
        <f>IF(C270="","",(VLOOKUP($C270,KEY!$B$5:$D$74,3,FALSE)))</f>
        <v/>
      </c>
      <c r="B270" s="221" t="s">
        <v>216</v>
      </c>
      <c r="C270" s="222"/>
      <c r="D270" s="218"/>
    </row>
    <row r="271" spans="1:4" s="57" customFormat="1" ht="14.15" customHeight="1" x14ac:dyDescent="0.25">
      <c r="A271" s="3" t="str">
        <f>IF(C271="","",(VLOOKUP($C271,KEY!$B$5:$D$74,3,FALSE)))</f>
        <v/>
      </c>
      <c r="B271" s="221" t="s">
        <v>216</v>
      </c>
      <c r="C271" s="222"/>
      <c r="D271" s="218"/>
    </row>
    <row r="272" spans="1:4" s="57" customFormat="1" ht="14.15" customHeight="1" x14ac:dyDescent="0.25">
      <c r="A272" s="3" t="str">
        <f>IF(C272="","",(VLOOKUP($C272,KEY!$B$5:$D$74,3,FALSE)))</f>
        <v/>
      </c>
      <c r="B272" s="221" t="s">
        <v>216</v>
      </c>
      <c r="C272" s="222"/>
      <c r="D272" s="218"/>
    </row>
    <row r="273" spans="1:4" s="57" customFormat="1" ht="14.15" customHeight="1" x14ac:dyDescent="0.25">
      <c r="A273" s="3" t="str">
        <f>IF(C273="","",(VLOOKUP($C273,KEY!$B$5:$D$74,3,FALSE)))</f>
        <v/>
      </c>
      <c r="B273" s="221" t="s">
        <v>216</v>
      </c>
      <c r="C273" s="222"/>
      <c r="D273" s="218"/>
    </row>
    <row r="274" spans="1:4" s="57" customFormat="1" ht="14.15" customHeight="1" x14ac:dyDescent="0.25">
      <c r="A274" s="3" t="str">
        <f>IF(C274="","",(VLOOKUP($C274,KEY!$B$5:$D$74,3,FALSE)))</f>
        <v/>
      </c>
      <c r="B274" s="221" t="s">
        <v>216</v>
      </c>
      <c r="C274" s="222"/>
      <c r="D274" s="218"/>
    </row>
    <row r="275" spans="1:4" s="57" customFormat="1" ht="14.15" customHeight="1" x14ac:dyDescent="0.25">
      <c r="A275" s="3" t="str">
        <f>IF(C275="","",(VLOOKUP($C275,KEY!$B$5:$D$74,3,FALSE)))</f>
        <v/>
      </c>
      <c r="B275" s="221" t="s">
        <v>216</v>
      </c>
      <c r="C275" s="222"/>
      <c r="D275" s="218"/>
    </row>
    <row r="276" spans="1:4" s="57" customFormat="1" ht="14.15" customHeight="1" x14ac:dyDescent="0.25">
      <c r="A276" s="3" t="str">
        <f>IF(C276="","",(VLOOKUP($C276,KEY!$B$5:$D$74,3,FALSE)))</f>
        <v/>
      </c>
      <c r="B276" s="221" t="s">
        <v>216</v>
      </c>
      <c r="C276" s="222"/>
      <c r="D276" s="218"/>
    </row>
    <row r="277" spans="1:4" s="57" customFormat="1" ht="14.15" customHeight="1" x14ac:dyDescent="0.25">
      <c r="A277" s="3" t="str">
        <f>IF(C277="","",(VLOOKUP($C277,KEY!$B$5:$D$74,3,FALSE)))</f>
        <v/>
      </c>
      <c r="B277" s="221" t="s">
        <v>216</v>
      </c>
      <c r="C277" s="222"/>
      <c r="D277" s="218"/>
    </row>
    <row r="278" spans="1:4" s="57" customFormat="1" ht="14.15" customHeight="1" x14ac:dyDescent="0.25">
      <c r="A278" s="3" t="str">
        <f>IF(C278="","",(VLOOKUP($C278,KEY!$B$5:$D$74,3,FALSE)))</f>
        <v/>
      </c>
      <c r="B278" s="221" t="s">
        <v>216</v>
      </c>
      <c r="C278" s="222"/>
      <c r="D278" s="218"/>
    </row>
    <row r="279" spans="1:4" s="57" customFormat="1" ht="14.15" customHeight="1" x14ac:dyDescent="0.25">
      <c r="A279" s="3" t="str">
        <f>IF(C279="","",(VLOOKUP($C279,KEY!$B$5:$D$74,3,FALSE)))</f>
        <v/>
      </c>
      <c r="B279" s="221" t="s">
        <v>216</v>
      </c>
      <c r="C279" s="222"/>
      <c r="D279" s="218"/>
    </row>
    <row r="280" spans="1:4" s="57" customFormat="1" ht="14.15" customHeight="1" x14ac:dyDescent="0.25">
      <c r="A280" s="3" t="str">
        <f>IF(C280="","",(VLOOKUP($C280,KEY!$B$5:$D$74,3,FALSE)))</f>
        <v/>
      </c>
      <c r="B280" s="221" t="s">
        <v>216</v>
      </c>
      <c r="C280" s="222"/>
      <c r="D280" s="218"/>
    </row>
    <row r="281" spans="1:4" s="57" customFormat="1" ht="14.15" customHeight="1" x14ac:dyDescent="0.25">
      <c r="A281" s="3" t="str">
        <f>IF(C281="","",(VLOOKUP($C281,KEY!$B$5:$D$74,3,FALSE)))</f>
        <v/>
      </c>
      <c r="B281" s="221" t="s">
        <v>216</v>
      </c>
      <c r="C281" s="222"/>
      <c r="D281" s="218"/>
    </row>
    <row r="282" spans="1:4" s="57" customFormat="1" ht="14.15" customHeight="1" x14ac:dyDescent="0.25">
      <c r="A282" s="3" t="str">
        <f>IF(C282="","",(VLOOKUP($C282,KEY!$B$5:$D$74,3,FALSE)))</f>
        <v/>
      </c>
      <c r="B282" s="221" t="s">
        <v>216</v>
      </c>
      <c r="C282" s="222"/>
      <c r="D282" s="218"/>
    </row>
    <row r="283" spans="1:4" s="57" customFormat="1" ht="14.15" customHeight="1" x14ac:dyDescent="0.25">
      <c r="A283" s="3" t="str">
        <f>IF(C283="","",(VLOOKUP($C283,KEY!$B$5:$D$74,3,FALSE)))</f>
        <v/>
      </c>
      <c r="B283" s="221" t="s">
        <v>216</v>
      </c>
      <c r="C283" s="222"/>
      <c r="D283" s="218"/>
    </row>
    <row r="284" spans="1:4" s="57" customFormat="1" ht="14.15" customHeight="1" x14ac:dyDescent="0.25">
      <c r="A284" s="3" t="str">
        <f>IF(C284="","",(VLOOKUP($C284,KEY!$B$5:$D$74,3,FALSE)))</f>
        <v/>
      </c>
      <c r="B284" s="402" t="s">
        <v>216</v>
      </c>
      <c r="C284" s="403"/>
      <c r="D284" s="404"/>
    </row>
    <row r="285" spans="1:4" s="57" customFormat="1" ht="14.15" customHeight="1" x14ac:dyDescent="0.25">
      <c r="A285" s="3" t="str">
        <f>IF(C285="","",(VLOOKUP($C285,KEY!$B$5:$D$74,3,FALSE)))</f>
        <v>Arizona</v>
      </c>
      <c r="B285" s="221" t="s">
        <v>217</v>
      </c>
      <c r="C285" s="222" t="s">
        <v>111</v>
      </c>
      <c r="D285" s="218">
        <v>13</v>
      </c>
    </row>
    <row r="286" spans="1:4" s="57" customFormat="1" ht="14.15" customHeight="1" x14ac:dyDescent="0.25">
      <c r="A286" s="3" t="str">
        <f>IF(C286="","",(VLOOKUP($C286,KEY!$B$5:$D$74,3,FALSE)))</f>
        <v>Southern California</v>
      </c>
      <c r="B286" s="221" t="s">
        <v>217</v>
      </c>
      <c r="C286" s="222" t="s">
        <v>112</v>
      </c>
      <c r="D286" s="218">
        <v>3</v>
      </c>
    </row>
    <row r="287" spans="1:4" s="57" customFormat="1" ht="14.15" customHeight="1" x14ac:dyDescent="0.25">
      <c r="A287" s="3" t="str">
        <f>IF(C287="","",(VLOOKUP($C287,KEY!$B$5:$D$74,3,FALSE)))</f>
        <v>Arizona</v>
      </c>
      <c r="B287" s="221" t="s">
        <v>217</v>
      </c>
      <c r="C287" s="222" t="s">
        <v>113</v>
      </c>
      <c r="D287" s="218">
        <v>1</v>
      </c>
    </row>
    <row r="288" spans="1:4" s="57" customFormat="1" ht="14.15" customHeight="1" x14ac:dyDescent="0.25">
      <c r="A288" s="3" t="str">
        <f>IF(C288="","",(VLOOKUP($C288,KEY!$B$5:$D$74,3,FALSE)))</f>
        <v>Southern California</v>
      </c>
      <c r="B288" s="221" t="s">
        <v>217</v>
      </c>
      <c r="C288" s="222" t="s">
        <v>114</v>
      </c>
      <c r="D288" s="218">
        <v>16</v>
      </c>
    </row>
    <row r="289" spans="1:4" s="57" customFormat="1" ht="14.15" customHeight="1" x14ac:dyDescent="0.25">
      <c r="A289" s="3" t="str">
        <f>IF(C289="","",(VLOOKUP($C289,KEY!$B$5:$D$74,3,FALSE)))</f>
        <v>Orange County</v>
      </c>
      <c r="B289" s="221" t="s">
        <v>217</v>
      </c>
      <c r="C289" s="222" t="s">
        <v>115</v>
      </c>
      <c r="D289" s="218">
        <v>11</v>
      </c>
    </row>
    <row r="290" spans="1:4" s="57" customFormat="1" ht="14.15" customHeight="1" x14ac:dyDescent="0.25">
      <c r="A290" s="3" t="str">
        <f>IF(C290="","",(VLOOKUP($C290,KEY!$B$5:$D$74,3,FALSE)))</f>
        <v>Arizona</v>
      </c>
      <c r="B290" s="221" t="s">
        <v>217</v>
      </c>
      <c r="C290" s="222" t="s">
        <v>116</v>
      </c>
      <c r="D290" s="218">
        <v>16</v>
      </c>
    </row>
    <row r="291" spans="1:4" s="57" customFormat="1" ht="14.15" customHeight="1" x14ac:dyDescent="0.25">
      <c r="A291" s="3" t="str">
        <f>IF(C291="","",(VLOOKUP($C291,KEY!$B$5:$D$74,3,FALSE)))</f>
        <v>Orange County</v>
      </c>
      <c r="B291" s="221" t="s">
        <v>217</v>
      </c>
      <c r="C291" s="222" t="s">
        <v>117</v>
      </c>
      <c r="D291" s="218">
        <v>18</v>
      </c>
    </row>
    <row r="292" spans="1:4" s="57" customFormat="1" ht="14.15" customHeight="1" x14ac:dyDescent="0.25">
      <c r="A292" s="3" t="str">
        <f>IF(C292="","",(VLOOKUP($C292,KEY!$B$5:$D$74,3,FALSE)))</f>
        <v>Northern California</v>
      </c>
      <c r="B292" s="221" t="s">
        <v>217</v>
      </c>
      <c r="C292" s="222" t="s">
        <v>118</v>
      </c>
      <c r="D292" s="218">
        <v>13</v>
      </c>
    </row>
    <row r="293" spans="1:4" s="57" customFormat="1" ht="14.15" customHeight="1" x14ac:dyDescent="0.25">
      <c r="A293" s="3" t="str">
        <f>IF(C293="","",(VLOOKUP($C293,KEY!$B$5:$D$74,3,FALSE)))</f>
        <v>Arizona</v>
      </c>
      <c r="B293" s="221" t="s">
        <v>217</v>
      </c>
      <c r="C293" s="222" t="s">
        <v>119</v>
      </c>
      <c r="D293" s="218">
        <v>6</v>
      </c>
    </row>
    <row r="294" spans="1:4" s="57" customFormat="1" ht="14.15" customHeight="1" x14ac:dyDescent="0.25">
      <c r="A294" s="3" t="str">
        <f>IF(C294="","",(VLOOKUP($C294,KEY!$B$5:$D$74,3,FALSE)))</f>
        <v>Arizona</v>
      </c>
      <c r="B294" s="221" t="s">
        <v>217</v>
      </c>
      <c r="C294" s="222" t="s">
        <v>120</v>
      </c>
      <c r="D294" s="218">
        <v>8</v>
      </c>
    </row>
    <row r="295" spans="1:4" s="57" customFormat="1" ht="14.15" customHeight="1" x14ac:dyDescent="0.25">
      <c r="A295" s="3" t="str">
        <f>IF(C295="","",(VLOOKUP($C295,KEY!$B$5:$D$74,3,FALSE)))</f>
        <v>Texas</v>
      </c>
      <c r="B295" s="221" t="s">
        <v>217</v>
      </c>
      <c r="C295" s="222" t="s">
        <v>121</v>
      </c>
      <c r="D295" s="218">
        <v>2</v>
      </c>
    </row>
    <row r="296" spans="1:4" s="57" customFormat="1" ht="14.15" customHeight="1" x14ac:dyDescent="0.25">
      <c r="A296" s="3" t="str">
        <f>IF(C296="","",(VLOOKUP($C296,KEY!$B$5:$D$74,3,FALSE)))</f>
        <v>Southern California</v>
      </c>
      <c r="B296" s="221" t="s">
        <v>217</v>
      </c>
      <c r="C296" s="222" t="s">
        <v>122</v>
      </c>
      <c r="D296" s="218">
        <v>14</v>
      </c>
    </row>
    <row r="297" spans="1:4" s="57" customFormat="1" ht="14.15" customHeight="1" x14ac:dyDescent="0.25">
      <c r="A297" s="3" t="str">
        <f>IF(C297="","",(VLOOKUP($C297,KEY!$B$5:$D$74,3,FALSE)))</f>
        <v>Orange County</v>
      </c>
      <c r="B297" s="221" t="s">
        <v>217</v>
      </c>
      <c r="C297" s="222" t="s">
        <v>123</v>
      </c>
      <c r="D297" s="218">
        <v>23</v>
      </c>
    </row>
    <row r="298" spans="1:4" s="57" customFormat="1" ht="14.15" customHeight="1" x14ac:dyDescent="0.25">
      <c r="A298" s="3" t="str">
        <f>IF(C298="","",(VLOOKUP($C298,KEY!$B$5:$D$74,3,FALSE)))</f>
        <v>Southern California</v>
      </c>
      <c r="B298" s="221" t="s">
        <v>217</v>
      </c>
      <c r="C298" s="222" t="s">
        <v>124</v>
      </c>
      <c r="D298" s="218">
        <v>36</v>
      </c>
    </row>
    <row r="299" spans="1:4" s="57" customFormat="1" ht="14.15" customHeight="1" x14ac:dyDescent="0.25">
      <c r="A299" s="3" t="str">
        <f>IF(C299="","",(VLOOKUP($C299,KEY!$B$5:$D$74,3,FALSE)))</f>
        <v>Northern California</v>
      </c>
      <c r="B299" s="221" t="s">
        <v>217</v>
      </c>
      <c r="C299" s="222" t="s">
        <v>195</v>
      </c>
      <c r="D299" s="218">
        <v>4</v>
      </c>
    </row>
    <row r="300" spans="1:4" s="57" customFormat="1" ht="14.15" customHeight="1" x14ac:dyDescent="0.25">
      <c r="A300" s="3" t="str">
        <f>IF(C300="","",(VLOOKUP($C300,KEY!$B$5:$D$74,3,FALSE)))</f>
        <v>Northern California</v>
      </c>
      <c r="B300" s="221" t="s">
        <v>217</v>
      </c>
      <c r="C300" s="222" t="s">
        <v>125</v>
      </c>
      <c r="D300" s="218">
        <v>51</v>
      </c>
    </row>
    <row r="301" spans="1:4" s="57" customFormat="1" ht="14.15" customHeight="1" x14ac:dyDescent="0.25">
      <c r="A301" s="3" t="str">
        <f>IF(C301="","",(VLOOKUP($C301,KEY!$B$5:$D$74,3,FALSE)))</f>
        <v>Orange County</v>
      </c>
      <c r="B301" s="221" t="s">
        <v>217</v>
      </c>
      <c r="C301" s="222" t="s">
        <v>126</v>
      </c>
      <c r="D301" s="218">
        <v>49</v>
      </c>
    </row>
    <row r="302" spans="1:4" s="57" customFormat="1" ht="14.15" customHeight="1" x14ac:dyDescent="0.25">
      <c r="A302" s="3" t="str">
        <f>IF(C302="","",(VLOOKUP($C302,KEY!$B$5:$D$74,3,FALSE)))</f>
        <v>Orange County</v>
      </c>
      <c r="B302" s="221" t="s">
        <v>217</v>
      </c>
      <c r="C302" s="222" t="s">
        <v>127</v>
      </c>
      <c r="D302" s="218">
        <v>3</v>
      </c>
    </row>
    <row r="303" spans="1:4" s="57" customFormat="1" ht="14.15" customHeight="1" x14ac:dyDescent="0.25">
      <c r="A303" s="3" t="str">
        <f>IF(C303="","",(VLOOKUP($C303,KEY!$B$5:$D$74,3,FALSE)))</f>
        <v>Texas</v>
      </c>
      <c r="B303" s="221" t="s">
        <v>217</v>
      </c>
      <c r="C303" s="222" t="s">
        <v>128</v>
      </c>
      <c r="D303" s="218">
        <v>56</v>
      </c>
    </row>
    <row r="304" spans="1:4" s="57" customFormat="1" ht="14.15" customHeight="1" x14ac:dyDescent="0.25">
      <c r="A304" s="3" t="str">
        <f>IF(C304="","",(VLOOKUP($C304,KEY!$B$5:$D$74,3,FALSE)))</f>
        <v>Northern California</v>
      </c>
      <c r="B304" s="221" t="s">
        <v>217</v>
      </c>
      <c r="C304" s="222" t="s">
        <v>129</v>
      </c>
      <c r="D304" s="218">
        <v>21</v>
      </c>
    </row>
    <row r="305" spans="1:4" s="57" customFormat="1" ht="14.15" customHeight="1" x14ac:dyDescent="0.25">
      <c r="A305" s="3" t="str">
        <f>IF(C305="","",(VLOOKUP($C305,KEY!$B$5:$D$74,3,FALSE)))</f>
        <v>Southern California</v>
      </c>
      <c r="B305" s="221" t="s">
        <v>217</v>
      </c>
      <c r="C305" s="222" t="s">
        <v>130</v>
      </c>
      <c r="D305" s="218">
        <v>5</v>
      </c>
    </row>
    <row r="306" spans="1:4" s="57" customFormat="1" ht="14.15" customHeight="1" x14ac:dyDescent="0.25">
      <c r="A306" s="3">
        <f>IF(C306="","",(VLOOKUP($C306,KEY!$B$5:$D$74,3,FALSE)))</f>
        <v>0</v>
      </c>
      <c r="B306" s="221" t="s">
        <v>217</v>
      </c>
      <c r="C306" s="222" t="s">
        <v>131</v>
      </c>
      <c r="D306" s="218">
        <v>6</v>
      </c>
    </row>
    <row r="307" spans="1:4" s="57" customFormat="1" ht="14.15" customHeight="1" x14ac:dyDescent="0.25">
      <c r="A307" s="3" t="e">
        <f>IF(C307="","",(VLOOKUP($C307,KEY!$B$5:$D$74,3,FALSE)))</f>
        <v>#N/A</v>
      </c>
      <c r="B307" s="221" t="s">
        <v>217</v>
      </c>
      <c r="C307" s="222" t="s">
        <v>134</v>
      </c>
      <c r="D307" s="218">
        <v>6</v>
      </c>
    </row>
    <row r="308" spans="1:4" s="57" customFormat="1" ht="14.15" customHeight="1" x14ac:dyDescent="0.25">
      <c r="A308" s="3" t="str">
        <f>IF(C308="","",(VLOOKUP($C308,KEY!$B$5:$D$74,3,FALSE)))</f>
        <v>Southern California</v>
      </c>
      <c r="B308" s="221" t="s">
        <v>217</v>
      </c>
      <c r="C308" s="222" t="s">
        <v>135</v>
      </c>
      <c r="D308" s="218">
        <v>31</v>
      </c>
    </row>
    <row r="309" spans="1:4" s="57" customFormat="1" ht="14.15" customHeight="1" x14ac:dyDescent="0.25">
      <c r="A309" s="3" t="str">
        <f>IF(C309="","",(VLOOKUP($C309,KEY!$B$5:$D$74,3,FALSE)))</f>
        <v>Arizona</v>
      </c>
      <c r="B309" s="221" t="s">
        <v>217</v>
      </c>
      <c r="C309" s="222" t="s">
        <v>196</v>
      </c>
      <c r="D309" s="218">
        <v>6</v>
      </c>
    </row>
    <row r="310" spans="1:4" s="57" customFormat="1" ht="14.15" customHeight="1" x14ac:dyDescent="0.25">
      <c r="A310" s="3" t="str">
        <f>IF(C310="","",(VLOOKUP($C310,KEY!$B$5:$D$74,3,FALSE)))</f>
        <v>Arizona</v>
      </c>
      <c r="B310" s="221" t="s">
        <v>217</v>
      </c>
      <c r="C310" s="222" t="s">
        <v>197</v>
      </c>
      <c r="D310" s="218">
        <v>4</v>
      </c>
    </row>
    <row r="311" spans="1:4" s="57" customFormat="1" ht="14.15" customHeight="1" x14ac:dyDescent="0.25">
      <c r="A311" s="3" t="str">
        <f>IF(C311="","",(VLOOKUP($C311,KEY!$B$5:$D$74,3,FALSE)))</f>
        <v>Texas</v>
      </c>
      <c r="B311" s="221" t="s">
        <v>217</v>
      </c>
      <c r="C311" s="222" t="s">
        <v>136</v>
      </c>
      <c r="D311" s="218">
        <v>30</v>
      </c>
    </row>
    <row r="312" spans="1:4" s="57" customFormat="1" ht="14.15" customHeight="1" x14ac:dyDescent="0.25">
      <c r="A312" s="3" t="str">
        <f>IF(C312="","",(VLOOKUP($C312,KEY!$B$5:$D$74,3,FALSE)))</f>
        <v>Arizona</v>
      </c>
      <c r="B312" s="221" t="s">
        <v>217</v>
      </c>
      <c r="C312" s="222" t="s">
        <v>137</v>
      </c>
      <c r="D312" s="218">
        <v>10</v>
      </c>
    </row>
    <row r="313" spans="1:4" s="57" customFormat="1" ht="14.15" customHeight="1" x14ac:dyDescent="0.25">
      <c r="A313" s="3" t="str">
        <f>IF(C313="","",(VLOOKUP($C313,KEY!$B$5:$D$74,3,FALSE)))</f>
        <v>Texas</v>
      </c>
      <c r="B313" s="221" t="s">
        <v>217</v>
      </c>
      <c r="C313" s="222" t="s">
        <v>138</v>
      </c>
      <c r="D313" s="218">
        <v>4</v>
      </c>
    </row>
    <row r="314" spans="1:4" s="57" customFormat="1" ht="14.15" customHeight="1" x14ac:dyDescent="0.25">
      <c r="A314" s="3" t="str">
        <f>IF(C314="","",(VLOOKUP($C314,KEY!$B$5:$D$74,3,FALSE)))</f>
        <v>Southern California</v>
      </c>
      <c r="B314" s="221" t="s">
        <v>217</v>
      </c>
      <c r="C314" s="222" t="s">
        <v>139</v>
      </c>
      <c r="D314" s="218">
        <v>28</v>
      </c>
    </row>
    <row r="315" spans="1:4" s="57" customFormat="1" ht="14.15" customHeight="1" x14ac:dyDescent="0.25">
      <c r="A315" s="3" t="str">
        <f>IF(C315="","",(VLOOKUP($C315,KEY!$B$5:$D$74,3,FALSE)))</f>
        <v>Orange County</v>
      </c>
      <c r="B315" s="221" t="s">
        <v>217</v>
      </c>
      <c r="C315" s="222" t="s">
        <v>140</v>
      </c>
      <c r="D315" s="218">
        <v>4</v>
      </c>
    </row>
    <row r="316" spans="1:4" s="57" customFormat="1" ht="14.15" customHeight="1" x14ac:dyDescent="0.25">
      <c r="A316" s="3" t="str">
        <f>IF(C316="","",(VLOOKUP($C316,KEY!$B$5:$D$74,3,FALSE)))</f>
        <v>Southern California</v>
      </c>
      <c r="B316" s="221" t="s">
        <v>217</v>
      </c>
      <c r="C316" s="222" t="s">
        <v>142</v>
      </c>
      <c r="D316" s="218">
        <v>13</v>
      </c>
    </row>
    <row r="317" spans="1:4" s="57" customFormat="1" ht="14.15" customHeight="1" x14ac:dyDescent="0.25">
      <c r="A317" s="3" t="str">
        <f>IF(C317="","",(VLOOKUP($C317,KEY!$B$5:$D$74,3,FALSE)))</f>
        <v>Arizona</v>
      </c>
      <c r="B317" s="221" t="s">
        <v>217</v>
      </c>
      <c r="C317" s="222" t="s">
        <v>143</v>
      </c>
      <c r="D317" s="218">
        <v>10</v>
      </c>
    </row>
    <row r="318" spans="1:4" s="57" customFormat="1" ht="14.15" customHeight="1" x14ac:dyDescent="0.25">
      <c r="A318" s="3" t="str">
        <f>IF(C318="","",(VLOOKUP($C318,KEY!$B$5:$D$74,3,FALSE)))</f>
        <v>Arizona</v>
      </c>
      <c r="B318" s="221" t="s">
        <v>217</v>
      </c>
      <c r="C318" s="222" t="s">
        <v>144</v>
      </c>
      <c r="D318" s="218">
        <v>18</v>
      </c>
    </row>
    <row r="319" spans="1:4" s="57" customFormat="1" ht="14.15" customHeight="1" x14ac:dyDescent="0.25">
      <c r="A319" s="3" t="str">
        <f>IF(C319="","",(VLOOKUP($C319,KEY!$B$5:$D$74,3,FALSE)))</f>
        <v>Southern California</v>
      </c>
      <c r="B319" s="221" t="s">
        <v>217</v>
      </c>
      <c r="C319" s="222" t="s">
        <v>145</v>
      </c>
      <c r="D319" s="218">
        <v>28</v>
      </c>
    </row>
    <row r="320" spans="1:4" s="57" customFormat="1" ht="14.15" customHeight="1" x14ac:dyDescent="0.25">
      <c r="A320" s="3" t="str">
        <f>IF(C320="","",(VLOOKUP($C320,KEY!$B$5:$D$74,3,FALSE)))</f>
        <v>Arizona</v>
      </c>
      <c r="B320" s="221" t="s">
        <v>217</v>
      </c>
      <c r="C320" s="222" t="s">
        <v>146</v>
      </c>
      <c r="D320" s="218">
        <v>3</v>
      </c>
    </row>
    <row r="321" spans="1:4" s="57" customFormat="1" ht="14.15" customHeight="1" x14ac:dyDescent="0.25">
      <c r="A321" s="3" t="str">
        <f>IF(C321="","",(VLOOKUP($C321,KEY!$B$5:$D$74,3,FALSE)))</f>
        <v>Texas</v>
      </c>
      <c r="B321" s="221" t="s">
        <v>217</v>
      </c>
      <c r="C321" s="222" t="s">
        <v>147</v>
      </c>
      <c r="D321" s="218">
        <v>8</v>
      </c>
    </row>
    <row r="322" spans="1:4" s="57" customFormat="1" ht="14.15" customHeight="1" x14ac:dyDescent="0.25">
      <c r="A322" s="3" t="str">
        <f>IF(C322="","",(VLOOKUP($C322,KEY!$B$5:$D$74,3,FALSE)))</f>
        <v>Northern California</v>
      </c>
      <c r="B322" s="221" t="s">
        <v>217</v>
      </c>
      <c r="C322" s="222" t="s">
        <v>148</v>
      </c>
      <c r="D322" s="218">
        <v>5</v>
      </c>
    </row>
    <row r="323" spans="1:4" s="57" customFormat="1" ht="14.15" customHeight="1" x14ac:dyDescent="0.25">
      <c r="A323" s="3" t="str">
        <f>IF(C323="","",(VLOOKUP($C323,KEY!$B$5:$D$74,3,FALSE)))</f>
        <v>Orange County</v>
      </c>
      <c r="B323" s="221" t="s">
        <v>217</v>
      </c>
      <c r="C323" s="222" t="s">
        <v>149</v>
      </c>
      <c r="D323" s="218">
        <v>8</v>
      </c>
    </row>
    <row r="324" spans="1:4" s="57" customFormat="1" ht="14.15" customHeight="1" x14ac:dyDescent="0.25">
      <c r="A324" s="3" t="str">
        <f>IF(C324="","",(VLOOKUP($C324,KEY!$B$5:$D$74,3,FALSE)))</f>
        <v>Southern California</v>
      </c>
      <c r="B324" s="221" t="s">
        <v>217</v>
      </c>
      <c r="C324" s="222" t="s">
        <v>150</v>
      </c>
      <c r="D324" s="218">
        <v>8</v>
      </c>
    </row>
    <row r="325" spans="1:4" s="57" customFormat="1" ht="14.15" customHeight="1" x14ac:dyDescent="0.25">
      <c r="A325" s="3" t="str">
        <f>IF(C325="","",(VLOOKUP($C325,KEY!$B$5:$D$74,3,FALSE)))</f>
        <v>Arizona</v>
      </c>
      <c r="B325" s="221" t="s">
        <v>217</v>
      </c>
      <c r="C325" s="222" t="s">
        <v>151</v>
      </c>
      <c r="D325" s="218">
        <v>14</v>
      </c>
    </row>
    <row r="326" spans="1:4" s="57" customFormat="1" ht="14.15" customHeight="1" x14ac:dyDescent="0.25">
      <c r="A326" s="3" t="str">
        <f>IF(C326="","",(VLOOKUP($C326,KEY!$B$5:$D$74,3,FALSE)))</f>
        <v>Northern California</v>
      </c>
      <c r="B326" s="221" t="s">
        <v>217</v>
      </c>
      <c r="C326" s="222" t="s">
        <v>152</v>
      </c>
      <c r="D326" s="218">
        <v>10</v>
      </c>
    </row>
    <row r="327" spans="1:4" s="57" customFormat="1" ht="14.15" customHeight="1" x14ac:dyDescent="0.25">
      <c r="A327" s="3" t="str">
        <f>IF(C327="","",(VLOOKUP($C327,KEY!$B$5:$D$74,3,FALSE)))</f>
        <v>Arizona</v>
      </c>
      <c r="B327" s="221" t="s">
        <v>217</v>
      </c>
      <c r="C327" s="222" t="s">
        <v>153</v>
      </c>
      <c r="D327" s="218">
        <v>36</v>
      </c>
    </row>
    <row r="328" spans="1:4" s="57" customFormat="1" ht="14.15" customHeight="1" x14ac:dyDescent="0.25">
      <c r="A328" s="3" t="str">
        <f>IF(C328="","",(VLOOKUP($C328,KEY!$B$5:$D$74,3,FALSE)))</f>
        <v>Northern California</v>
      </c>
      <c r="B328" s="221" t="s">
        <v>217</v>
      </c>
      <c r="C328" s="222" t="s">
        <v>154</v>
      </c>
      <c r="D328" s="218">
        <v>5</v>
      </c>
    </row>
    <row r="329" spans="1:4" s="57" customFormat="1" ht="14.15" customHeight="1" x14ac:dyDescent="0.25">
      <c r="A329" s="3" t="str">
        <f>IF(C329="","",(VLOOKUP($C329,KEY!$B$5:$D$74,3,FALSE)))</f>
        <v>Texas</v>
      </c>
      <c r="B329" s="221" t="s">
        <v>217</v>
      </c>
      <c r="C329" s="222" t="s">
        <v>155</v>
      </c>
      <c r="D329" s="218">
        <v>22</v>
      </c>
    </row>
    <row r="330" spans="1:4" s="57" customFormat="1" ht="14.15" customHeight="1" x14ac:dyDescent="0.25">
      <c r="A330" s="3" t="str">
        <f>IF(C330="","",(VLOOKUP($C330,KEY!$B$5:$D$74,3,FALSE)))</f>
        <v>Texas</v>
      </c>
      <c r="B330" s="221" t="s">
        <v>217</v>
      </c>
      <c r="C330" s="222" t="s">
        <v>156</v>
      </c>
      <c r="D330" s="218">
        <v>1</v>
      </c>
    </row>
    <row r="331" spans="1:4" s="57" customFormat="1" ht="14.15" customHeight="1" x14ac:dyDescent="0.25">
      <c r="A331" s="3" t="str">
        <f>IF(C331="","",(VLOOKUP($C331,KEY!$B$5:$D$74,3,FALSE)))</f>
        <v>Texas</v>
      </c>
      <c r="B331" s="221" t="s">
        <v>217</v>
      </c>
      <c r="C331" s="222" t="s">
        <v>157</v>
      </c>
      <c r="D331" s="218">
        <v>19</v>
      </c>
    </row>
    <row r="332" spans="1:4" s="57" customFormat="1" ht="14.15" customHeight="1" x14ac:dyDescent="0.25">
      <c r="A332" s="3" t="str">
        <f>IF(C332="","",(VLOOKUP($C332,KEY!$B$5:$D$74,3,FALSE)))</f>
        <v>Arizona</v>
      </c>
      <c r="B332" s="221" t="s">
        <v>217</v>
      </c>
      <c r="C332" s="222" t="s">
        <v>158</v>
      </c>
      <c r="D332" s="218">
        <v>9</v>
      </c>
    </row>
    <row r="333" spans="1:4" s="57" customFormat="1" ht="14.15" customHeight="1" x14ac:dyDescent="0.25">
      <c r="A333" s="3" t="str">
        <f>IF(C333="","",(VLOOKUP($C333,KEY!$B$5:$D$74,3,FALSE)))</f>
        <v>Orange County</v>
      </c>
      <c r="B333" s="221" t="s">
        <v>217</v>
      </c>
      <c r="C333" s="222" t="s">
        <v>159</v>
      </c>
      <c r="D333" s="218">
        <v>22</v>
      </c>
    </row>
    <row r="334" spans="1:4" s="57" customFormat="1" ht="14.15" customHeight="1" x14ac:dyDescent="0.25">
      <c r="A334" s="3" t="str">
        <f>IF(C334="","",(VLOOKUP($C334,KEY!$B$5:$D$74,3,FALSE)))</f>
        <v>Arizona</v>
      </c>
      <c r="B334" s="221" t="s">
        <v>217</v>
      </c>
      <c r="C334" s="222" t="s">
        <v>160</v>
      </c>
      <c r="D334" s="218">
        <v>50</v>
      </c>
    </row>
    <row r="335" spans="1:4" s="57" customFormat="1" ht="14.15" customHeight="1" x14ac:dyDescent="0.25">
      <c r="A335" s="3" t="str">
        <f>IF(C335="","",(VLOOKUP($C335,KEY!$B$5:$D$74,3,FALSE)))</f>
        <v>Northern California</v>
      </c>
      <c r="B335" s="221" t="s">
        <v>217</v>
      </c>
      <c r="C335" s="222" t="s">
        <v>161</v>
      </c>
      <c r="D335" s="218">
        <v>2</v>
      </c>
    </row>
    <row r="336" spans="1:4" s="57" customFormat="1" ht="14.15" customHeight="1" x14ac:dyDescent="0.25">
      <c r="A336" s="3" t="e">
        <f>IF(C336="","",(VLOOKUP($C336,KEY!$B$5:$D$74,3,FALSE)))</f>
        <v>#N/A</v>
      </c>
      <c r="B336" s="221" t="s">
        <v>217</v>
      </c>
      <c r="C336" s="222" t="s">
        <v>162</v>
      </c>
      <c r="D336" s="218">
        <v>30</v>
      </c>
    </row>
    <row r="337" spans="1:4" s="57" customFormat="1" ht="14.15" customHeight="1" x14ac:dyDescent="0.25">
      <c r="A337" s="3" t="str">
        <f>IF(C337="","",(VLOOKUP($C337,KEY!$B$5:$D$74,3,FALSE)))</f>
        <v>Arizona</v>
      </c>
      <c r="B337" s="221" t="s">
        <v>217</v>
      </c>
      <c r="C337" s="222" t="s">
        <v>163</v>
      </c>
      <c r="D337" s="218">
        <v>21</v>
      </c>
    </row>
    <row r="338" spans="1:4" s="57" customFormat="1" ht="14.15" customHeight="1" x14ac:dyDescent="0.25">
      <c r="A338" s="3" t="str">
        <f>IF(C338="","",(VLOOKUP($C338,KEY!$B$5:$D$74,3,FALSE)))</f>
        <v>Arizona</v>
      </c>
      <c r="B338" s="221" t="s">
        <v>217</v>
      </c>
      <c r="C338" s="222" t="s">
        <v>164</v>
      </c>
      <c r="D338" s="218">
        <v>5</v>
      </c>
    </row>
    <row r="339" spans="1:4" s="57" customFormat="1" ht="14.15" customHeight="1" x14ac:dyDescent="0.25">
      <c r="A339" s="3" t="str">
        <f>IF(C339="","",(VLOOKUP($C339,KEY!$B$5:$D$74,3,FALSE)))</f>
        <v>Orange County</v>
      </c>
      <c r="B339" s="221" t="s">
        <v>217</v>
      </c>
      <c r="C339" s="222" t="s">
        <v>165</v>
      </c>
      <c r="D339" s="218">
        <v>10</v>
      </c>
    </row>
    <row r="340" spans="1:4" s="57" customFormat="1" ht="14.15" customHeight="1" x14ac:dyDescent="0.25">
      <c r="A340" s="3" t="str">
        <f>IF(C340="","",(VLOOKUP($C340,KEY!$B$5:$D$74,3,FALSE)))</f>
        <v/>
      </c>
      <c r="B340" s="221" t="s">
        <v>217</v>
      </c>
      <c r="C340" s="222"/>
      <c r="D340" s="218"/>
    </row>
    <row r="341" spans="1:4" s="57" customFormat="1" ht="14.15" customHeight="1" x14ac:dyDescent="0.25">
      <c r="A341" s="3" t="str">
        <f>IF(C341="","",(VLOOKUP($C341,KEY!$B$5:$D$74,3,FALSE)))</f>
        <v/>
      </c>
      <c r="B341" s="221" t="s">
        <v>217</v>
      </c>
      <c r="C341" s="222"/>
      <c r="D341" s="218"/>
    </row>
    <row r="342" spans="1:4" s="57" customFormat="1" ht="14.15" customHeight="1" x14ac:dyDescent="0.25">
      <c r="A342" s="3" t="str">
        <f>IF(C342="","",(VLOOKUP($C342,KEY!$B$5:$D$74,3,FALSE)))</f>
        <v/>
      </c>
      <c r="B342" s="221" t="s">
        <v>217</v>
      </c>
      <c r="C342" s="222"/>
      <c r="D342" s="218"/>
    </row>
    <row r="343" spans="1:4" s="57" customFormat="1" ht="14.15" customHeight="1" x14ac:dyDescent="0.25">
      <c r="A343" s="3" t="str">
        <f>IF(C343="","",(VLOOKUP($C343,KEY!$B$5:$D$74,3,FALSE)))</f>
        <v/>
      </c>
      <c r="B343" s="221" t="s">
        <v>217</v>
      </c>
      <c r="C343" s="222"/>
      <c r="D343" s="218"/>
    </row>
    <row r="344" spans="1:4" s="57" customFormat="1" ht="14.15" customHeight="1" x14ac:dyDescent="0.25">
      <c r="A344" s="3" t="str">
        <f>IF(C344="","",(VLOOKUP($C344,KEY!$B$5:$D$74,3,FALSE)))</f>
        <v/>
      </c>
      <c r="B344" s="221" t="s">
        <v>217</v>
      </c>
      <c r="C344" s="222"/>
      <c r="D344" s="218"/>
    </row>
    <row r="345" spans="1:4" s="57" customFormat="1" ht="14.15" customHeight="1" x14ac:dyDescent="0.25">
      <c r="A345" s="3" t="str">
        <f>IF(C345="","",(VLOOKUP($C345,KEY!$B$5:$D$74,3,FALSE)))</f>
        <v/>
      </c>
      <c r="B345" s="221" t="s">
        <v>217</v>
      </c>
      <c r="C345" s="222"/>
      <c r="D345" s="218"/>
    </row>
    <row r="346" spans="1:4" s="57" customFormat="1" ht="14.15" customHeight="1" x14ac:dyDescent="0.25">
      <c r="A346" s="3" t="str">
        <f>IF(C346="","",(VLOOKUP($C346,KEY!$B$5:$D$74,3,FALSE)))</f>
        <v/>
      </c>
      <c r="B346" s="221" t="s">
        <v>217</v>
      </c>
      <c r="C346" s="222"/>
      <c r="D346" s="218"/>
    </row>
    <row r="347" spans="1:4" s="57" customFormat="1" ht="14.15" customHeight="1" x14ac:dyDescent="0.25">
      <c r="A347" s="3" t="str">
        <f>IF(C347="","",(VLOOKUP($C347,KEY!$B$5:$D$74,3,FALSE)))</f>
        <v/>
      </c>
      <c r="B347" s="221" t="s">
        <v>217</v>
      </c>
      <c r="C347" s="222"/>
      <c r="D347" s="218"/>
    </row>
    <row r="348" spans="1:4" s="57" customFormat="1" ht="14.15" customHeight="1" x14ac:dyDescent="0.25">
      <c r="A348" s="3" t="str">
        <f>IF(C348="","",(VLOOKUP($C348,KEY!$B$5:$D$74,3,FALSE)))</f>
        <v/>
      </c>
      <c r="B348" s="221" t="s">
        <v>217</v>
      </c>
      <c r="C348" s="222"/>
      <c r="D348" s="218"/>
    </row>
    <row r="349" spans="1:4" s="57" customFormat="1" ht="14.15" customHeight="1" x14ac:dyDescent="0.25">
      <c r="A349" s="3" t="str">
        <f>IF(C349="","",(VLOOKUP($C349,KEY!$B$5:$D$74,3,FALSE)))</f>
        <v/>
      </c>
      <c r="B349" s="221" t="s">
        <v>217</v>
      </c>
      <c r="C349" s="222"/>
      <c r="D349" s="218"/>
    </row>
    <row r="350" spans="1:4" s="57" customFormat="1" ht="14.15" customHeight="1" x14ac:dyDescent="0.25">
      <c r="A350" s="3" t="str">
        <f>IF(C350="","",(VLOOKUP($C350,KEY!$B$5:$D$74,3,FALSE)))</f>
        <v/>
      </c>
      <c r="B350" s="221" t="s">
        <v>217</v>
      </c>
      <c r="C350" s="222"/>
      <c r="D350" s="218"/>
    </row>
    <row r="351" spans="1:4" s="57" customFormat="1" ht="14.15" customHeight="1" x14ac:dyDescent="0.25">
      <c r="A351" s="3" t="str">
        <f>IF(C351="","",(VLOOKUP($C351,KEY!$B$5:$D$74,3,FALSE)))</f>
        <v/>
      </c>
      <c r="B351" s="221" t="s">
        <v>217</v>
      </c>
      <c r="C351" s="222"/>
      <c r="D351" s="218"/>
    </row>
    <row r="352" spans="1:4" s="57" customFormat="1" ht="14.15" customHeight="1" x14ac:dyDescent="0.25">
      <c r="A352" s="3" t="str">
        <f>IF(C352="","",(VLOOKUP($C352,KEY!$B$5:$D$74,3,FALSE)))</f>
        <v/>
      </c>
      <c r="B352" s="221" t="s">
        <v>217</v>
      </c>
      <c r="C352" s="222"/>
      <c r="D352" s="218"/>
    </row>
    <row r="353" spans="1:4" s="57" customFormat="1" ht="14.15" customHeight="1" x14ac:dyDescent="0.25">
      <c r="A353" s="3" t="str">
        <f>IF(C353="","",(VLOOKUP($C353,KEY!$B$5:$D$74,3,FALSE)))</f>
        <v/>
      </c>
      <c r="B353" s="221" t="s">
        <v>217</v>
      </c>
      <c r="C353" s="222"/>
      <c r="D353" s="218"/>
    </row>
    <row r="354" spans="1:4" s="57" customFormat="1" ht="14.15" customHeight="1" x14ac:dyDescent="0.25">
      <c r="A354" s="3" t="str">
        <f>IF(C354="","",(VLOOKUP($C354,KEY!$B$5:$D$74,3,FALSE)))</f>
        <v/>
      </c>
      <c r="B354" s="402" t="s">
        <v>217</v>
      </c>
      <c r="C354" s="403"/>
      <c r="D354" s="404"/>
    </row>
    <row r="355" spans="1:4" s="57" customFormat="1" ht="14.15" customHeight="1" x14ac:dyDescent="0.25">
      <c r="A355" s="3" t="str">
        <f>IF(C355="","",(VLOOKUP($C355,KEY!$B$5:$D$74,3,FALSE)))</f>
        <v>Arizona</v>
      </c>
      <c r="B355" s="221" t="s">
        <v>218</v>
      </c>
      <c r="C355" s="222" t="s">
        <v>111</v>
      </c>
      <c r="D355" s="218">
        <v>20</v>
      </c>
    </row>
    <row r="356" spans="1:4" s="57" customFormat="1" ht="14.15" customHeight="1" x14ac:dyDescent="0.25">
      <c r="A356" s="3" t="str">
        <f>IF(C356="","",(VLOOKUP($C356,KEY!$B$5:$D$74,3,FALSE)))</f>
        <v>Southern California</v>
      </c>
      <c r="B356" s="221" t="s">
        <v>218</v>
      </c>
      <c r="C356" s="222" t="s">
        <v>112</v>
      </c>
      <c r="D356" s="218">
        <v>6</v>
      </c>
    </row>
    <row r="357" spans="1:4" s="57" customFormat="1" ht="14.15" customHeight="1" x14ac:dyDescent="0.25">
      <c r="A357" s="3" t="str">
        <f>IF(C357="","",(VLOOKUP($C357,KEY!$B$5:$D$74,3,FALSE)))</f>
        <v>Arizona</v>
      </c>
      <c r="B357" s="221" t="s">
        <v>218</v>
      </c>
      <c r="C357" s="222" t="s">
        <v>113</v>
      </c>
      <c r="D357" s="218">
        <v>14</v>
      </c>
    </row>
    <row r="358" spans="1:4" s="57" customFormat="1" ht="14.15" customHeight="1" x14ac:dyDescent="0.25">
      <c r="A358" s="3" t="str">
        <f>IF(C358="","",(VLOOKUP($C358,KEY!$B$5:$D$74,3,FALSE)))</f>
        <v>Southern California</v>
      </c>
      <c r="B358" s="221" t="s">
        <v>218</v>
      </c>
      <c r="C358" s="222" t="s">
        <v>114</v>
      </c>
      <c r="D358" s="218">
        <v>6</v>
      </c>
    </row>
    <row r="359" spans="1:4" s="57" customFormat="1" ht="14.15" customHeight="1" x14ac:dyDescent="0.25">
      <c r="A359" s="3" t="str">
        <f>IF(C359="","",(VLOOKUP($C359,KEY!$B$5:$D$74,3,FALSE)))</f>
        <v>Orange County</v>
      </c>
      <c r="B359" s="221" t="s">
        <v>218</v>
      </c>
      <c r="C359" s="222" t="s">
        <v>115</v>
      </c>
      <c r="D359" s="218">
        <v>17</v>
      </c>
    </row>
    <row r="360" spans="1:4" s="57" customFormat="1" ht="14.15" customHeight="1" x14ac:dyDescent="0.25">
      <c r="A360" s="3" t="str">
        <f>IF(C360="","",(VLOOKUP($C360,KEY!$B$5:$D$74,3,FALSE)))</f>
        <v>Arizona</v>
      </c>
      <c r="B360" s="221" t="s">
        <v>218</v>
      </c>
      <c r="C360" s="222" t="s">
        <v>116</v>
      </c>
      <c r="D360" s="218">
        <v>14</v>
      </c>
    </row>
    <row r="361" spans="1:4" s="57" customFormat="1" ht="14.15" customHeight="1" x14ac:dyDescent="0.25">
      <c r="A361" s="3" t="str">
        <f>IF(C361="","",(VLOOKUP($C361,KEY!$B$5:$D$74,3,FALSE)))</f>
        <v>Orange County</v>
      </c>
      <c r="B361" s="221" t="s">
        <v>218</v>
      </c>
      <c r="C361" s="222" t="s">
        <v>117</v>
      </c>
      <c r="D361" s="218">
        <v>33</v>
      </c>
    </row>
    <row r="362" spans="1:4" s="57" customFormat="1" ht="14.15" customHeight="1" x14ac:dyDescent="0.25">
      <c r="A362" s="3" t="str">
        <f>IF(C362="","",(VLOOKUP($C362,KEY!$B$5:$D$74,3,FALSE)))</f>
        <v>Northern California</v>
      </c>
      <c r="B362" s="221" t="s">
        <v>218</v>
      </c>
      <c r="C362" s="222" t="s">
        <v>118</v>
      </c>
      <c r="D362" s="218">
        <v>20</v>
      </c>
    </row>
    <row r="363" spans="1:4" s="57" customFormat="1" ht="14.15" customHeight="1" x14ac:dyDescent="0.25">
      <c r="A363" s="3" t="str">
        <f>IF(C363="","",(VLOOKUP($C363,KEY!$B$5:$D$74,3,FALSE)))</f>
        <v>Arizona</v>
      </c>
      <c r="B363" s="221" t="s">
        <v>218</v>
      </c>
      <c r="C363" s="222" t="s">
        <v>119</v>
      </c>
      <c r="D363" s="218">
        <v>6</v>
      </c>
    </row>
    <row r="364" spans="1:4" s="57" customFormat="1" ht="14.15" customHeight="1" x14ac:dyDescent="0.25">
      <c r="A364" s="3" t="str">
        <f>IF(C364="","",(VLOOKUP($C364,KEY!$B$5:$D$74,3,FALSE)))</f>
        <v>Arizona</v>
      </c>
      <c r="B364" s="221" t="s">
        <v>218</v>
      </c>
      <c r="C364" s="222" t="s">
        <v>120</v>
      </c>
      <c r="D364" s="218">
        <v>34</v>
      </c>
    </row>
    <row r="365" spans="1:4" s="57" customFormat="1" ht="14.15" customHeight="1" x14ac:dyDescent="0.25">
      <c r="A365" s="3" t="str">
        <f>IF(C365="","",(VLOOKUP($C365,KEY!$B$5:$D$74,3,FALSE)))</f>
        <v>Texas</v>
      </c>
      <c r="B365" s="221" t="s">
        <v>218</v>
      </c>
      <c r="C365" s="222" t="s">
        <v>121</v>
      </c>
      <c r="D365" s="218">
        <v>23</v>
      </c>
    </row>
    <row r="366" spans="1:4" s="57" customFormat="1" ht="14.15" customHeight="1" x14ac:dyDescent="0.25">
      <c r="A366" s="3" t="str">
        <f>IF(C366="","",(VLOOKUP($C366,KEY!$B$5:$D$74,3,FALSE)))</f>
        <v>Southern California</v>
      </c>
      <c r="B366" s="221" t="s">
        <v>218</v>
      </c>
      <c r="C366" s="222" t="s">
        <v>122</v>
      </c>
      <c r="D366" s="218">
        <v>8</v>
      </c>
    </row>
    <row r="367" spans="1:4" s="57" customFormat="1" ht="14.15" customHeight="1" x14ac:dyDescent="0.25">
      <c r="A367" s="3" t="str">
        <f>IF(C367="","",(VLOOKUP($C367,KEY!$B$5:$D$74,3,FALSE)))</f>
        <v>Orange County</v>
      </c>
      <c r="B367" s="221" t="s">
        <v>218</v>
      </c>
      <c r="C367" s="222" t="s">
        <v>123</v>
      </c>
      <c r="D367" s="218">
        <v>20</v>
      </c>
    </row>
    <row r="368" spans="1:4" s="57" customFormat="1" ht="14.15" customHeight="1" x14ac:dyDescent="0.25">
      <c r="A368" s="3" t="str">
        <f>IF(C368="","",(VLOOKUP($C368,KEY!$B$5:$D$74,3,FALSE)))</f>
        <v>Southern California</v>
      </c>
      <c r="B368" s="221" t="s">
        <v>218</v>
      </c>
      <c r="C368" s="222" t="s">
        <v>124</v>
      </c>
      <c r="D368" s="218">
        <v>56</v>
      </c>
    </row>
    <row r="369" spans="1:4" s="57" customFormat="1" ht="14.15" customHeight="1" x14ac:dyDescent="0.25">
      <c r="A369" s="3" t="str">
        <f>IF(C369="","",(VLOOKUP($C369,KEY!$B$5:$D$74,3,FALSE)))</f>
        <v>Northern California</v>
      </c>
      <c r="B369" s="221" t="s">
        <v>218</v>
      </c>
      <c r="C369" s="222" t="s">
        <v>195</v>
      </c>
      <c r="D369" s="218">
        <v>20</v>
      </c>
    </row>
    <row r="370" spans="1:4" s="57" customFormat="1" ht="14.15" customHeight="1" x14ac:dyDescent="0.25">
      <c r="A370" s="3" t="str">
        <f>IF(C370="","",(VLOOKUP($C370,KEY!$B$5:$D$74,3,FALSE)))</f>
        <v>Northern California</v>
      </c>
      <c r="B370" s="221" t="s">
        <v>218</v>
      </c>
      <c r="C370" s="222" t="s">
        <v>125</v>
      </c>
      <c r="D370" s="218">
        <v>90</v>
      </c>
    </row>
    <row r="371" spans="1:4" s="57" customFormat="1" ht="14.15" customHeight="1" x14ac:dyDescent="0.25">
      <c r="A371" s="3" t="str">
        <f>IF(C371="","",(VLOOKUP($C371,KEY!$B$5:$D$74,3,FALSE)))</f>
        <v>Orange County</v>
      </c>
      <c r="B371" s="221" t="s">
        <v>218</v>
      </c>
      <c r="C371" s="222" t="s">
        <v>126</v>
      </c>
      <c r="D371" s="218">
        <v>62</v>
      </c>
    </row>
    <row r="372" spans="1:4" s="57" customFormat="1" ht="14.15" customHeight="1" x14ac:dyDescent="0.25">
      <c r="A372" s="3" t="str">
        <f>IF(C372="","",(VLOOKUP($C372,KEY!$B$5:$D$74,3,FALSE)))</f>
        <v>Orange County</v>
      </c>
      <c r="B372" s="221" t="s">
        <v>218</v>
      </c>
      <c r="C372" s="222" t="s">
        <v>127</v>
      </c>
      <c r="D372" s="218">
        <v>16</v>
      </c>
    </row>
    <row r="373" spans="1:4" s="57" customFormat="1" ht="14.15" customHeight="1" x14ac:dyDescent="0.25">
      <c r="A373" s="3" t="str">
        <f>IF(C373="","",(VLOOKUP($C373,KEY!$B$5:$D$74,3,FALSE)))</f>
        <v>Texas</v>
      </c>
      <c r="B373" s="221" t="s">
        <v>218</v>
      </c>
      <c r="C373" s="222" t="s">
        <v>128</v>
      </c>
      <c r="D373" s="218">
        <v>35</v>
      </c>
    </row>
    <row r="374" spans="1:4" s="57" customFormat="1" ht="14.15" customHeight="1" x14ac:dyDescent="0.25">
      <c r="A374" s="3" t="str">
        <f>IF(C374="","",(VLOOKUP($C374,KEY!$B$5:$D$74,3,FALSE)))</f>
        <v>Northern California</v>
      </c>
      <c r="B374" s="221" t="s">
        <v>218</v>
      </c>
      <c r="C374" s="222" t="s">
        <v>129</v>
      </c>
      <c r="D374" s="218">
        <v>29</v>
      </c>
    </row>
    <row r="375" spans="1:4" s="57" customFormat="1" ht="14.15" customHeight="1" x14ac:dyDescent="0.25">
      <c r="A375" s="3" t="str">
        <f>IF(C375="","",(VLOOKUP($C375,KEY!$B$5:$D$74,3,FALSE)))</f>
        <v>Southern California</v>
      </c>
      <c r="B375" s="221" t="s">
        <v>218</v>
      </c>
      <c r="C375" s="222" t="s">
        <v>130</v>
      </c>
      <c r="D375" s="218">
        <v>26</v>
      </c>
    </row>
    <row r="376" spans="1:4" s="57" customFormat="1" ht="14.15" customHeight="1" x14ac:dyDescent="0.25">
      <c r="A376" s="3">
        <f>IF(C376="","",(VLOOKUP($C376,KEY!$B$5:$D$74,3,FALSE)))</f>
        <v>0</v>
      </c>
      <c r="B376" s="221" t="s">
        <v>218</v>
      </c>
      <c r="C376" s="222" t="s">
        <v>131</v>
      </c>
      <c r="D376" s="218">
        <v>62</v>
      </c>
    </row>
    <row r="377" spans="1:4" s="57" customFormat="1" ht="14.15" customHeight="1" x14ac:dyDescent="0.25">
      <c r="A377" s="3" t="e">
        <f>IF(C377="","",(VLOOKUP($C377,KEY!$B$5:$D$74,3,FALSE)))</f>
        <v>#N/A</v>
      </c>
      <c r="B377" s="221" t="s">
        <v>218</v>
      </c>
      <c r="C377" s="222" t="s">
        <v>134</v>
      </c>
      <c r="D377" s="218">
        <v>7</v>
      </c>
    </row>
    <row r="378" spans="1:4" s="57" customFormat="1" ht="14.15" customHeight="1" x14ac:dyDescent="0.25">
      <c r="A378" s="3" t="str">
        <f>IF(C378="","",(VLOOKUP($C378,KEY!$B$5:$D$74,3,FALSE)))</f>
        <v>Southern California</v>
      </c>
      <c r="B378" s="221" t="s">
        <v>218</v>
      </c>
      <c r="C378" s="222" t="s">
        <v>135</v>
      </c>
      <c r="D378" s="218">
        <v>25</v>
      </c>
    </row>
    <row r="379" spans="1:4" s="57" customFormat="1" ht="14.15" customHeight="1" x14ac:dyDescent="0.25">
      <c r="A379" s="3" t="str">
        <f>IF(C379="","",(VLOOKUP($C379,KEY!$B$5:$D$74,3,FALSE)))</f>
        <v>Arizona</v>
      </c>
      <c r="B379" s="221" t="s">
        <v>218</v>
      </c>
      <c r="C379" s="222" t="s">
        <v>196</v>
      </c>
      <c r="D379" s="218">
        <v>14</v>
      </c>
    </row>
    <row r="380" spans="1:4" s="57" customFormat="1" ht="14.15" customHeight="1" x14ac:dyDescent="0.25">
      <c r="A380" s="3" t="str">
        <f>IF(C380="","",(VLOOKUP($C380,KEY!$B$5:$D$74,3,FALSE)))</f>
        <v>Arizona</v>
      </c>
      <c r="B380" s="221" t="s">
        <v>218</v>
      </c>
      <c r="C380" s="222" t="s">
        <v>197</v>
      </c>
      <c r="D380" s="218">
        <v>12</v>
      </c>
    </row>
    <row r="381" spans="1:4" s="57" customFormat="1" ht="14.15" customHeight="1" x14ac:dyDescent="0.25">
      <c r="A381" s="3" t="str">
        <f>IF(C381="","",(VLOOKUP($C381,KEY!$B$5:$D$74,3,FALSE)))</f>
        <v>Texas</v>
      </c>
      <c r="B381" s="221" t="s">
        <v>218</v>
      </c>
      <c r="C381" s="222" t="s">
        <v>136</v>
      </c>
      <c r="D381" s="218">
        <v>25</v>
      </c>
    </row>
    <row r="382" spans="1:4" s="57" customFormat="1" ht="14.15" customHeight="1" x14ac:dyDescent="0.25">
      <c r="A382" s="3" t="str">
        <f>IF(C382="","",(VLOOKUP($C382,KEY!$B$5:$D$74,3,FALSE)))</f>
        <v>Arizona</v>
      </c>
      <c r="B382" s="221" t="s">
        <v>218</v>
      </c>
      <c r="C382" s="222" t="s">
        <v>137</v>
      </c>
      <c r="D382" s="218">
        <v>12</v>
      </c>
    </row>
    <row r="383" spans="1:4" s="57" customFormat="1" ht="14.15" customHeight="1" x14ac:dyDescent="0.25">
      <c r="A383" s="3" t="str">
        <f>IF(C383="","",(VLOOKUP($C383,KEY!$B$5:$D$74,3,FALSE)))</f>
        <v>Texas</v>
      </c>
      <c r="B383" s="221" t="s">
        <v>218</v>
      </c>
      <c r="C383" s="222" t="s">
        <v>138</v>
      </c>
      <c r="D383" s="218">
        <v>15</v>
      </c>
    </row>
    <row r="384" spans="1:4" s="57" customFormat="1" ht="14.15" customHeight="1" x14ac:dyDescent="0.25">
      <c r="A384" s="3" t="str">
        <f>IF(C384="","",(VLOOKUP($C384,KEY!$B$5:$D$74,3,FALSE)))</f>
        <v>Southern California</v>
      </c>
      <c r="B384" s="221" t="s">
        <v>218</v>
      </c>
      <c r="C384" s="222" t="s">
        <v>139</v>
      </c>
      <c r="D384" s="218">
        <v>20</v>
      </c>
    </row>
    <row r="385" spans="1:4" s="57" customFormat="1" ht="14.15" customHeight="1" x14ac:dyDescent="0.25">
      <c r="A385" s="3" t="str">
        <f>IF(C385="","",(VLOOKUP($C385,KEY!$B$5:$D$74,3,FALSE)))</f>
        <v>Orange County</v>
      </c>
      <c r="B385" s="221" t="s">
        <v>218</v>
      </c>
      <c r="C385" s="222" t="s">
        <v>140</v>
      </c>
      <c r="D385" s="218">
        <v>10</v>
      </c>
    </row>
    <row r="386" spans="1:4" s="57" customFormat="1" ht="14.15" customHeight="1" x14ac:dyDescent="0.25">
      <c r="A386" s="3" t="str">
        <f>IF(C386="","",(VLOOKUP($C386,KEY!$B$5:$D$74,3,FALSE)))</f>
        <v>Southern California</v>
      </c>
      <c r="B386" s="221" t="s">
        <v>218</v>
      </c>
      <c r="C386" s="222" t="s">
        <v>142</v>
      </c>
      <c r="D386" s="218">
        <v>5</v>
      </c>
    </row>
    <row r="387" spans="1:4" s="57" customFormat="1" ht="14.15" customHeight="1" x14ac:dyDescent="0.25">
      <c r="A387" s="3" t="str">
        <f>IF(C387="","",(VLOOKUP($C387,KEY!$B$5:$D$74,3,FALSE)))</f>
        <v>Arizona</v>
      </c>
      <c r="B387" s="221" t="s">
        <v>218</v>
      </c>
      <c r="C387" s="222" t="s">
        <v>143</v>
      </c>
      <c r="D387" s="218">
        <v>13</v>
      </c>
    </row>
    <row r="388" spans="1:4" s="57" customFormat="1" ht="14.15" customHeight="1" x14ac:dyDescent="0.25">
      <c r="A388" s="3" t="str">
        <f>IF(C388="","",(VLOOKUP($C388,KEY!$B$5:$D$74,3,FALSE)))</f>
        <v>Arizona</v>
      </c>
      <c r="B388" s="221" t="s">
        <v>218</v>
      </c>
      <c r="C388" s="222" t="s">
        <v>144</v>
      </c>
      <c r="D388" s="218">
        <v>12</v>
      </c>
    </row>
    <row r="389" spans="1:4" s="57" customFormat="1" ht="14.15" customHeight="1" x14ac:dyDescent="0.25">
      <c r="A389" s="3" t="str">
        <f>IF(C389="","",(VLOOKUP($C389,KEY!$B$5:$D$74,3,FALSE)))</f>
        <v>Southern California</v>
      </c>
      <c r="B389" s="221" t="s">
        <v>218</v>
      </c>
      <c r="C389" s="222" t="s">
        <v>145</v>
      </c>
      <c r="D389" s="218">
        <v>19</v>
      </c>
    </row>
    <row r="390" spans="1:4" s="57" customFormat="1" ht="14.15" customHeight="1" x14ac:dyDescent="0.25">
      <c r="A390" s="3" t="str">
        <f>IF(C390="","",(VLOOKUP($C390,KEY!$B$5:$D$74,3,FALSE)))</f>
        <v>Arizona</v>
      </c>
      <c r="B390" s="221" t="s">
        <v>218</v>
      </c>
      <c r="C390" s="222" t="s">
        <v>146</v>
      </c>
      <c r="D390" s="218">
        <v>9</v>
      </c>
    </row>
    <row r="391" spans="1:4" s="57" customFormat="1" ht="14.15" customHeight="1" x14ac:dyDescent="0.25">
      <c r="A391" s="3" t="str">
        <f>IF(C391="","",(VLOOKUP($C391,KEY!$B$5:$D$74,3,FALSE)))</f>
        <v>Texas</v>
      </c>
      <c r="B391" s="221" t="s">
        <v>218</v>
      </c>
      <c r="C391" s="222" t="s">
        <v>147</v>
      </c>
      <c r="D391" s="218">
        <v>1</v>
      </c>
    </row>
    <row r="392" spans="1:4" s="57" customFormat="1" ht="14.15" customHeight="1" x14ac:dyDescent="0.25">
      <c r="A392" s="3" t="str">
        <f>IF(C392="","",(VLOOKUP($C392,KEY!$B$5:$D$74,3,FALSE)))</f>
        <v>Northern California</v>
      </c>
      <c r="B392" s="221" t="s">
        <v>218</v>
      </c>
      <c r="C392" s="222" t="s">
        <v>148</v>
      </c>
      <c r="D392" s="218">
        <v>1</v>
      </c>
    </row>
    <row r="393" spans="1:4" s="57" customFormat="1" ht="14.15" customHeight="1" x14ac:dyDescent="0.25">
      <c r="A393" s="3" t="str">
        <f>IF(C393="","",(VLOOKUP($C393,KEY!$B$5:$D$74,3,FALSE)))</f>
        <v>Orange County</v>
      </c>
      <c r="B393" s="221" t="s">
        <v>218</v>
      </c>
      <c r="C393" s="222" t="s">
        <v>149</v>
      </c>
      <c r="D393" s="218">
        <v>9</v>
      </c>
    </row>
    <row r="394" spans="1:4" s="57" customFormat="1" ht="14.15" customHeight="1" x14ac:dyDescent="0.25">
      <c r="A394" s="3" t="str">
        <f>IF(C394="","",(VLOOKUP($C394,KEY!$B$5:$D$74,3,FALSE)))</f>
        <v>Southern California</v>
      </c>
      <c r="B394" s="221" t="s">
        <v>218</v>
      </c>
      <c r="C394" s="222" t="s">
        <v>150</v>
      </c>
      <c r="D394" s="218">
        <v>5</v>
      </c>
    </row>
    <row r="395" spans="1:4" s="57" customFormat="1" ht="14.15" customHeight="1" x14ac:dyDescent="0.25">
      <c r="A395" s="3" t="str">
        <f>IF(C395="","",(VLOOKUP($C395,KEY!$B$5:$D$74,3,FALSE)))</f>
        <v>Arizona</v>
      </c>
      <c r="B395" s="221" t="s">
        <v>218</v>
      </c>
      <c r="C395" s="222" t="s">
        <v>151</v>
      </c>
      <c r="D395" s="218">
        <v>20</v>
      </c>
    </row>
    <row r="396" spans="1:4" s="57" customFormat="1" ht="14.15" customHeight="1" x14ac:dyDescent="0.25">
      <c r="A396" s="3" t="str">
        <f>IF(C396="","",(VLOOKUP($C396,KEY!$B$5:$D$74,3,FALSE)))</f>
        <v>Northern California</v>
      </c>
      <c r="B396" s="221" t="s">
        <v>218</v>
      </c>
      <c r="C396" s="222" t="s">
        <v>152</v>
      </c>
      <c r="D396" s="218">
        <v>14</v>
      </c>
    </row>
    <row r="397" spans="1:4" s="57" customFormat="1" ht="14.15" customHeight="1" x14ac:dyDescent="0.25">
      <c r="A397" s="3" t="str">
        <f>IF(C397="","",(VLOOKUP($C397,KEY!$B$5:$D$74,3,FALSE)))</f>
        <v>Arizona</v>
      </c>
      <c r="B397" s="221" t="s">
        <v>218</v>
      </c>
      <c r="C397" s="222" t="s">
        <v>153</v>
      </c>
      <c r="D397" s="218">
        <v>31</v>
      </c>
    </row>
    <row r="398" spans="1:4" s="57" customFormat="1" ht="14.15" customHeight="1" x14ac:dyDescent="0.25">
      <c r="A398" s="3" t="str">
        <f>IF(C398="","",(VLOOKUP($C398,KEY!$B$5:$D$74,3,FALSE)))</f>
        <v>Northern California</v>
      </c>
      <c r="B398" s="221" t="s">
        <v>218</v>
      </c>
      <c r="C398" s="222" t="s">
        <v>154</v>
      </c>
      <c r="D398" s="218">
        <v>15</v>
      </c>
    </row>
    <row r="399" spans="1:4" s="57" customFormat="1" ht="14.15" customHeight="1" x14ac:dyDescent="0.25">
      <c r="A399" s="3" t="str">
        <f>IF(C399="","",(VLOOKUP($C399,KEY!$B$5:$D$74,3,FALSE)))</f>
        <v>Texas</v>
      </c>
      <c r="B399" s="221" t="s">
        <v>218</v>
      </c>
      <c r="C399" s="222" t="s">
        <v>155</v>
      </c>
      <c r="D399" s="218">
        <v>36</v>
      </c>
    </row>
    <row r="400" spans="1:4" s="57" customFormat="1" ht="14.15" customHeight="1" x14ac:dyDescent="0.25">
      <c r="A400" s="3" t="str">
        <f>IF(C400="","",(VLOOKUP($C400,KEY!$B$5:$D$74,3,FALSE)))</f>
        <v>Texas</v>
      </c>
      <c r="B400" s="221" t="s">
        <v>218</v>
      </c>
      <c r="C400" s="222" t="s">
        <v>156</v>
      </c>
      <c r="D400" s="218">
        <v>51</v>
      </c>
    </row>
    <row r="401" spans="1:4" s="57" customFormat="1" ht="14.15" customHeight="1" x14ac:dyDescent="0.25">
      <c r="A401" s="3" t="str">
        <f>IF(C401="","",(VLOOKUP($C401,KEY!$B$5:$D$74,3,FALSE)))</f>
        <v>Texas</v>
      </c>
      <c r="B401" s="221" t="s">
        <v>218</v>
      </c>
      <c r="C401" s="222" t="s">
        <v>157</v>
      </c>
      <c r="D401" s="218">
        <v>41</v>
      </c>
    </row>
    <row r="402" spans="1:4" s="57" customFormat="1" ht="14.15" customHeight="1" x14ac:dyDescent="0.25">
      <c r="A402" s="3" t="str">
        <f>IF(C402="","",(VLOOKUP($C402,KEY!$B$5:$D$74,3,FALSE)))</f>
        <v>Arizona</v>
      </c>
      <c r="B402" s="221" t="s">
        <v>218</v>
      </c>
      <c r="C402" s="222" t="s">
        <v>158</v>
      </c>
      <c r="D402" s="218">
        <v>8</v>
      </c>
    </row>
    <row r="403" spans="1:4" s="57" customFormat="1" ht="14.15" customHeight="1" x14ac:dyDescent="0.25">
      <c r="A403" s="3" t="str">
        <f>IF(C403="","",(VLOOKUP($C403,KEY!$B$5:$D$74,3,FALSE)))</f>
        <v>Orange County</v>
      </c>
      <c r="B403" s="221" t="s">
        <v>218</v>
      </c>
      <c r="C403" s="222" t="s">
        <v>159</v>
      </c>
      <c r="D403" s="218">
        <v>15</v>
      </c>
    </row>
    <row r="404" spans="1:4" s="57" customFormat="1" ht="14.15" customHeight="1" x14ac:dyDescent="0.25">
      <c r="A404" s="3" t="str">
        <f>IF(C404="","",(VLOOKUP($C404,KEY!$B$5:$D$74,3,FALSE)))</f>
        <v>Arizona</v>
      </c>
      <c r="B404" s="221" t="s">
        <v>218</v>
      </c>
      <c r="C404" s="222" t="s">
        <v>160</v>
      </c>
      <c r="D404" s="218">
        <v>24</v>
      </c>
    </row>
    <row r="405" spans="1:4" s="57" customFormat="1" ht="14.15" customHeight="1" x14ac:dyDescent="0.25">
      <c r="A405" s="3" t="str">
        <f>IF(C405="","",(VLOOKUP($C405,KEY!$B$5:$D$74,3,FALSE)))</f>
        <v>Northern California</v>
      </c>
      <c r="B405" s="221" t="s">
        <v>218</v>
      </c>
      <c r="C405" s="222" t="s">
        <v>161</v>
      </c>
      <c r="D405" s="218">
        <v>29</v>
      </c>
    </row>
    <row r="406" spans="1:4" s="57" customFormat="1" ht="14.15" customHeight="1" x14ac:dyDescent="0.25">
      <c r="A406" s="3" t="e">
        <f>IF(C406="","",(VLOOKUP($C406,KEY!$B$5:$D$74,3,FALSE)))</f>
        <v>#N/A</v>
      </c>
      <c r="B406" s="221" t="s">
        <v>218</v>
      </c>
      <c r="C406" s="222" t="s">
        <v>162</v>
      </c>
      <c r="D406" s="218">
        <v>23</v>
      </c>
    </row>
    <row r="407" spans="1:4" s="57" customFormat="1" ht="14.15" customHeight="1" x14ac:dyDescent="0.25">
      <c r="A407" s="3" t="str">
        <f>IF(C407="","",(VLOOKUP($C407,KEY!$B$5:$D$74,3,FALSE)))</f>
        <v>Arizona</v>
      </c>
      <c r="B407" s="221" t="s">
        <v>218</v>
      </c>
      <c r="C407" s="222" t="s">
        <v>163</v>
      </c>
      <c r="D407" s="218">
        <v>52</v>
      </c>
    </row>
    <row r="408" spans="1:4" s="57" customFormat="1" ht="14.15" customHeight="1" x14ac:dyDescent="0.25">
      <c r="A408" s="3" t="str">
        <f>IF(C408="","",(VLOOKUP($C408,KEY!$B$5:$D$74,3,FALSE)))</f>
        <v>Arizona</v>
      </c>
      <c r="B408" s="221" t="s">
        <v>218</v>
      </c>
      <c r="C408" s="222" t="s">
        <v>164</v>
      </c>
      <c r="D408" s="218">
        <v>24</v>
      </c>
    </row>
    <row r="409" spans="1:4" s="57" customFormat="1" ht="14.15" customHeight="1" x14ac:dyDescent="0.25">
      <c r="A409" s="3" t="str">
        <f>IF(C409="","",(VLOOKUP($C409,KEY!$B$5:$D$74,3,FALSE)))</f>
        <v>Orange County</v>
      </c>
      <c r="B409" s="221" t="s">
        <v>218</v>
      </c>
      <c r="C409" s="222" t="s">
        <v>165</v>
      </c>
      <c r="D409" s="218">
        <v>10</v>
      </c>
    </row>
    <row r="410" spans="1:4" s="57" customFormat="1" ht="14.15" customHeight="1" x14ac:dyDescent="0.25">
      <c r="A410" s="3" t="str">
        <f>IF(C410="","",(VLOOKUP($C410,KEY!$B$5:$D$74,3,FALSE)))</f>
        <v/>
      </c>
      <c r="B410" s="221" t="s">
        <v>218</v>
      </c>
      <c r="C410" s="222"/>
      <c r="D410" s="218"/>
    </row>
    <row r="411" spans="1:4" s="57" customFormat="1" ht="14.15" customHeight="1" x14ac:dyDescent="0.25">
      <c r="A411" s="3" t="str">
        <f>IF(C411="","",(VLOOKUP($C411,KEY!$B$5:$D$74,3,FALSE)))</f>
        <v/>
      </c>
      <c r="B411" s="221" t="s">
        <v>218</v>
      </c>
      <c r="C411" s="222"/>
      <c r="D411" s="218"/>
    </row>
    <row r="412" spans="1:4" s="57" customFormat="1" ht="14.15" customHeight="1" x14ac:dyDescent="0.25">
      <c r="A412" s="3" t="str">
        <f>IF(C412="","",(VLOOKUP($C412,KEY!$B$5:$D$74,3,FALSE)))</f>
        <v/>
      </c>
      <c r="B412" s="221" t="s">
        <v>218</v>
      </c>
      <c r="C412" s="222"/>
      <c r="D412" s="218"/>
    </row>
    <row r="413" spans="1:4" s="57" customFormat="1" ht="14.15" customHeight="1" x14ac:dyDescent="0.25">
      <c r="A413" s="3" t="str">
        <f>IF(C413="","",(VLOOKUP($C413,KEY!$B$5:$D$74,3,FALSE)))</f>
        <v/>
      </c>
      <c r="B413" s="221" t="s">
        <v>218</v>
      </c>
      <c r="C413" s="222"/>
      <c r="D413" s="218"/>
    </row>
    <row r="414" spans="1:4" s="57" customFormat="1" ht="14.15" customHeight="1" x14ac:dyDescent="0.25">
      <c r="A414" s="3" t="str">
        <f>IF(C414="","",(VLOOKUP($C414,KEY!$B$5:$D$74,3,FALSE)))</f>
        <v/>
      </c>
      <c r="B414" s="221" t="s">
        <v>218</v>
      </c>
      <c r="C414" s="222"/>
      <c r="D414" s="218"/>
    </row>
    <row r="415" spans="1:4" s="57" customFormat="1" ht="14.15" customHeight="1" x14ac:dyDescent="0.25">
      <c r="A415" s="3" t="str">
        <f>IF(C415="","",(VLOOKUP($C415,KEY!$B$5:$D$74,3,FALSE)))</f>
        <v/>
      </c>
      <c r="B415" s="221" t="s">
        <v>218</v>
      </c>
      <c r="C415" s="222"/>
      <c r="D415" s="218"/>
    </row>
    <row r="416" spans="1:4" s="57" customFormat="1" ht="14.15" customHeight="1" x14ac:dyDescent="0.25">
      <c r="A416" s="3" t="str">
        <f>IF(C416="","",(VLOOKUP($C416,KEY!$B$5:$D$74,3,FALSE)))</f>
        <v/>
      </c>
      <c r="B416" s="221" t="s">
        <v>218</v>
      </c>
      <c r="C416" s="222"/>
      <c r="D416" s="218"/>
    </row>
    <row r="417" spans="1:4" s="57" customFormat="1" ht="14.15" customHeight="1" x14ac:dyDescent="0.25">
      <c r="A417" s="3" t="str">
        <f>IF(C417="","",(VLOOKUP($C417,KEY!$B$5:$D$74,3,FALSE)))</f>
        <v/>
      </c>
      <c r="B417" s="221" t="s">
        <v>218</v>
      </c>
      <c r="C417" s="222"/>
      <c r="D417" s="218"/>
    </row>
    <row r="418" spans="1:4" s="57" customFormat="1" ht="14.15" customHeight="1" x14ac:dyDescent="0.25">
      <c r="A418" s="3" t="str">
        <f>IF(C418="","",(VLOOKUP($C418,KEY!$B$5:$D$74,3,FALSE)))</f>
        <v/>
      </c>
      <c r="B418" s="221" t="s">
        <v>218</v>
      </c>
      <c r="C418" s="222"/>
      <c r="D418" s="218"/>
    </row>
    <row r="419" spans="1:4" s="57" customFormat="1" ht="14.15" customHeight="1" x14ac:dyDescent="0.25">
      <c r="A419" s="3" t="str">
        <f>IF(C419="","",(VLOOKUP($C419,KEY!$B$5:$D$74,3,FALSE)))</f>
        <v/>
      </c>
      <c r="B419" s="221" t="s">
        <v>218</v>
      </c>
      <c r="C419" s="222"/>
      <c r="D419" s="218"/>
    </row>
    <row r="420" spans="1:4" s="57" customFormat="1" ht="14.15" customHeight="1" x14ac:dyDescent="0.25">
      <c r="A420" s="3" t="str">
        <f>IF(C420="","",(VLOOKUP($C420,KEY!$B$5:$D$74,3,FALSE)))</f>
        <v/>
      </c>
      <c r="B420" s="221" t="s">
        <v>218</v>
      </c>
      <c r="C420" s="222"/>
      <c r="D420" s="218"/>
    </row>
    <row r="421" spans="1:4" s="57" customFormat="1" ht="14.15" customHeight="1" x14ac:dyDescent="0.25">
      <c r="A421" s="3" t="str">
        <f>IF(C421="","",(VLOOKUP($C421,KEY!$B$5:$D$74,3,FALSE)))</f>
        <v/>
      </c>
      <c r="B421" s="221" t="s">
        <v>218</v>
      </c>
      <c r="C421" s="222"/>
      <c r="D421" s="218"/>
    </row>
    <row r="422" spans="1:4" s="57" customFormat="1" ht="14.15" customHeight="1" x14ac:dyDescent="0.25">
      <c r="A422" s="3" t="str">
        <f>IF(C422="","",(VLOOKUP($C422,KEY!$B$5:$D$74,3,FALSE)))</f>
        <v/>
      </c>
      <c r="B422" s="221" t="s">
        <v>218</v>
      </c>
      <c r="C422" s="222"/>
      <c r="D422" s="218"/>
    </row>
    <row r="423" spans="1:4" s="57" customFormat="1" ht="14.15" customHeight="1" x14ac:dyDescent="0.25">
      <c r="A423" s="3" t="str">
        <f>IF(C423="","",(VLOOKUP($C423,KEY!$B$5:$D$74,3,FALSE)))</f>
        <v/>
      </c>
      <c r="B423" s="221" t="s">
        <v>218</v>
      </c>
      <c r="C423" s="222"/>
      <c r="D423" s="218"/>
    </row>
    <row r="424" spans="1:4" s="57" customFormat="1" ht="14.15" customHeight="1" x14ac:dyDescent="0.25">
      <c r="A424" s="3" t="str">
        <f>IF(C424="","",(VLOOKUP($C424,KEY!$B$5:$D$74,3,FALSE)))</f>
        <v/>
      </c>
      <c r="B424" s="402" t="s">
        <v>218</v>
      </c>
      <c r="C424" s="403"/>
      <c r="D424" s="404"/>
    </row>
    <row r="425" spans="1:4" s="57" customFormat="1" ht="14.15" customHeight="1" x14ac:dyDescent="0.25">
      <c r="A425" s="3" t="str">
        <f>IF(C425="","",(VLOOKUP($C425,KEY!$B$5:$D$74,3,FALSE)))</f>
        <v>Arizona</v>
      </c>
      <c r="B425" s="221" t="s">
        <v>219</v>
      </c>
      <c r="C425" s="222" t="s">
        <v>111</v>
      </c>
      <c r="D425" s="218">
        <v>16</v>
      </c>
    </row>
    <row r="426" spans="1:4" s="57" customFormat="1" ht="14.15" customHeight="1" x14ac:dyDescent="0.25">
      <c r="A426" s="3" t="str">
        <f>IF(C426="","",(VLOOKUP($C426,KEY!$B$5:$D$74,3,FALSE)))</f>
        <v>Southern California</v>
      </c>
      <c r="B426" s="221" t="s">
        <v>219</v>
      </c>
      <c r="C426" s="222" t="s">
        <v>112</v>
      </c>
      <c r="D426" s="218">
        <v>2</v>
      </c>
    </row>
    <row r="427" spans="1:4" s="57" customFormat="1" ht="14.15" customHeight="1" x14ac:dyDescent="0.25">
      <c r="A427" s="3" t="str">
        <f>IF(C427="","",(VLOOKUP($C427,KEY!$B$5:$D$74,3,FALSE)))</f>
        <v>Arizona</v>
      </c>
      <c r="B427" s="221" t="s">
        <v>219</v>
      </c>
      <c r="C427" s="222" t="s">
        <v>113</v>
      </c>
      <c r="D427" s="218">
        <v>7</v>
      </c>
    </row>
    <row r="428" spans="1:4" s="57" customFormat="1" ht="14.15" customHeight="1" x14ac:dyDescent="0.25">
      <c r="A428" s="3" t="str">
        <f>IF(C428="","",(VLOOKUP($C428,KEY!$B$5:$D$74,3,FALSE)))</f>
        <v>Southern California</v>
      </c>
      <c r="B428" s="221" t="s">
        <v>219</v>
      </c>
      <c r="C428" s="222" t="s">
        <v>114</v>
      </c>
      <c r="D428" s="218">
        <v>5</v>
      </c>
    </row>
    <row r="429" spans="1:4" s="57" customFormat="1" ht="14.15" customHeight="1" x14ac:dyDescent="0.25">
      <c r="A429" s="3" t="str">
        <f>IF(C429="","",(VLOOKUP($C429,KEY!$B$5:$D$74,3,FALSE)))</f>
        <v>Orange County</v>
      </c>
      <c r="B429" s="221" t="s">
        <v>219</v>
      </c>
      <c r="C429" s="222" t="s">
        <v>115</v>
      </c>
      <c r="D429" s="218">
        <v>8</v>
      </c>
    </row>
    <row r="430" spans="1:4" s="57" customFormat="1" ht="14.15" customHeight="1" x14ac:dyDescent="0.25">
      <c r="A430" s="3" t="str">
        <f>IF(C430="","",(VLOOKUP($C430,KEY!$B$5:$D$74,3,FALSE)))</f>
        <v>Arizona</v>
      </c>
      <c r="B430" s="221" t="s">
        <v>219</v>
      </c>
      <c r="C430" s="222" t="s">
        <v>116</v>
      </c>
      <c r="D430" s="218">
        <v>12</v>
      </c>
    </row>
    <row r="431" spans="1:4" s="57" customFormat="1" ht="14.15" customHeight="1" x14ac:dyDescent="0.25">
      <c r="A431" s="3" t="str">
        <f>IF(C431="","",(VLOOKUP($C431,KEY!$B$5:$D$74,3,FALSE)))</f>
        <v>Northern California</v>
      </c>
      <c r="B431" s="221" t="s">
        <v>219</v>
      </c>
      <c r="C431" s="222" t="s">
        <v>118</v>
      </c>
      <c r="D431" s="218">
        <v>14</v>
      </c>
    </row>
    <row r="432" spans="1:4" s="57" customFormat="1" ht="14.15" customHeight="1" x14ac:dyDescent="0.25">
      <c r="A432" s="3" t="str">
        <f>IF(C432="","",(VLOOKUP($C432,KEY!$B$5:$D$74,3,FALSE)))</f>
        <v>Orange County</v>
      </c>
      <c r="B432" s="221" t="s">
        <v>219</v>
      </c>
      <c r="C432" s="222" t="s">
        <v>117</v>
      </c>
      <c r="D432" s="218">
        <v>11</v>
      </c>
    </row>
    <row r="433" spans="1:4" s="57" customFormat="1" ht="14.15" customHeight="1" x14ac:dyDescent="0.25">
      <c r="A433" s="3" t="str">
        <f>IF(C433="","",(VLOOKUP($C433,KEY!$B$5:$D$74,3,FALSE)))</f>
        <v>Arizona</v>
      </c>
      <c r="B433" s="221" t="s">
        <v>219</v>
      </c>
      <c r="C433" s="222" t="s">
        <v>119</v>
      </c>
      <c r="D433" s="218">
        <v>6</v>
      </c>
    </row>
    <row r="434" spans="1:4" s="57" customFormat="1" ht="14.15" customHeight="1" x14ac:dyDescent="0.25">
      <c r="A434" s="3" t="str">
        <f>IF(C434="","",(VLOOKUP($C434,KEY!$B$5:$D$74,3,FALSE)))</f>
        <v>Arizona</v>
      </c>
      <c r="B434" s="221" t="s">
        <v>219</v>
      </c>
      <c r="C434" s="222" t="s">
        <v>120</v>
      </c>
      <c r="D434" s="218">
        <v>41</v>
      </c>
    </row>
    <row r="435" spans="1:4" s="57" customFormat="1" ht="14.15" customHeight="1" x14ac:dyDescent="0.25">
      <c r="A435" s="3" t="str">
        <f>IF(C435="","",(VLOOKUP($C435,KEY!$B$5:$D$74,3,FALSE)))</f>
        <v>Texas</v>
      </c>
      <c r="B435" s="221" t="s">
        <v>219</v>
      </c>
      <c r="C435" s="222" t="s">
        <v>121</v>
      </c>
      <c r="D435" s="218">
        <v>29</v>
      </c>
    </row>
    <row r="436" spans="1:4" s="57" customFormat="1" ht="14.15" customHeight="1" x14ac:dyDescent="0.25">
      <c r="A436" s="3" t="str">
        <f>IF(C436="","",(VLOOKUP($C436,KEY!$B$5:$D$74,3,FALSE)))</f>
        <v>Southern California</v>
      </c>
      <c r="B436" s="221" t="s">
        <v>219</v>
      </c>
      <c r="C436" s="222" t="s">
        <v>122</v>
      </c>
      <c r="D436" s="218">
        <v>16</v>
      </c>
    </row>
    <row r="437" spans="1:4" s="57" customFormat="1" ht="14.15" customHeight="1" x14ac:dyDescent="0.25">
      <c r="A437" s="3" t="str">
        <f>IF(C437="","",(VLOOKUP($C437,KEY!$B$5:$D$74,3,FALSE)))</f>
        <v>Orange County</v>
      </c>
      <c r="B437" s="221" t="s">
        <v>219</v>
      </c>
      <c r="C437" s="222" t="s">
        <v>123</v>
      </c>
      <c r="D437" s="218">
        <v>21</v>
      </c>
    </row>
    <row r="438" spans="1:4" s="57" customFormat="1" ht="14.15" customHeight="1" x14ac:dyDescent="0.25">
      <c r="A438" s="3" t="str">
        <f>IF(C438="","",(VLOOKUP($C438,KEY!$B$5:$D$74,3,FALSE)))</f>
        <v>Southern California</v>
      </c>
      <c r="B438" s="221" t="s">
        <v>219</v>
      </c>
      <c r="C438" s="222" t="s">
        <v>124</v>
      </c>
      <c r="D438" s="218">
        <v>20</v>
      </c>
    </row>
    <row r="439" spans="1:4" s="57" customFormat="1" ht="14.15" customHeight="1" x14ac:dyDescent="0.25">
      <c r="A439" s="3" t="str">
        <f>IF(C439="","",(VLOOKUP($C439,KEY!$B$5:$D$74,3,FALSE)))</f>
        <v>Northern California</v>
      </c>
      <c r="B439" s="221" t="s">
        <v>219</v>
      </c>
      <c r="C439" s="222" t="s">
        <v>195</v>
      </c>
      <c r="D439" s="218">
        <v>11</v>
      </c>
    </row>
    <row r="440" spans="1:4" s="57" customFormat="1" ht="14.15" customHeight="1" x14ac:dyDescent="0.25">
      <c r="A440" s="3" t="str">
        <f>IF(C440="","",(VLOOKUP($C440,KEY!$B$5:$D$74,3,FALSE)))</f>
        <v>Northern California</v>
      </c>
      <c r="B440" s="221" t="s">
        <v>219</v>
      </c>
      <c r="C440" s="222" t="s">
        <v>125</v>
      </c>
      <c r="D440" s="218">
        <v>33</v>
      </c>
    </row>
    <row r="441" spans="1:4" s="57" customFormat="1" ht="14.15" customHeight="1" x14ac:dyDescent="0.25">
      <c r="A441" s="3" t="str">
        <f>IF(C441="","",(VLOOKUP($C441,KEY!$B$5:$D$74,3,FALSE)))</f>
        <v>Orange County</v>
      </c>
      <c r="B441" s="221" t="s">
        <v>219</v>
      </c>
      <c r="C441" s="222" t="s">
        <v>126</v>
      </c>
      <c r="D441" s="218">
        <v>50</v>
      </c>
    </row>
    <row r="442" spans="1:4" s="57" customFormat="1" ht="14.15" customHeight="1" x14ac:dyDescent="0.25">
      <c r="A442" s="3" t="str">
        <f>IF(C442="","",(VLOOKUP($C442,KEY!$B$5:$D$74,3,FALSE)))</f>
        <v>Orange County</v>
      </c>
      <c r="B442" s="221" t="s">
        <v>219</v>
      </c>
      <c r="C442" s="222" t="s">
        <v>127</v>
      </c>
      <c r="D442" s="218">
        <v>12</v>
      </c>
    </row>
    <row r="443" spans="1:4" s="57" customFormat="1" ht="14.15" customHeight="1" x14ac:dyDescent="0.25">
      <c r="A443" s="3" t="str">
        <f>IF(C443="","",(VLOOKUP($C443,KEY!$B$5:$D$74,3,FALSE)))</f>
        <v>Texas</v>
      </c>
      <c r="B443" s="221" t="s">
        <v>219</v>
      </c>
      <c r="C443" s="222" t="s">
        <v>198</v>
      </c>
      <c r="D443" s="218">
        <v>0</v>
      </c>
    </row>
    <row r="444" spans="1:4" s="57" customFormat="1" ht="14.15" customHeight="1" x14ac:dyDescent="0.25">
      <c r="A444" s="3" t="str">
        <f>IF(C444="","",(VLOOKUP($C444,KEY!$B$5:$D$74,3,FALSE)))</f>
        <v>Texas</v>
      </c>
      <c r="B444" s="221" t="s">
        <v>219</v>
      </c>
      <c r="C444" s="222" t="s">
        <v>128</v>
      </c>
      <c r="D444" s="218">
        <v>61</v>
      </c>
    </row>
    <row r="445" spans="1:4" s="57" customFormat="1" ht="14.15" customHeight="1" x14ac:dyDescent="0.25">
      <c r="A445" s="3" t="str">
        <f>IF(C445="","",(VLOOKUP($C445,KEY!$B$5:$D$74,3,FALSE)))</f>
        <v>Northern California</v>
      </c>
      <c r="B445" s="221" t="s">
        <v>219</v>
      </c>
      <c r="C445" s="222" t="s">
        <v>129</v>
      </c>
      <c r="D445" s="218">
        <v>22</v>
      </c>
    </row>
    <row r="446" spans="1:4" s="57" customFormat="1" ht="14.15" customHeight="1" x14ac:dyDescent="0.25">
      <c r="A446" s="3" t="str">
        <f>IF(C446="","",(VLOOKUP($C446,KEY!$B$5:$D$74,3,FALSE)))</f>
        <v>Southern California</v>
      </c>
      <c r="B446" s="221" t="s">
        <v>219</v>
      </c>
      <c r="C446" s="222" t="s">
        <v>130</v>
      </c>
      <c r="D446" s="218">
        <v>8</v>
      </c>
    </row>
    <row r="447" spans="1:4" s="57" customFormat="1" ht="14.15" customHeight="1" x14ac:dyDescent="0.25">
      <c r="A447" s="3">
        <f>IF(C447="","",(VLOOKUP($C447,KEY!$B$5:$D$74,3,FALSE)))</f>
        <v>0</v>
      </c>
      <c r="B447" s="221" t="s">
        <v>219</v>
      </c>
      <c r="C447" s="222" t="s">
        <v>131</v>
      </c>
      <c r="D447" s="218">
        <v>88</v>
      </c>
    </row>
    <row r="448" spans="1:4" s="57" customFormat="1" ht="14.15" customHeight="1" x14ac:dyDescent="0.25">
      <c r="A448" s="3" t="e">
        <f>IF(C448="","",(VLOOKUP($C448,KEY!$B$5:$D$74,3,FALSE)))</f>
        <v>#N/A</v>
      </c>
      <c r="B448" s="221" t="s">
        <v>219</v>
      </c>
      <c r="C448" s="222" t="s">
        <v>134</v>
      </c>
      <c r="D448" s="218">
        <v>6</v>
      </c>
    </row>
    <row r="449" spans="1:4" s="57" customFormat="1" ht="14.15" customHeight="1" x14ac:dyDescent="0.25">
      <c r="A449" s="3" t="str">
        <f>IF(C449="","",(VLOOKUP($C449,KEY!$B$5:$D$74,3,FALSE)))</f>
        <v>Southern California</v>
      </c>
      <c r="B449" s="221" t="s">
        <v>219</v>
      </c>
      <c r="C449" s="222" t="s">
        <v>135</v>
      </c>
      <c r="D449" s="218">
        <v>27</v>
      </c>
    </row>
    <row r="450" spans="1:4" s="57" customFormat="1" ht="14.15" customHeight="1" x14ac:dyDescent="0.25">
      <c r="A450" s="3" t="str">
        <f>IF(C450="","",(VLOOKUP($C450,KEY!$B$5:$D$74,3,FALSE)))</f>
        <v>Arizona</v>
      </c>
      <c r="B450" s="221" t="s">
        <v>219</v>
      </c>
      <c r="C450" s="222" t="s">
        <v>196</v>
      </c>
      <c r="D450" s="218">
        <v>9</v>
      </c>
    </row>
    <row r="451" spans="1:4" s="57" customFormat="1" ht="14.15" customHeight="1" x14ac:dyDescent="0.25">
      <c r="A451" s="3" t="str">
        <f>IF(C451="","",(VLOOKUP($C451,KEY!$B$5:$D$74,3,FALSE)))</f>
        <v>Arizona</v>
      </c>
      <c r="B451" s="221" t="s">
        <v>219</v>
      </c>
      <c r="C451" s="222" t="s">
        <v>197</v>
      </c>
      <c r="D451" s="218">
        <v>16</v>
      </c>
    </row>
    <row r="452" spans="1:4" s="57" customFormat="1" ht="14.15" customHeight="1" x14ac:dyDescent="0.25">
      <c r="A452" s="3" t="str">
        <f>IF(C452="","",(VLOOKUP($C452,KEY!$B$5:$D$74,3,FALSE)))</f>
        <v>Texas</v>
      </c>
      <c r="B452" s="221" t="s">
        <v>219</v>
      </c>
      <c r="C452" s="222" t="s">
        <v>136</v>
      </c>
      <c r="D452" s="218">
        <v>27</v>
      </c>
    </row>
    <row r="453" spans="1:4" s="57" customFormat="1" ht="14.15" customHeight="1" x14ac:dyDescent="0.25">
      <c r="A453" s="3" t="str">
        <f>IF(C453="","",(VLOOKUP($C453,KEY!$B$5:$D$74,3,FALSE)))</f>
        <v>Arizona</v>
      </c>
      <c r="B453" s="221" t="s">
        <v>219</v>
      </c>
      <c r="C453" s="222" t="s">
        <v>137</v>
      </c>
      <c r="D453" s="218">
        <v>12</v>
      </c>
    </row>
    <row r="454" spans="1:4" s="57" customFormat="1" ht="14.15" customHeight="1" x14ac:dyDescent="0.25">
      <c r="A454" s="3" t="str">
        <f>IF(C454="","",(VLOOKUP($C454,KEY!$B$5:$D$74,3,FALSE)))</f>
        <v>Texas</v>
      </c>
      <c r="B454" s="221" t="s">
        <v>219</v>
      </c>
      <c r="C454" s="222" t="s">
        <v>138</v>
      </c>
      <c r="D454" s="218">
        <v>13</v>
      </c>
    </row>
    <row r="455" spans="1:4" s="57" customFormat="1" ht="14.15" customHeight="1" x14ac:dyDescent="0.25">
      <c r="A455" s="3" t="str">
        <f>IF(C455="","",(VLOOKUP($C455,KEY!$B$5:$D$74,3,FALSE)))</f>
        <v>Southern California</v>
      </c>
      <c r="B455" s="221" t="s">
        <v>219</v>
      </c>
      <c r="C455" s="222" t="s">
        <v>139</v>
      </c>
      <c r="D455" s="218">
        <v>26</v>
      </c>
    </row>
    <row r="456" spans="1:4" s="57" customFormat="1" ht="14.15" customHeight="1" x14ac:dyDescent="0.25">
      <c r="A456" s="3" t="str">
        <f>IF(C456="","",(VLOOKUP($C456,KEY!$B$5:$D$74,3,FALSE)))</f>
        <v>Orange County</v>
      </c>
      <c r="B456" s="221" t="s">
        <v>219</v>
      </c>
      <c r="C456" s="222" t="s">
        <v>140</v>
      </c>
      <c r="D456" s="218">
        <v>4</v>
      </c>
    </row>
    <row r="457" spans="1:4" s="57" customFormat="1" ht="14.15" customHeight="1" x14ac:dyDescent="0.25">
      <c r="A457" s="3" t="str">
        <f>IF(C457="","",(VLOOKUP($C457,KEY!$B$5:$D$74,3,FALSE)))</f>
        <v>Southern California</v>
      </c>
      <c r="B457" s="221" t="s">
        <v>219</v>
      </c>
      <c r="C457" s="222" t="s">
        <v>142</v>
      </c>
      <c r="D457" s="218">
        <v>5</v>
      </c>
    </row>
    <row r="458" spans="1:4" s="57" customFormat="1" ht="14.15" customHeight="1" x14ac:dyDescent="0.25">
      <c r="A458" s="3" t="str">
        <f>IF(C458="","",(VLOOKUP($C458,KEY!$B$5:$D$74,3,FALSE)))</f>
        <v>Arizona</v>
      </c>
      <c r="B458" s="221" t="s">
        <v>219</v>
      </c>
      <c r="C458" s="222" t="s">
        <v>143</v>
      </c>
      <c r="D458" s="218">
        <v>10</v>
      </c>
    </row>
    <row r="459" spans="1:4" s="57" customFormat="1" ht="14.15" customHeight="1" x14ac:dyDescent="0.25">
      <c r="A459" s="3" t="str">
        <f>IF(C459="","",(VLOOKUP($C459,KEY!$B$5:$D$74,3,FALSE)))</f>
        <v>Arizona</v>
      </c>
      <c r="B459" s="221" t="s">
        <v>219</v>
      </c>
      <c r="C459" s="222" t="s">
        <v>144</v>
      </c>
      <c r="D459" s="218">
        <v>18</v>
      </c>
    </row>
    <row r="460" spans="1:4" s="57" customFormat="1" ht="14.15" customHeight="1" x14ac:dyDescent="0.25">
      <c r="A460" s="3" t="str">
        <f>IF(C460="","",(VLOOKUP($C460,KEY!$B$5:$D$74,3,FALSE)))</f>
        <v>Southern California</v>
      </c>
      <c r="B460" s="221" t="s">
        <v>219</v>
      </c>
      <c r="C460" s="222" t="s">
        <v>145</v>
      </c>
      <c r="D460" s="218">
        <v>24</v>
      </c>
    </row>
    <row r="461" spans="1:4" s="57" customFormat="1" ht="14.15" customHeight="1" x14ac:dyDescent="0.25">
      <c r="A461" s="3" t="str">
        <f>IF(C461="","",(VLOOKUP($C461,KEY!$B$5:$D$74,3,FALSE)))</f>
        <v>Arizona</v>
      </c>
      <c r="B461" s="221" t="s">
        <v>219</v>
      </c>
      <c r="C461" s="222" t="s">
        <v>146</v>
      </c>
      <c r="D461" s="218">
        <v>1</v>
      </c>
    </row>
    <row r="462" spans="1:4" s="57" customFormat="1" ht="14.15" customHeight="1" x14ac:dyDescent="0.25">
      <c r="A462" s="3" t="str">
        <f>IF(C462="","",(VLOOKUP($C462,KEY!$B$5:$D$74,3,FALSE)))</f>
        <v>Texas</v>
      </c>
      <c r="B462" s="221" t="s">
        <v>219</v>
      </c>
      <c r="C462" s="222" t="s">
        <v>147</v>
      </c>
      <c r="D462" s="218">
        <v>4</v>
      </c>
    </row>
    <row r="463" spans="1:4" s="57" customFormat="1" ht="14.15" customHeight="1" x14ac:dyDescent="0.25">
      <c r="A463" s="3" t="str">
        <f>IF(C463="","",(VLOOKUP($C463,KEY!$B$5:$D$74,3,FALSE)))</f>
        <v>Northern California</v>
      </c>
      <c r="B463" s="221" t="s">
        <v>219</v>
      </c>
      <c r="C463" s="222" t="s">
        <v>148</v>
      </c>
      <c r="D463" s="218">
        <v>9</v>
      </c>
    </row>
    <row r="464" spans="1:4" s="57" customFormat="1" ht="14.15" customHeight="1" x14ac:dyDescent="0.25">
      <c r="A464" s="3" t="str">
        <f>IF(C464="","",(VLOOKUP($C464,KEY!$B$5:$D$74,3,FALSE)))</f>
        <v>Orange County</v>
      </c>
      <c r="B464" s="221" t="s">
        <v>219</v>
      </c>
      <c r="C464" s="222" t="s">
        <v>149</v>
      </c>
      <c r="D464" s="218">
        <v>9</v>
      </c>
    </row>
    <row r="465" spans="1:4" s="57" customFormat="1" ht="14.15" customHeight="1" x14ac:dyDescent="0.25">
      <c r="A465" s="3" t="str">
        <f>IF(C465="","",(VLOOKUP($C465,KEY!$B$5:$D$74,3,FALSE)))</f>
        <v>Southern California</v>
      </c>
      <c r="B465" s="221" t="s">
        <v>219</v>
      </c>
      <c r="C465" s="222" t="s">
        <v>150</v>
      </c>
      <c r="D465" s="218">
        <v>5</v>
      </c>
    </row>
    <row r="466" spans="1:4" s="57" customFormat="1" ht="14.15" customHeight="1" x14ac:dyDescent="0.25">
      <c r="A466" s="3" t="str">
        <f>IF(C466="","",(VLOOKUP($C466,KEY!$B$5:$D$74,3,FALSE)))</f>
        <v>Arizona</v>
      </c>
      <c r="B466" s="221" t="s">
        <v>219</v>
      </c>
      <c r="C466" s="222" t="s">
        <v>151</v>
      </c>
      <c r="D466" s="218">
        <v>14</v>
      </c>
    </row>
    <row r="467" spans="1:4" s="57" customFormat="1" ht="14.15" customHeight="1" x14ac:dyDescent="0.25">
      <c r="A467" s="3" t="str">
        <f>IF(C467="","",(VLOOKUP($C467,KEY!$B$5:$D$74,3,FALSE)))</f>
        <v>Northern California</v>
      </c>
      <c r="B467" s="221" t="s">
        <v>219</v>
      </c>
      <c r="C467" s="222" t="s">
        <v>152</v>
      </c>
      <c r="D467" s="218">
        <v>15</v>
      </c>
    </row>
    <row r="468" spans="1:4" s="57" customFormat="1" ht="14.15" customHeight="1" x14ac:dyDescent="0.25">
      <c r="A468" s="3" t="str">
        <f>IF(C468="","",(VLOOKUP($C468,KEY!$B$5:$D$74,3,FALSE)))</f>
        <v>Arizona</v>
      </c>
      <c r="B468" s="221" t="s">
        <v>219</v>
      </c>
      <c r="C468" s="222" t="s">
        <v>153</v>
      </c>
      <c r="D468" s="218">
        <v>32</v>
      </c>
    </row>
    <row r="469" spans="1:4" s="57" customFormat="1" ht="14.15" customHeight="1" x14ac:dyDescent="0.25">
      <c r="A469" s="3" t="str">
        <f>IF(C469="","",(VLOOKUP($C469,KEY!$B$5:$D$74,3,FALSE)))</f>
        <v>Northern California</v>
      </c>
      <c r="B469" s="221" t="s">
        <v>219</v>
      </c>
      <c r="C469" s="222" t="s">
        <v>154</v>
      </c>
      <c r="D469" s="218">
        <v>15</v>
      </c>
    </row>
    <row r="470" spans="1:4" s="57" customFormat="1" ht="14.15" customHeight="1" x14ac:dyDescent="0.25">
      <c r="A470" s="3" t="str">
        <f>IF(C470="","",(VLOOKUP($C470,KEY!$B$5:$D$74,3,FALSE)))</f>
        <v>Texas</v>
      </c>
      <c r="B470" s="221" t="s">
        <v>219</v>
      </c>
      <c r="C470" s="222" t="s">
        <v>155</v>
      </c>
      <c r="D470" s="218">
        <v>34</v>
      </c>
    </row>
    <row r="471" spans="1:4" s="57" customFormat="1" ht="14.15" customHeight="1" x14ac:dyDescent="0.25">
      <c r="A471" s="3" t="str">
        <f>IF(C471="","",(VLOOKUP($C471,KEY!$B$5:$D$74,3,FALSE)))</f>
        <v>Texas</v>
      </c>
      <c r="B471" s="221" t="s">
        <v>219</v>
      </c>
      <c r="C471" s="222" t="s">
        <v>156</v>
      </c>
      <c r="D471" s="218">
        <v>32</v>
      </c>
    </row>
    <row r="472" spans="1:4" s="57" customFormat="1" ht="14.15" customHeight="1" x14ac:dyDescent="0.25">
      <c r="A472" s="3" t="str">
        <f>IF(C472="","",(VLOOKUP($C472,KEY!$B$5:$D$74,3,FALSE)))</f>
        <v>Texas</v>
      </c>
      <c r="B472" s="221" t="s">
        <v>219</v>
      </c>
      <c r="C472" s="222" t="s">
        <v>157</v>
      </c>
      <c r="D472" s="218">
        <v>75</v>
      </c>
    </row>
    <row r="473" spans="1:4" s="57" customFormat="1" ht="14.15" customHeight="1" x14ac:dyDescent="0.25">
      <c r="A473" s="3" t="str">
        <f>IF(C473="","",(VLOOKUP($C473,KEY!$B$5:$D$74,3,FALSE)))</f>
        <v>Arizona</v>
      </c>
      <c r="B473" s="221" t="s">
        <v>219</v>
      </c>
      <c r="C473" s="222" t="s">
        <v>158</v>
      </c>
      <c r="D473" s="218">
        <v>4</v>
      </c>
    </row>
    <row r="474" spans="1:4" s="57" customFormat="1" ht="14.15" customHeight="1" x14ac:dyDescent="0.25">
      <c r="A474" s="3" t="str">
        <f>IF(C474="","",(VLOOKUP($C474,KEY!$B$5:$D$74,3,FALSE)))</f>
        <v>Orange County</v>
      </c>
      <c r="B474" s="221" t="s">
        <v>219</v>
      </c>
      <c r="C474" s="222" t="s">
        <v>159</v>
      </c>
      <c r="D474" s="218">
        <v>22</v>
      </c>
    </row>
    <row r="475" spans="1:4" s="57" customFormat="1" ht="14.15" customHeight="1" x14ac:dyDescent="0.25">
      <c r="A475" s="3" t="str">
        <f>IF(C475="","",(VLOOKUP($C475,KEY!$B$5:$D$74,3,FALSE)))</f>
        <v>Arizona</v>
      </c>
      <c r="B475" s="221" t="s">
        <v>219</v>
      </c>
      <c r="C475" s="222" t="s">
        <v>160</v>
      </c>
      <c r="D475" s="218">
        <v>18</v>
      </c>
    </row>
    <row r="476" spans="1:4" s="57" customFormat="1" ht="14.15" customHeight="1" x14ac:dyDescent="0.25">
      <c r="A476" s="3" t="str">
        <f>IF(C476="","",(VLOOKUP($C476,KEY!$B$5:$D$74,3,FALSE)))</f>
        <v>Northern California</v>
      </c>
      <c r="B476" s="221" t="s">
        <v>219</v>
      </c>
      <c r="C476" s="222" t="s">
        <v>161</v>
      </c>
      <c r="D476" s="218">
        <v>29</v>
      </c>
    </row>
    <row r="477" spans="1:4" s="57" customFormat="1" ht="14.15" customHeight="1" x14ac:dyDescent="0.25">
      <c r="A477" s="3" t="e">
        <f>IF(C477="","",(VLOOKUP($C477,KEY!$B$5:$D$74,3,FALSE)))</f>
        <v>#N/A</v>
      </c>
      <c r="B477" s="221" t="s">
        <v>219</v>
      </c>
      <c r="C477" s="222" t="s">
        <v>162</v>
      </c>
      <c r="D477" s="218">
        <v>18</v>
      </c>
    </row>
    <row r="478" spans="1:4" s="57" customFormat="1" ht="14.15" customHeight="1" x14ac:dyDescent="0.25">
      <c r="A478" s="3" t="str">
        <f>IF(C478="","",(VLOOKUP($C478,KEY!$B$5:$D$74,3,FALSE)))</f>
        <v>Arizona</v>
      </c>
      <c r="B478" s="221" t="s">
        <v>219</v>
      </c>
      <c r="C478" s="222" t="s">
        <v>163</v>
      </c>
      <c r="D478" s="218">
        <v>25</v>
      </c>
    </row>
    <row r="479" spans="1:4" s="57" customFormat="1" ht="14.15" customHeight="1" x14ac:dyDescent="0.25">
      <c r="A479" s="3" t="str">
        <f>IF(C479="","",(VLOOKUP($C479,KEY!$B$5:$D$74,3,FALSE)))</f>
        <v>Arizona</v>
      </c>
      <c r="B479" s="221" t="s">
        <v>219</v>
      </c>
      <c r="C479" s="222" t="s">
        <v>164</v>
      </c>
      <c r="D479" s="218">
        <v>12</v>
      </c>
    </row>
    <row r="480" spans="1:4" s="57" customFormat="1" ht="14.15" customHeight="1" x14ac:dyDescent="0.25">
      <c r="A480" s="3" t="str">
        <f>IF(C480="","",(VLOOKUP($C480,KEY!$B$5:$D$74,3,FALSE)))</f>
        <v>Orange County</v>
      </c>
      <c r="B480" s="221" t="s">
        <v>219</v>
      </c>
      <c r="C480" s="222" t="s">
        <v>165</v>
      </c>
      <c r="D480" s="218">
        <v>13</v>
      </c>
    </row>
    <row r="481" spans="1:4" s="57" customFormat="1" ht="14.15" customHeight="1" x14ac:dyDescent="0.25">
      <c r="A481" s="3" t="str">
        <f>IF(C481="","",(VLOOKUP($C481,KEY!$B$5:$D$74,3,FALSE)))</f>
        <v/>
      </c>
      <c r="B481" s="221" t="s">
        <v>219</v>
      </c>
      <c r="C481" s="222"/>
      <c r="D481" s="218"/>
    </row>
    <row r="482" spans="1:4" s="57" customFormat="1" ht="14.15" customHeight="1" x14ac:dyDescent="0.25">
      <c r="A482" s="3" t="str">
        <f>IF(C482="","",(VLOOKUP($C482,KEY!$B$5:$D$74,3,FALSE)))</f>
        <v/>
      </c>
      <c r="B482" s="221" t="s">
        <v>219</v>
      </c>
      <c r="C482" s="222"/>
      <c r="D482" s="218"/>
    </row>
    <row r="483" spans="1:4" s="57" customFormat="1" ht="14.15" customHeight="1" x14ac:dyDescent="0.25">
      <c r="A483" s="3" t="str">
        <f>IF(C483="","",(VLOOKUP($C483,KEY!$B$5:$D$74,3,FALSE)))</f>
        <v/>
      </c>
      <c r="B483" s="221" t="s">
        <v>219</v>
      </c>
      <c r="C483" s="222"/>
      <c r="D483" s="218"/>
    </row>
    <row r="484" spans="1:4" s="57" customFormat="1" ht="14.15" customHeight="1" x14ac:dyDescent="0.25">
      <c r="A484" s="3" t="str">
        <f>IF(C484="","",(VLOOKUP($C484,KEY!$B$5:$D$74,3,FALSE)))</f>
        <v/>
      </c>
      <c r="B484" s="221" t="s">
        <v>219</v>
      </c>
      <c r="C484" s="222"/>
      <c r="D484" s="218"/>
    </row>
    <row r="485" spans="1:4" s="57" customFormat="1" ht="14.15" customHeight="1" x14ac:dyDescent="0.25">
      <c r="A485" s="3" t="str">
        <f>IF(C485="","",(VLOOKUP($C485,KEY!$B$5:$D$74,3,FALSE)))</f>
        <v/>
      </c>
      <c r="B485" s="221" t="s">
        <v>219</v>
      </c>
      <c r="C485" s="222"/>
      <c r="D485" s="218"/>
    </row>
    <row r="486" spans="1:4" s="57" customFormat="1" ht="14.15" customHeight="1" x14ac:dyDescent="0.25">
      <c r="A486" s="3" t="str">
        <f>IF(C486="","",(VLOOKUP($C486,KEY!$B$5:$D$74,3,FALSE)))</f>
        <v/>
      </c>
      <c r="B486" s="221" t="s">
        <v>219</v>
      </c>
      <c r="C486" s="222"/>
      <c r="D486" s="218"/>
    </row>
    <row r="487" spans="1:4" s="57" customFormat="1" ht="14.15" customHeight="1" x14ac:dyDescent="0.25">
      <c r="A487" s="3" t="str">
        <f>IF(C487="","",(VLOOKUP($C487,KEY!$B$5:$D$74,3,FALSE)))</f>
        <v/>
      </c>
      <c r="B487" s="221" t="s">
        <v>219</v>
      </c>
      <c r="C487" s="222"/>
      <c r="D487" s="218"/>
    </row>
    <row r="488" spans="1:4" s="57" customFormat="1" ht="14.15" customHeight="1" x14ac:dyDescent="0.25">
      <c r="A488" s="3" t="str">
        <f>IF(C488="","",(VLOOKUP($C488,KEY!$B$5:$D$74,3,FALSE)))</f>
        <v/>
      </c>
      <c r="B488" s="221" t="s">
        <v>219</v>
      </c>
      <c r="C488" s="222"/>
      <c r="D488" s="218"/>
    </row>
    <row r="489" spans="1:4" s="57" customFormat="1" ht="14.15" customHeight="1" x14ac:dyDescent="0.25">
      <c r="A489" s="3" t="str">
        <f>IF(C489="","",(VLOOKUP($C489,KEY!$B$5:$D$74,3,FALSE)))</f>
        <v/>
      </c>
      <c r="B489" s="221" t="s">
        <v>219</v>
      </c>
      <c r="C489" s="222"/>
      <c r="D489" s="218"/>
    </row>
    <row r="490" spans="1:4" s="57" customFormat="1" ht="14.15" customHeight="1" x14ac:dyDescent="0.25">
      <c r="A490" s="3" t="str">
        <f>IF(C490="","",(VLOOKUP($C490,KEY!$B$5:$D$74,3,FALSE)))</f>
        <v/>
      </c>
      <c r="B490" s="221" t="s">
        <v>219</v>
      </c>
      <c r="C490" s="222"/>
      <c r="D490" s="218"/>
    </row>
    <row r="491" spans="1:4" s="57" customFormat="1" ht="14.15" customHeight="1" x14ac:dyDescent="0.25">
      <c r="A491" s="3" t="str">
        <f>IF(C491="","",(VLOOKUP($C491,KEY!$B$5:$D$74,3,FALSE)))</f>
        <v/>
      </c>
      <c r="B491" s="221" t="s">
        <v>219</v>
      </c>
      <c r="C491" s="222"/>
      <c r="D491" s="218"/>
    </row>
    <row r="492" spans="1:4" s="57" customFormat="1" ht="14.15" customHeight="1" x14ac:dyDescent="0.25">
      <c r="A492" s="3" t="str">
        <f>IF(C492="","",(VLOOKUP($C492,KEY!$B$5:$D$74,3,FALSE)))</f>
        <v/>
      </c>
      <c r="B492" s="221" t="s">
        <v>219</v>
      </c>
      <c r="C492" s="222"/>
      <c r="D492" s="218"/>
    </row>
    <row r="493" spans="1:4" s="57" customFormat="1" ht="14.15" customHeight="1" x14ac:dyDescent="0.25">
      <c r="A493" s="3" t="str">
        <f>IF(C493="","",(VLOOKUP($C493,KEY!$B$5:$D$74,3,FALSE)))</f>
        <v/>
      </c>
      <c r="B493" s="221" t="s">
        <v>219</v>
      </c>
      <c r="C493" s="222"/>
      <c r="D493" s="218"/>
    </row>
    <row r="494" spans="1:4" s="57" customFormat="1" ht="14.15" customHeight="1" x14ac:dyDescent="0.25">
      <c r="A494" s="3" t="str">
        <f>IF(C494="","",(VLOOKUP($C494,KEY!$B$5:$D$74,3,FALSE)))</f>
        <v/>
      </c>
      <c r="B494" s="402" t="s">
        <v>219</v>
      </c>
      <c r="C494" s="403"/>
      <c r="D494" s="404"/>
    </row>
    <row r="495" spans="1:4" s="57" customFormat="1" ht="14.15" customHeight="1" x14ac:dyDescent="0.25">
      <c r="A495" s="3" t="str">
        <f>IF(C495="","",(VLOOKUP($C495,KEY!$B$5:$D$74,3,FALSE)))</f>
        <v>Arizona</v>
      </c>
      <c r="B495" s="221" t="s">
        <v>220</v>
      </c>
      <c r="C495" s="222" t="s">
        <v>111</v>
      </c>
      <c r="D495" s="218">
        <v>10</v>
      </c>
    </row>
    <row r="496" spans="1:4" s="57" customFormat="1" ht="14.15" customHeight="1" x14ac:dyDescent="0.25">
      <c r="A496" s="3" t="str">
        <f>IF(C496="","",(VLOOKUP($C496,KEY!$B$5:$D$74,3,FALSE)))</f>
        <v>Southern California</v>
      </c>
      <c r="B496" s="221" t="s">
        <v>220</v>
      </c>
      <c r="C496" s="222" t="s">
        <v>112</v>
      </c>
      <c r="D496" s="218">
        <v>7</v>
      </c>
    </row>
    <row r="497" spans="1:4" s="57" customFormat="1" ht="14.15" customHeight="1" x14ac:dyDescent="0.25">
      <c r="A497" s="3" t="str">
        <f>IF(C497="","",(VLOOKUP($C497,KEY!$B$5:$D$74,3,FALSE)))</f>
        <v>Arizona</v>
      </c>
      <c r="B497" s="221" t="s">
        <v>220</v>
      </c>
      <c r="C497" s="222" t="s">
        <v>113</v>
      </c>
      <c r="D497" s="218">
        <v>20</v>
      </c>
    </row>
    <row r="498" spans="1:4" s="57" customFormat="1" ht="14.15" customHeight="1" x14ac:dyDescent="0.25">
      <c r="A498" s="3" t="str">
        <f>IF(C498="","",(VLOOKUP($C498,KEY!$B$5:$D$74,3,FALSE)))</f>
        <v>Southern California</v>
      </c>
      <c r="B498" s="221" t="s">
        <v>220</v>
      </c>
      <c r="C498" s="222" t="s">
        <v>114</v>
      </c>
      <c r="D498" s="218">
        <v>7</v>
      </c>
    </row>
    <row r="499" spans="1:4" s="57" customFormat="1" ht="14.15" customHeight="1" x14ac:dyDescent="0.25">
      <c r="A499" s="3" t="str">
        <f>IF(C499="","",(VLOOKUP($C499,KEY!$B$5:$D$74,3,FALSE)))</f>
        <v>Orange County</v>
      </c>
      <c r="B499" s="221" t="s">
        <v>220</v>
      </c>
      <c r="C499" s="222" t="s">
        <v>115</v>
      </c>
      <c r="D499" s="218">
        <v>5</v>
      </c>
    </row>
    <row r="500" spans="1:4" s="57" customFormat="1" ht="14.15" customHeight="1" x14ac:dyDescent="0.25">
      <c r="A500" s="3" t="str">
        <f>IF(C500="","",(VLOOKUP($C500,KEY!$B$5:$D$74,3,FALSE)))</f>
        <v>Arizona</v>
      </c>
      <c r="B500" s="221" t="s">
        <v>220</v>
      </c>
      <c r="C500" s="222" t="s">
        <v>116</v>
      </c>
      <c r="D500" s="218">
        <v>18</v>
      </c>
    </row>
    <row r="501" spans="1:4" s="57" customFormat="1" ht="14.15" customHeight="1" x14ac:dyDescent="0.25">
      <c r="A501" s="3" t="str">
        <f>IF(C501="","",(VLOOKUP($C501,KEY!$B$5:$D$74,3,FALSE)))</f>
        <v>Northern California</v>
      </c>
      <c r="B501" s="221" t="s">
        <v>220</v>
      </c>
      <c r="C501" s="222" t="s">
        <v>118</v>
      </c>
      <c r="D501" s="218">
        <v>15</v>
      </c>
    </row>
    <row r="502" spans="1:4" s="57" customFormat="1" ht="14.15" customHeight="1" x14ac:dyDescent="0.25">
      <c r="A502" s="3" t="str">
        <f>IF(C502="","",(VLOOKUP($C502,KEY!$B$5:$D$74,3,FALSE)))</f>
        <v>Orange County</v>
      </c>
      <c r="B502" s="221" t="s">
        <v>220</v>
      </c>
      <c r="C502" s="222" t="s">
        <v>117</v>
      </c>
      <c r="D502" s="218">
        <v>8</v>
      </c>
    </row>
    <row r="503" spans="1:4" s="57" customFormat="1" ht="14.15" customHeight="1" x14ac:dyDescent="0.25">
      <c r="A503" s="3" t="str">
        <f>IF(C503="","",(VLOOKUP($C503,KEY!$B$5:$D$74,3,FALSE)))</f>
        <v>Arizona</v>
      </c>
      <c r="B503" s="221" t="s">
        <v>220</v>
      </c>
      <c r="C503" s="222" t="s">
        <v>119</v>
      </c>
      <c r="D503" s="218">
        <v>11</v>
      </c>
    </row>
    <row r="504" spans="1:4" s="57" customFormat="1" ht="14.15" customHeight="1" x14ac:dyDescent="0.25">
      <c r="A504" s="3" t="str">
        <f>IF(C504="","",(VLOOKUP($C504,KEY!$B$5:$D$74,3,FALSE)))</f>
        <v>Arizona</v>
      </c>
      <c r="B504" s="221" t="s">
        <v>220</v>
      </c>
      <c r="C504" s="222" t="s">
        <v>120</v>
      </c>
      <c r="D504" s="218">
        <v>37</v>
      </c>
    </row>
    <row r="505" spans="1:4" s="57" customFormat="1" ht="14.15" customHeight="1" x14ac:dyDescent="0.25">
      <c r="A505" s="3" t="str">
        <f>IF(C505="","",(VLOOKUP($C505,KEY!$B$5:$D$74,3,FALSE)))</f>
        <v>Texas</v>
      </c>
      <c r="B505" s="221" t="s">
        <v>220</v>
      </c>
      <c r="C505" s="222" t="s">
        <v>121</v>
      </c>
      <c r="D505" s="218">
        <v>24</v>
      </c>
    </row>
    <row r="506" spans="1:4" s="57" customFormat="1" ht="14.15" customHeight="1" x14ac:dyDescent="0.25">
      <c r="A506" s="3" t="str">
        <f>IF(C506="","",(VLOOKUP($C506,KEY!$B$5:$D$74,3,FALSE)))</f>
        <v>Southern California</v>
      </c>
      <c r="B506" s="221" t="s">
        <v>220</v>
      </c>
      <c r="C506" s="222" t="s">
        <v>122</v>
      </c>
      <c r="D506" s="218">
        <v>27</v>
      </c>
    </row>
    <row r="507" spans="1:4" s="57" customFormat="1" ht="14.15" customHeight="1" x14ac:dyDescent="0.25">
      <c r="A507" s="3" t="str">
        <f>IF(C507="","",(VLOOKUP($C507,KEY!$B$5:$D$74,3,FALSE)))</f>
        <v>Orange County</v>
      </c>
      <c r="B507" s="221" t="s">
        <v>220</v>
      </c>
      <c r="C507" s="222" t="s">
        <v>123</v>
      </c>
      <c r="D507" s="218">
        <v>18</v>
      </c>
    </row>
    <row r="508" spans="1:4" s="57" customFormat="1" ht="14.15" customHeight="1" x14ac:dyDescent="0.25">
      <c r="A508" s="3" t="str">
        <f>IF(C508="","",(VLOOKUP($C508,KEY!$B$5:$D$74,3,FALSE)))</f>
        <v>Southern California</v>
      </c>
      <c r="B508" s="221" t="s">
        <v>220</v>
      </c>
      <c r="C508" s="222" t="s">
        <v>124</v>
      </c>
      <c r="D508" s="218">
        <v>38</v>
      </c>
    </row>
    <row r="509" spans="1:4" s="57" customFormat="1" ht="14.15" customHeight="1" x14ac:dyDescent="0.25">
      <c r="A509" s="3" t="str">
        <f>IF(C509="","",(VLOOKUP($C509,KEY!$B$5:$D$74,3,FALSE)))</f>
        <v>Northern California</v>
      </c>
      <c r="B509" s="221" t="s">
        <v>220</v>
      </c>
      <c r="C509" s="222" t="s">
        <v>195</v>
      </c>
      <c r="D509" s="218">
        <v>22</v>
      </c>
    </row>
    <row r="510" spans="1:4" s="57" customFormat="1" ht="14.15" customHeight="1" x14ac:dyDescent="0.25">
      <c r="A510" s="3" t="str">
        <f>IF(C510="","",(VLOOKUP($C510,KEY!$B$5:$D$74,3,FALSE)))</f>
        <v>Northern California</v>
      </c>
      <c r="B510" s="221" t="s">
        <v>220</v>
      </c>
      <c r="C510" s="222" t="s">
        <v>125</v>
      </c>
      <c r="D510" s="218">
        <v>34</v>
      </c>
    </row>
    <row r="511" spans="1:4" s="57" customFormat="1" ht="14.15" customHeight="1" x14ac:dyDescent="0.25">
      <c r="A511" s="3" t="str">
        <f>IF(C511="","",(VLOOKUP($C511,KEY!$B$5:$D$74,3,FALSE)))</f>
        <v>Orange County</v>
      </c>
      <c r="B511" s="221" t="s">
        <v>220</v>
      </c>
      <c r="C511" s="222" t="s">
        <v>126</v>
      </c>
      <c r="D511" s="218">
        <v>42</v>
      </c>
    </row>
    <row r="512" spans="1:4" s="57" customFormat="1" ht="14.15" customHeight="1" x14ac:dyDescent="0.25">
      <c r="A512" s="3" t="str">
        <f>IF(C512="","",(VLOOKUP($C512,KEY!$B$5:$D$74,3,FALSE)))</f>
        <v>Orange County</v>
      </c>
      <c r="B512" s="221" t="s">
        <v>220</v>
      </c>
      <c r="C512" s="222" t="s">
        <v>127</v>
      </c>
      <c r="D512" s="218">
        <v>5</v>
      </c>
    </row>
    <row r="513" spans="1:4" s="57" customFormat="1" ht="14.15" customHeight="1" x14ac:dyDescent="0.25">
      <c r="A513" s="3" t="str">
        <f>IF(C513="","",(VLOOKUP($C513,KEY!$B$5:$D$74,3,FALSE)))</f>
        <v>Texas</v>
      </c>
      <c r="B513" s="221" t="s">
        <v>220</v>
      </c>
      <c r="C513" s="222" t="s">
        <v>198</v>
      </c>
      <c r="D513" s="218">
        <v>4</v>
      </c>
    </row>
    <row r="514" spans="1:4" s="57" customFormat="1" ht="14.15" customHeight="1" x14ac:dyDescent="0.25">
      <c r="A514" s="3" t="str">
        <f>IF(C514="","",(VLOOKUP($C514,KEY!$B$5:$D$74,3,FALSE)))</f>
        <v>Texas</v>
      </c>
      <c r="B514" s="221" t="s">
        <v>220</v>
      </c>
      <c r="C514" s="222" t="s">
        <v>128</v>
      </c>
      <c r="D514" s="218">
        <v>72</v>
      </c>
    </row>
    <row r="515" spans="1:4" s="57" customFormat="1" ht="14.15" customHeight="1" x14ac:dyDescent="0.25">
      <c r="A515" s="3" t="str">
        <f>IF(C515="","",(VLOOKUP($C515,KEY!$B$5:$D$74,3,FALSE)))</f>
        <v>Northern California</v>
      </c>
      <c r="B515" s="221" t="s">
        <v>220</v>
      </c>
      <c r="C515" s="222" t="s">
        <v>129</v>
      </c>
      <c r="D515" s="218">
        <v>40</v>
      </c>
    </row>
    <row r="516" spans="1:4" s="57" customFormat="1" ht="14.15" customHeight="1" x14ac:dyDescent="0.25">
      <c r="A516" s="3" t="str">
        <f>IF(C516="","",(VLOOKUP($C516,KEY!$B$5:$D$74,3,FALSE)))</f>
        <v>Southern California</v>
      </c>
      <c r="B516" s="221" t="s">
        <v>220</v>
      </c>
      <c r="C516" s="222" t="s">
        <v>130</v>
      </c>
      <c r="D516" s="218">
        <v>14</v>
      </c>
    </row>
    <row r="517" spans="1:4" s="57" customFormat="1" ht="14.15" customHeight="1" x14ac:dyDescent="0.25">
      <c r="A517" s="3">
        <f>IF(C517="","",(VLOOKUP($C517,KEY!$B$5:$D$74,3,FALSE)))</f>
        <v>0</v>
      </c>
      <c r="B517" s="221" t="s">
        <v>220</v>
      </c>
      <c r="C517" s="222" t="s">
        <v>131</v>
      </c>
      <c r="D517" s="218">
        <v>20</v>
      </c>
    </row>
    <row r="518" spans="1:4" s="57" customFormat="1" ht="14.15" customHeight="1" x14ac:dyDescent="0.25">
      <c r="A518" s="3" t="e">
        <f>IF(C518="","",(VLOOKUP($C518,KEY!$B$5:$D$74,3,FALSE)))</f>
        <v>#N/A</v>
      </c>
      <c r="B518" s="221" t="s">
        <v>220</v>
      </c>
      <c r="C518" s="222" t="s">
        <v>134</v>
      </c>
      <c r="D518" s="218">
        <v>4</v>
      </c>
    </row>
    <row r="519" spans="1:4" s="57" customFormat="1" ht="14.15" customHeight="1" x14ac:dyDescent="0.25">
      <c r="A519" s="3" t="str">
        <f>IF(C519="","",(VLOOKUP($C519,KEY!$B$5:$D$74,3,FALSE)))</f>
        <v>Southern California</v>
      </c>
      <c r="B519" s="221" t="s">
        <v>220</v>
      </c>
      <c r="C519" s="222" t="s">
        <v>135</v>
      </c>
      <c r="D519" s="218">
        <v>31</v>
      </c>
    </row>
    <row r="520" spans="1:4" s="57" customFormat="1" ht="14.15" customHeight="1" x14ac:dyDescent="0.25">
      <c r="A520" s="3" t="str">
        <f>IF(C520="","",(VLOOKUP($C520,KEY!$B$5:$D$74,3,FALSE)))</f>
        <v>Arizona</v>
      </c>
      <c r="B520" s="221" t="s">
        <v>220</v>
      </c>
      <c r="C520" s="222" t="s">
        <v>204</v>
      </c>
      <c r="D520" s="218">
        <v>2</v>
      </c>
    </row>
    <row r="521" spans="1:4" s="57" customFormat="1" ht="14.15" customHeight="1" x14ac:dyDescent="0.25">
      <c r="A521" s="3" t="str">
        <f>IF(C521="","",(VLOOKUP($C521,KEY!$B$5:$D$74,3,FALSE)))</f>
        <v>Arizona</v>
      </c>
      <c r="B521" s="221" t="s">
        <v>220</v>
      </c>
      <c r="C521" s="222" t="s">
        <v>196</v>
      </c>
      <c r="D521" s="218">
        <v>16</v>
      </c>
    </row>
    <row r="522" spans="1:4" s="57" customFormat="1" ht="14.15" customHeight="1" x14ac:dyDescent="0.25">
      <c r="A522" s="3" t="str">
        <f>IF(C522="","",(VLOOKUP($C522,KEY!$B$5:$D$74,3,FALSE)))</f>
        <v>Arizona</v>
      </c>
      <c r="B522" s="221" t="s">
        <v>220</v>
      </c>
      <c r="C522" s="222" t="s">
        <v>197</v>
      </c>
      <c r="D522" s="218">
        <v>11</v>
      </c>
    </row>
    <row r="523" spans="1:4" s="57" customFormat="1" ht="14.15" customHeight="1" x14ac:dyDescent="0.25">
      <c r="A523" s="3" t="str">
        <f>IF(C523="","",(VLOOKUP($C523,KEY!$B$5:$D$74,3,FALSE)))</f>
        <v>Texas</v>
      </c>
      <c r="B523" s="221" t="s">
        <v>220</v>
      </c>
      <c r="C523" s="222" t="s">
        <v>136</v>
      </c>
      <c r="D523" s="218">
        <v>21</v>
      </c>
    </row>
    <row r="524" spans="1:4" s="57" customFormat="1" ht="14.15" customHeight="1" x14ac:dyDescent="0.25">
      <c r="A524" s="3" t="str">
        <f>IF(C524="","",(VLOOKUP($C524,KEY!$B$5:$D$74,3,FALSE)))</f>
        <v>Arizona</v>
      </c>
      <c r="B524" s="221" t="s">
        <v>220</v>
      </c>
      <c r="C524" s="222" t="s">
        <v>137</v>
      </c>
      <c r="D524" s="218">
        <v>8</v>
      </c>
    </row>
    <row r="525" spans="1:4" s="57" customFormat="1" ht="14.15" customHeight="1" x14ac:dyDescent="0.25">
      <c r="A525" s="3" t="str">
        <f>IF(C525="","",(VLOOKUP($C525,KEY!$B$5:$D$74,3,FALSE)))</f>
        <v>Texas</v>
      </c>
      <c r="B525" s="221" t="s">
        <v>220</v>
      </c>
      <c r="C525" s="222" t="s">
        <v>138</v>
      </c>
      <c r="D525" s="218">
        <v>10</v>
      </c>
    </row>
    <row r="526" spans="1:4" s="57" customFormat="1" ht="14.15" customHeight="1" x14ac:dyDescent="0.25">
      <c r="A526" s="3" t="str">
        <f>IF(C526="","",(VLOOKUP($C526,KEY!$B$5:$D$74,3,FALSE)))</f>
        <v>Southern California</v>
      </c>
      <c r="B526" s="221" t="s">
        <v>220</v>
      </c>
      <c r="C526" s="222" t="s">
        <v>139</v>
      </c>
      <c r="D526" s="218">
        <v>21</v>
      </c>
    </row>
    <row r="527" spans="1:4" s="57" customFormat="1" ht="14.15" customHeight="1" x14ac:dyDescent="0.25">
      <c r="A527" s="3" t="str">
        <f>IF(C527="","",(VLOOKUP($C527,KEY!$B$5:$D$74,3,FALSE)))</f>
        <v>Orange County</v>
      </c>
      <c r="B527" s="221" t="s">
        <v>220</v>
      </c>
      <c r="C527" s="222" t="s">
        <v>140</v>
      </c>
      <c r="D527" s="218">
        <v>5</v>
      </c>
    </row>
    <row r="528" spans="1:4" s="57" customFormat="1" ht="14.15" customHeight="1" x14ac:dyDescent="0.25">
      <c r="A528" s="3" t="str">
        <f>IF(C528="","",(VLOOKUP($C528,KEY!$B$5:$D$74,3,FALSE)))</f>
        <v>Southern California</v>
      </c>
      <c r="B528" s="221" t="s">
        <v>220</v>
      </c>
      <c r="C528" s="222" t="s">
        <v>142</v>
      </c>
      <c r="D528" s="218">
        <v>8</v>
      </c>
    </row>
    <row r="529" spans="1:4" s="57" customFormat="1" ht="14.15" customHeight="1" x14ac:dyDescent="0.25">
      <c r="A529" s="3" t="str">
        <f>IF(C529="","",(VLOOKUP($C529,KEY!$B$5:$D$74,3,FALSE)))</f>
        <v>Arizona</v>
      </c>
      <c r="B529" s="221" t="s">
        <v>220</v>
      </c>
      <c r="C529" s="222" t="s">
        <v>143</v>
      </c>
      <c r="D529" s="218">
        <v>19</v>
      </c>
    </row>
    <row r="530" spans="1:4" s="57" customFormat="1" ht="14.15" customHeight="1" x14ac:dyDescent="0.25">
      <c r="A530" s="3" t="str">
        <f>IF(C530="","",(VLOOKUP($C530,KEY!$B$5:$D$74,3,FALSE)))</f>
        <v>Arizona</v>
      </c>
      <c r="B530" s="221" t="s">
        <v>220</v>
      </c>
      <c r="C530" s="222" t="s">
        <v>144</v>
      </c>
      <c r="D530" s="218">
        <v>13</v>
      </c>
    </row>
    <row r="531" spans="1:4" s="57" customFormat="1" ht="14.15" customHeight="1" x14ac:dyDescent="0.25">
      <c r="A531" s="3" t="str">
        <f>IF(C531="","",(VLOOKUP($C531,KEY!$B$5:$D$74,3,FALSE)))</f>
        <v>Southern California</v>
      </c>
      <c r="B531" s="221" t="s">
        <v>220</v>
      </c>
      <c r="C531" s="222" t="s">
        <v>145</v>
      </c>
      <c r="D531" s="218">
        <v>11</v>
      </c>
    </row>
    <row r="532" spans="1:4" s="57" customFormat="1" ht="14.15" customHeight="1" x14ac:dyDescent="0.25">
      <c r="A532" s="3" t="str">
        <f>IF(C532="","",(VLOOKUP($C532,KEY!$B$5:$D$74,3,FALSE)))</f>
        <v>Arizona</v>
      </c>
      <c r="B532" s="221" t="s">
        <v>220</v>
      </c>
      <c r="C532" s="222" t="s">
        <v>146</v>
      </c>
      <c r="D532" s="218">
        <v>18</v>
      </c>
    </row>
    <row r="533" spans="1:4" s="57" customFormat="1" ht="14.15" customHeight="1" x14ac:dyDescent="0.25">
      <c r="A533" s="3" t="str">
        <f>IF(C533="","",(VLOOKUP($C533,KEY!$B$5:$D$74,3,FALSE)))</f>
        <v>Texas</v>
      </c>
      <c r="B533" s="221" t="s">
        <v>220</v>
      </c>
      <c r="C533" s="222" t="s">
        <v>147</v>
      </c>
      <c r="D533" s="218">
        <v>11</v>
      </c>
    </row>
    <row r="534" spans="1:4" s="57" customFormat="1" ht="14.15" customHeight="1" x14ac:dyDescent="0.25">
      <c r="A534" s="3" t="str">
        <f>IF(C534="","",(VLOOKUP($C534,KEY!$B$5:$D$74,3,FALSE)))</f>
        <v>Northern California</v>
      </c>
      <c r="B534" s="221" t="s">
        <v>220</v>
      </c>
      <c r="C534" s="222" t="s">
        <v>148</v>
      </c>
      <c r="D534" s="218">
        <v>4</v>
      </c>
    </row>
    <row r="535" spans="1:4" s="57" customFormat="1" ht="14.15" customHeight="1" x14ac:dyDescent="0.25">
      <c r="A535" s="3" t="str">
        <f>IF(C535="","",(VLOOKUP($C535,KEY!$B$5:$D$74,3,FALSE)))</f>
        <v>Orange County</v>
      </c>
      <c r="B535" s="221" t="s">
        <v>220</v>
      </c>
      <c r="C535" s="222" t="s">
        <v>149</v>
      </c>
      <c r="D535" s="218">
        <v>9</v>
      </c>
    </row>
    <row r="536" spans="1:4" s="57" customFormat="1" ht="14.15" customHeight="1" x14ac:dyDescent="0.25">
      <c r="A536" s="3" t="str">
        <f>IF(C536="","",(VLOOKUP($C536,KEY!$B$5:$D$74,3,FALSE)))</f>
        <v>Southern California</v>
      </c>
      <c r="B536" s="221" t="s">
        <v>220</v>
      </c>
      <c r="C536" s="222" t="s">
        <v>150</v>
      </c>
      <c r="D536" s="218">
        <v>8</v>
      </c>
    </row>
    <row r="537" spans="1:4" s="57" customFormat="1" ht="14.15" customHeight="1" x14ac:dyDescent="0.25">
      <c r="A537" s="3" t="str">
        <f>IF(C537="","",(VLOOKUP($C537,KEY!$B$5:$D$74,3,FALSE)))</f>
        <v>Arizona</v>
      </c>
      <c r="B537" s="221" t="s">
        <v>220</v>
      </c>
      <c r="C537" s="222" t="s">
        <v>151</v>
      </c>
      <c r="D537" s="218">
        <v>11</v>
      </c>
    </row>
    <row r="538" spans="1:4" s="57" customFormat="1" ht="14.15" customHeight="1" x14ac:dyDescent="0.25">
      <c r="A538" s="3" t="str">
        <f>IF(C538="","",(VLOOKUP($C538,KEY!$B$5:$D$74,3,FALSE)))</f>
        <v>Northern California</v>
      </c>
      <c r="B538" s="221" t="s">
        <v>220</v>
      </c>
      <c r="C538" s="222" t="s">
        <v>152</v>
      </c>
      <c r="D538" s="218">
        <v>26</v>
      </c>
    </row>
    <row r="539" spans="1:4" s="57" customFormat="1" ht="14.15" customHeight="1" x14ac:dyDescent="0.25">
      <c r="A539" s="3" t="str">
        <f>IF(C539="","",(VLOOKUP($C539,KEY!$B$5:$D$74,3,FALSE)))</f>
        <v>Arizona</v>
      </c>
      <c r="B539" s="221" t="s">
        <v>220</v>
      </c>
      <c r="C539" s="222" t="s">
        <v>153</v>
      </c>
      <c r="D539" s="218">
        <v>29</v>
      </c>
    </row>
    <row r="540" spans="1:4" s="57" customFormat="1" ht="14.15" customHeight="1" x14ac:dyDescent="0.25">
      <c r="A540" s="3" t="str">
        <f>IF(C540="","",(VLOOKUP($C540,KEY!$B$5:$D$74,3,FALSE)))</f>
        <v>Northern California</v>
      </c>
      <c r="B540" s="221" t="s">
        <v>220</v>
      </c>
      <c r="C540" s="222" t="s">
        <v>154</v>
      </c>
      <c r="D540" s="218">
        <v>38</v>
      </c>
    </row>
    <row r="541" spans="1:4" s="57" customFormat="1" ht="14.15" customHeight="1" x14ac:dyDescent="0.25">
      <c r="A541" s="3" t="str">
        <f>IF(C541="","",(VLOOKUP($C541,KEY!$B$5:$D$74,3,FALSE)))</f>
        <v>Texas</v>
      </c>
      <c r="B541" s="221" t="s">
        <v>220</v>
      </c>
      <c r="C541" s="222" t="s">
        <v>155</v>
      </c>
      <c r="D541" s="218">
        <v>18</v>
      </c>
    </row>
    <row r="542" spans="1:4" s="57" customFormat="1" ht="14.15" customHeight="1" x14ac:dyDescent="0.25">
      <c r="A542" s="3" t="str">
        <f>IF(C542="","",(VLOOKUP($C542,KEY!$B$5:$D$74,3,FALSE)))</f>
        <v>Texas</v>
      </c>
      <c r="B542" s="221" t="s">
        <v>220</v>
      </c>
      <c r="C542" s="222" t="s">
        <v>156</v>
      </c>
      <c r="D542" s="218">
        <v>22</v>
      </c>
    </row>
    <row r="543" spans="1:4" s="57" customFormat="1" ht="14.15" customHeight="1" x14ac:dyDescent="0.25">
      <c r="A543" s="3" t="str">
        <f>IF(C543="","",(VLOOKUP($C543,KEY!$B$5:$D$74,3,FALSE)))</f>
        <v>Texas</v>
      </c>
      <c r="B543" s="221" t="s">
        <v>220</v>
      </c>
      <c r="C543" s="222" t="s">
        <v>157</v>
      </c>
      <c r="D543" s="218">
        <v>48</v>
      </c>
    </row>
    <row r="544" spans="1:4" s="57" customFormat="1" ht="14.15" customHeight="1" x14ac:dyDescent="0.25">
      <c r="A544" s="3" t="str">
        <f>IF(C544="","",(VLOOKUP($C544,KEY!$B$5:$D$74,3,FALSE)))</f>
        <v>Arizona</v>
      </c>
      <c r="B544" s="221" t="s">
        <v>220</v>
      </c>
      <c r="C544" s="222" t="s">
        <v>158</v>
      </c>
      <c r="D544" s="218">
        <v>10</v>
      </c>
    </row>
    <row r="545" spans="1:4" s="57" customFormat="1" ht="14.15" customHeight="1" x14ac:dyDescent="0.25">
      <c r="A545" s="3" t="str">
        <f>IF(C545="","",(VLOOKUP($C545,KEY!$B$5:$D$74,3,FALSE)))</f>
        <v>Orange County</v>
      </c>
      <c r="B545" s="221" t="s">
        <v>220</v>
      </c>
      <c r="C545" s="222" t="s">
        <v>159</v>
      </c>
      <c r="D545" s="218">
        <v>22</v>
      </c>
    </row>
    <row r="546" spans="1:4" s="57" customFormat="1" ht="14.15" customHeight="1" x14ac:dyDescent="0.25">
      <c r="A546" s="3" t="str">
        <f>IF(C546="","",(VLOOKUP($C546,KEY!$B$5:$D$74,3,FALSE)))</f>
        <v>Arizona</v>
      </c>
      <c r="B546" s="221" t="s">
        <v>220</v>
      </c>
      <c r="C546" s="222" t="s">
        <v>160</v>
      </c>
      <c r="D546" s="218">
        <v>19</v>
      </c>
    </row>
    <row r="547" spans="1:4" s="57" customFormat="1" ht="14.15" customHeight="1" x14ac:dyDescent="0.25">
      <c r="A547" s="3" t="str">
        <f>IF(C547="","",(VLOOKUP($C547,KEY!$B$5:$D$74,3,FALSE)))</f>
        <v>Northern California</v>
      </c>
      <c r="B547" s="221" t="s">
        <v>220</v>
      </c>
      <c r="C547" s="222" t="s">
        <v>161</v>
      </c>
      <c r="D547" s="218">
        <v>27</v>
      </c>
    </row>
    <row r="548" spans="1:4" s="57" customFormat="1" ht="14.15" customHeight="1" x14ac:dyDescent="0.25">
      <c r="A548" s="3" t="e">
        <f>IF(C548="","",(VLOOKUP($C548,KEY!$B$5:$D$74,3,FALSE)))</f>
        <v>#N/A</v>
      </c>
      <c r="B548" s="221" t="s">
        <v>220</v>
      </c>
      <c r="C548" s="222" t="s">
        <v>162</v>
      </c>
      <c r="D548" s="218">
        <v>103</v>
      </c>
    </row>
    <row r="549" spans="1:4" s="57" customFormat="1" ht="14.15" customHeight="1" x14ac:dyDescent="0.25">
      <c r="A549" s="3" t="str">
        <f>IF(C549="","",(VLOOKUP($C549,KEY!$B$5:$D$74,3,FALSE)))</f>
        <v>Arizona</v>
      </c>
      <c r="B549" s="221" t="s">
        <v>220</v>
      </c>
      <c r="C549" s="222" t="s">
        <v>163</v>
      </c>
      <c r="D549" s="218">
        <v>52</v>
      </c>
    </row>
    <row r="550" spans="1:4" s="57" customFormat="1" ht="14.15" customHeight="1" x14ac:dyDescent="0.25">
      <c r="A550" s="3" t="str">
        <f>IF(C550="","",(VLOOKUP($C550,KEY!$B$5:$D$74,3,FALSE)))</f>
        <v>Arizona</v>
      </c>
      <c r="B550" s="221" t="s">
        <v>220</v>
      </c>
      <c r="C550" s="222" t="s">
        <v>164</v>
      </c>
      <c r="D550" s="218">
        <v>16</v>
      </c>
    </row>
    <row r="551" spans="1:4" s="57" customFormat="1" ht="14.15" customHeight="1" x14ac:dyDescent="0.25">
      <c r="A551" s="3" t="str">
        <f>IF(C551="","",(VLOOKUP($C551,KEY!$B$5:$D$74,3,FALSE)))</f>
        <v>Orange County</v>
      </c>
      <c r="B551" s="221" t="s">
        <v>220</v>
      </c>
      <c r="C551" s="222" t="s">
        <v>165</v>
      </c>
      <c r="D551" s="218">
        <v>8</v>
      </c>
    </row>
    <row r="552" spans="1:4" s="57" customFormat="1" ht="14.15" customHeight="1" x14ac:dyDescent="0.25">
      <c r="A552" s="3" t="str">
        <f>IF(C552="","",(VLOOKUP($C552,KEY!$B$5:$D$74,3,FALSE)))</f>
        <v/>
      </c>
      <c r="B552" s="221" t="s">
        <v>220</v>
      </c>
      <c r="C552" s="222"/>
      <c r="D552" s="218"/>
    </row>
    <row r="553" spans="1:4" s="57" customFormat="1" ht="14.15" customHeight="1" x14ac:dyDescent="0.25">
      <c r="A553" s="3" t="str">
        <f>IF(C553="","",(VLOOKUP($C553,KEY!$B$5:$D$74,3,FALSE)))</f>
        <v/>
      </c>
      <c r="B553" s="221" t="s">
        <v>220</v>
      </c>
      <c r="C553" s="222"/>
      <c r="D553" s="218"/>
    </row>
    <row r="554" spans="1:4" s="57" customFormat="1" ht="14.15" customHeight="1" x14ac:dyDescent="0.25">
      <c r="A554" s="3" t="str">
        <f>IF(C554="","",(VLOOKUP($C554,KEY!$B$5:$D$74,3,FALSE)))</f>
        <v/>
      </c>
      <c r="B554" s="221" t="s">
        <v>220</v>
      </c>
      <c r="C554" s="222"/>
      <c r="D554" s="218"/>
    </row>
    <row r="555" spans="1:4" s="57" customFormat="1" ht="14.15" customHeight="1" x14ac:dyDescent="0.25">
      <c r="A555" s="3" t="str">
        <f>IF(C555="","",(VLOOKUP($C555,KEY!$B$5:$D$74,3,FALSE)))</f>
        <v/>
      </c>
      <c r="B555" s="221" t="s">
        <v>220</v>
      </c>
      <c r="C555" s="222"/>
      <c r="D555" s="218"/>
    </row>
    <row r="556" spans="1:4" s="57" customFormat="1" ht="14.15" customHeight="1" x14ac:dyDescent="0.25">
      <c r="A556" s="3" t="str">
        <f>IF(C556="","",(VLOOKUP($C556,KEY!$B$5:$D$74,3,FALSE)))</f>
        <v/>
      </c>
      <c r="B556" s="221" t="s">
        <v>220</v>
      </c>
      <c r="C556" s="222"/>
      <c r="D556" s="218"/>
    </row>
    <row r="557" spans="1:4" s="57" customFormat="1" ht="14.15" customHeight="1" x14ac:dyDescent="0.25">
      <c r="A557" s="3" t="str">
        <f>IF(C557="","",(VLOOKUP($C557,KEY!$B$5:$D$74,3,FALSE)))</f>
        <v/>
      </c>
      <c r="B557" s="221" t="s">
        <v>220</v>
      </c>
      <c r="C557" s="222"/>
      <c r="D557" s="218"/>
    </row>
    <row r="558" spans="1:4" s="57" customFormat="1" ht="14.15" customHeight="1" x14ac:dyDescent="0.25">
      <c r="A558" s="3" t="str">
        <f>IF(C558="","",(VLOOKUP($C558,KEY!$B$5:$D$74,3,FALSE)))</f>
        <v/>
      </c>
      <c r="B558" s="221" t="s">
        <v>220</v>
      </c>
      <c r="C558" s="222"/>
      <c r="D558" s="218"/>
    </row>
    <row r="559" spans="1:4" s="57" customFormat="1" ht="14.15" customHeight="1" x14ac:dyDescent="0.25">
      <c r="A559" s="3" t="str">
        <f>IF(C559="","",(VLOOKUP($C559,KEY!$B$5:$D$74,3,FALSE)))</f>
        <v/>
      </c>
      <c r="B559" s="221" t="s">
        <v>220</v>
      </c>
      <c r="C559" s="222"/>
      <c r="D559" s="218"/>
    </row>
    <row r="560" spans="1:4" s="57" customFormat="1" ht="14.15" customHeight="1" x14ac:dyDescent="0.25">
      <c r="A560" s="3" t="str">
        <f>IF(C560="","",(VLOOKUP($C560,KEY!$B$5:$D$74,3,FALSE)))</f>
        <v/>
      </c>
      <c r="B560" s="221" t="s">
        <v>220</v>
      </c>
      <c r="C560" s="222"/>
      <c r="D560" s="218"/>
    </row>
    <row r="561" spans="1:4" s="57" customFormat="1" ht="14.15" customHeight="1" x14ac:dyDescent="0.25">
      <c r="A561" s="3" t="str">
        <f>IF(C561="","",(VLOOKUP($C561,KEY!$B$5:$D$74,3,FALSE)))</f>
        <v/>
      </c>
      <c r="B561" s="221" t="s">
        <v>220</v>
      </c>
      <c r="C561" s="222"/>
      <c r="D561" s="218"/>
    </row>
    <row r="562" spans="1:4" s="57" customFormat="1" ht="14.15" customHeight="1" x14ac:dyDescent="0.25">
      <c r="A562" s="3" t="str">
        <f>IF(C562="","",(VLOOKUP($C562,KEY!$B$5:$D$74,3,FALSE)))</f>
        <v/>
      </c>
      <c r="B562" s="221" t="s">
        <v>220</v>
      </c>
      <c r="C562" s="222"/>
      <c r="D562" s="218"/>
    </row>
    <row r="563" spans="1:4" s="57" customFormat="1" ht="14.15" customHeight="1" x14ac:dyDescent="0.25">
      <c r="A563" s="3" t="str">
        <f>IF(C563="","",(VLOOKUP($C563,KEY!$B$5:$D$74,3,FALSE)))</f>
        <v/>
      </c>
      <c r="B563" s="221" t="s">
        <v>220</v>
      </c>
      <c r="C563" s="222"/>
      <c r="D563" s="218"/>
    </row>
    <row r="564" spans="1:4" s="57" customFormat="1" ht="14.15" customHeight="1" x14ac:dyDescent="0.25">
      <c r="A564" s="3" t="str">
        <f>IF(C564="","",(VLOOKUP($C564,KEY!$B$5:$D$74,3,FALSE)))</f>
        <v/>
      </c>
      <c r="B564" s="402" t="s">
        <v>220</v>
      </c>
      <c r="C564" s="403"/>
      <c r="D564" s="404"/>
    </row>
    <row r="565" spans="1:4" s="57" customFormat="1" ht="14.15" customHeight="1" x14ac:dyDescent="0.25">
      <c r="A565" s="3" t="str">
        <f>IF(C565="","",(VLOOKUP($C565,KEY!$B$5:$D$74,3,FALSE)))</f>
        <v>Arizona</v>
      </c>
      <c r="B565" s="221" t="s">
        <v>221</v>
      </c>
      <c r="C565" s="222" t="s">
        <v>111</v>
      </c>
      <c r="D565" s="218">
        <v>15</v>
      </c>
    </row>
    <row r="566" spans="1:4" s="57" customFormat="1" ht="14.15" customHeight="1" x14ac:dyDescent="0.25">
      <c r="A566" s="3" t="str">
        <f>IF(C566="","",(VLOOKUP($C566,KEY!$B$5:$D$74,3,FALSE)))</f>
        <v>Southern California</v>
      </c>
      <c r="B566" s="221" t="s">
        <v>221</v>
      </c>
      <c r="C566" s="222" t="s">
        <v>112</v>
      </c>
      <c r="D566" s="218">
        <v>5</v>
      </c>
    </row>
    <row r="567" spans="1:4" s="57" customFormat="1" ht="14.15" customHeight="1" x14ac:dyDescent="0.25">
      <c r="A567" s="3" t="str">
        <f>IF(C567="","",(VLOOKUP($C567,KEY!$B$5:$D$74,3,FALSE)))</f>
        <v>Arizona</v>
      </c>
      <c r="B567" s="221" t="s">
        <v>221</v>
      </c>
      <c r="C567" s="222" t="s">
        <v>113</v>
      </c>
      <c r="D567" s="218">
        <v>21</v>
      </c>
    </row>
    <row r="568" spans="1:4" s="57" customFormat="1" ht="14.15" customHeight="1" x14ac:dyDescent="0.25">
      <c r="A568" s="3" t="str">
        <f>IF(C568="","",(VLOOKUP($C568,KEY!$B$5:$D$74,3,FALSE)))</f>
        <v>Southern California</v>
      </c>
      <c r="B568" s="221" t="s">
        <v>221</v>
      </c>
      <c r="C568" s="222" t="s">
        <v>114</v>
      </c>
      <c r="D568" s="218">
        <v>5</v>
      </c>
    </row>
    <row r="569" spans="1:4" s="57" customFormat="1" ht="14.15" customHeight="1" x14ac:dyDescent="0.25">
      <c r="A569" s="3" t="str">
        <f>IF(C569="","",(VLOOKUP($C569,KEY!$B$5:$D$74,3,FALSE)))</f>
        <v>Orange County</v>
      </c>
      <c r="B569" s="221" t="s">
        <v>221</v>
      </c>
      <c r="C569" s="222" t="s">
        <v>115</v>
      </c>
      <c r="D569" s="218">
        <v>8</v>
      </c>
    </row>
    <row r="570" spans="1:4" s="57" customFormat="1" ht="14.15" customHeight="1" x14ac:dyDescent="0.25">
      <c r="A570" s="3" t="str">
        <f>IF(C570="","",(VLOOKUP($C570,KEY!$B$5:$D$74,3,FALSE)))</f>
        <v>Arizona</v>
      </c>
      <c r="B570" s="221" t="s">
        <v>221</v>
      </c>
      <c r="C570" s="222" t="s">
        <v>116</v>
      </c>
      <c r="D570" s="218">
        <v>20</v>
      </c>
    </row>
    <row r="571" spans="1:4" s="57" customFormat="1" ht="14.15" customHeight="1" x14ac:dyDescent="0.25">
      <c r="A571" s="3" t="str">
        <f>IF(C571="","",(VLOOKUP($C571,KEY!$B$5:$D$74,3,FALSE)))</f>
        <v>Northern California</v>
      </c>
      <c r="B571" s="221" t="s">
        <v>221</v>
      </c>
      <c r="C571" s="222" t="s">
        <v>118</v>
      </c>
      <c r="D571" s="218">
        <v>15</v>
      </c>
    </row>
    <row r="572" spans="1:4" s="57" customFormat="1" ht="14.15" customHeight="1" x14ac:dyDescent="0.25">
      <c r="A572" s="3" t="str">
        <f>IF(C572="","",(VLOOKUP($C572,KEY!$B$5:$D$74,3,FALSE)))</f>
        <v>Orange County</v>
      </c>
      <c r="B572" s="221" t="s">
        <v>221</v>
      </c>
      <c r="C572" s="222" t="s">
        <v>117</v>
      </c>
      <c r="D572" s="218">
        <v>19</v>
      </c>
    </row>
    <row r="573" spans="1:4" s="57" customFormat="1" ht="14.15" customHeight="1" x14ac:dyDescent="0.25">
      <c r="A573" s="3" t="str">
        <f>IF(C573="","",(VLOOKUP($C573,KEY!$B$5:$D$74,3,FALSE)))</f>
        <v>Arizona</v>
      </c>
      <c r="B573" s="221" t="s">
        <v>221</v>
      </c>
      <c r="C573" s="222" t="s">
        <v>119</v>
      </c>
      <c r="D573" s="218">
        <v>7</v>
      </c>
    </row>
    <row r="574" spans="1:4" s="57" customFormat="1" ht="14.15" customHeight="1" x14ac:dyDescent="0.25">
      <c r="A574" s="3" t="str">
        <f>IF(C574="","",(VLOOKUP($C574,KEY!$B$5:$D$74,3,FALSE)))</f>
        <v>Michigan &amp; Minnesota</v>
      </c>
      <c r="B574" s="221" t="s">
        <v>221</v>
      </c>
      <c r="C574" s="222" t="s">
        <v>199</v>
      </c>
      <c r="D574" s="218"/>
    </row>
    <row r="575" spans="1:4" s="57" customFormat="1" ht="14.15" customHeight="1" x14ac:dyDescent="0.25">
      <c r="A575" s="3" t="str">
        <f>IF(C575="","",(VLOOKUP($C575,KEY!$B$5:$D$74,3,FALSE)))</f>
        <v>Arizona</v>
      </c>
      <c r="B575" s="221" t="s">
        <v>221</v>
      </c>
      <c r="C575" s="222" t="s">
        <v>120</v>
      </c>
      <c r="D575" s="218">
        <v>42</v>
      </c>
    </row>
    <row r="576" spans="1:4" s="57" customFormat="1" ht="14.15" customHeight="1" x14ac:dyDescent="0.25">
      <c r="A576" s="3" t="str">
        <f>IF(C576="","",(VLOOKUP($C576,KEY!$B$5:$D$74,3,FALSE)))</f>
        <v>Texas</v>
      </c>
      <c r="B576" s="221" t="s">
        <v>221</v>
      </c>
      <c r="C576" s="222" t="s">
        <v>121</v>
      </c>
      <c r="D576" s="218">
        <v>37</v>
      </c>
    </row>
    <row r="577" spans="1:4" s="57" customFormat="1" ht="14.15" customHeight="1" x14ac:dyDescent="0.25">
      <c r="A577" s="3" t="str">
        <f>IF(C577="","",(VLOOKUP($C577,KEY!$B$5:$D$74,3,FALSE)))</f>
        <v>Michigan &amp; Minnesota</v>
      </c>
      <c r="B577" s="221" t="s">
        <v>221</v>
      </c>
      <c r="C577" s="222" t="s">
        <v>200</v>
      </c>
      <c r="D577" s="218"/>
    </row>
    <row r="578" spans="1:4" s="57" customFormat="1" ht="14.15" customHeight="1" x14ac:dyDescent="0.25">
      <c r="A578" s="3" t="str">
        <f>IF(C578="","",(VLOOKUP($C578,KEY!$B$5:$D$74,3,FALSE)))</f>
        <v>Orange County</v>
      </c>
      <c r="B578" s="221" t="s">
        <v>221</v>
      </c>
      <c r="C578" s="222" t="s">
        <v>123</v>
      </c>
      <c r="D578" s="218">
        <v>25</v>
      </c>
    </row>
    <row r="579" spans="1:4" s="57" customFormat="1" ht="14.15" customHeight="1" x14ac:dyDescent="0.25">
      <c r="A579" s="3" t="str">
        <f>IF(C579="","",(VLOOKUP($C579,KEY!$B$5:$D$74,3,FALSE)))</f>
        <v>Southern California</v>
      </c>
      <c r="B579" s="221" t="s">
        <v>221</v>
      </c>
      <c r="C579" s="222" t="s">
        <v>124</v>
      </c>
      <c r="D579" s="218">
        <v>11</v>
      </c>
    </row>
    <row r="580" spans="1:4" s="57" customFormat="1" ht="14.15" customHeight="1" x14ac:dyDescent="0.25">
      <c r="A580" s="3" t="str">
        <f>IF(C580="","",(VLOOKUP($C580,KEY!$B$5:$D$74,3,FALSE)))</f>
        <v>Southern California</v>
      </c>
      <c r="B580" s="221" t="s">
        <v>221</v>
      </c>
      <c r="C580" s="222" t="s">
        <v>122</v>
      </c>
      <c r="D580" s="218">
        <v>18</v>
      </c>
    </row>
    <row r="581" spans="1:4" s="57" customFormat="1" ht="14.15" customHeight="1" x14ac:dyDescent="0.25">
      <c r="A581" s="3" t="str">
        <f>IF(C581="","",(VLOOKUP($C581,KEY!$B$5:$D$74,3,FALSE)))</f>
        <v>Northern California</v>
      </c>
      <c r="B581" s="221" t="s">
        <v>221</v>
      </c>
      <c r="C581" s="222" t="s">
        <v>195</v>
      </c>
      <c r="D581" s="218">
        <v>14</v>
      </c>
    </row>
    <row r="582" spans="1:4" s="57" customFormat="1" ht="14.15" customHeight="1" x14ac:dyDescent="0.25">
      <c r="A582" s="3" t="str">
        <f>IF(C582="","",(VLOOKUP($C582,KEY!$B$5:$D$74,3,FALSE)))</f>
        <v>Northern California</v>
      </c>
      <c r="B582" s="221" t="s">
        <v>221</v>
      </c>
      <c r="C582" s="222" t="s">
        <v>125</v>
      </c>
      <c r="D582" s="218">
        <v>27</v>
      </c>
    </row>
    <row r="583" spans="1:4" s="57" customFormat="1" ht="14.15" customHeight="1" x14ac:dyDescent="0.25">
      <c r="A583" s="3" t="str">
        <f>IF(C583="","",(VLOOKUP($C583,KEY!$B$5:$D$74,3,FALSE)))</f>
        <v>Orange County</v>
      </c>
      <c r="B583" s="221" t="s">
        <v>221</v>
      </c>
      <c r="C583" s="222" t="s">
        <v>126</v>
      </c>
      <c r="D583" s="218">
        <v>45</v>
      </c>
    </row>
    <row r="584" spans="1:4" s="57" customFormat="1" ht="14.15" customHeight="1" x14ac:dyDescent="0.25">
      <c r="A584" s="3" t="str">
        <f>IF(C584="","",(VLOOKUP($C584,KEY!$B$5:$D$74,3,FALSE)))</f>
        <v>Orange County</v>
      </c>
      <c r="B584" s="221" t="s">
        <v>221</v>
      </c>
      <c r="C584" s="222" t="s">
        <v>127</v>
      </c>
      <c r="D584" s="218">
        <v>5</v>
      </c>
    </row>
    <row r="585" spans="1:4" s="57" customFormat="1" ht="14.15" customHeight="1" x14ac:dyDescent="0.25">
      <c r="A585" s="3" t="str">
        <f>IF(C585="","",(VLOOKUP($C585,KEY!$B$5:$D$74,3,FALSE)))</f>
        <v>Wisconsin</v>
      </c>
      <c r="B585" s="221" t="s">
        <v>221</v>
      </c>
      <c r="C585" s="222" t="s">
        <v>201</v>
      </c>
      <c r="D585" s="218">
        <v>59</v>
      </c>
    </row>
    <row r="586" spans="1:4" s="57" customFormat="1" ht="14.15" customHeight="1" x14ac:dyDescent="0.25">
      <c r="A586" s="3" t="e">
        <f>IF(C586="","",(VLOOKUP($C586,KEY!$B$5:$D$74,3,FALSE)))</f>
        <v>#N/A</v>
      </c>
      <c r="B586" s="221" t="s">
        <v>221</v>
      </c>
      <c r="C586" s="222" t="s">
        <v>202</v>
      </c>
      <c r="D586" s="218"/>
    </row>
    <row r="587" spans="1:4" s="57" customFormat="1" ht="14.15" customHeight="1" x14ac:dyDescent="0.25">
      <c r="A587" s="3" t="str">
        <f>IF(C587="","",(VLOOKUP($C587,KEY!$B$5:$D$74,3,FALSE)))</f>
        <v>Texas</v>
      </c>
      <c r="B587" s="221" t="s">
        <v>221</v>
      </c>
      <c r="C587" s="222" t="s">
        <v>198</v>
      </c>
      <c r="D587" s="218">
        <v>4</v>
      </c>
    </row>
    <row r="588" spans="1:4" s="57" customFormat="1" ht="14.15" customHeight="1" x14ac:dyDescent="0.25">
      <c r="A588" s="3" t="str">
        <f>IF(C588="","",(VLOOKUP($C588,KEY!$B$5:$D$74,3,FALSE)))</f>
        <v>Texas</v>
      </c>
      <c r="B588" s="221" t="s">
        <v>221</v>
      </c>
      <c r="C588" s="222" t="s">
        <v>128</v>
      </c>
      <c r="D588" s="218">
        <v>36</v>
      </c>
    </row>
    <row r="589" spans="1:4" s="57" customFormat="1" ht="14.15" customHeight="1" x14ac:dyDescent="0.25">
      <c r="A589" s="3" t="str">
        <f>IF(C589="","",(VLOOKUP($C589,KEY!$B$5:$D$74,3,FALSE)))</f>
        <v>Northern California</v>
      </c>
      <c r="B589" s="221" t="s">
        <v>221</v>
      </c>
      <c r="C589" s="222" t="s">
        <v>129</v>
      </c>
      <c r="D589" s="218">
        <v>10</v>
      </c>
    </row>
    <row r="590" spans="1:4" s="57" customFormat="1" ht="14.15" customHeight="1" x14ac:dyDescent="0.25">
      <c r="A590" s="3" t="str">
        <f>IF(C590="","",(VLOOKUP($C590,KEY!$B$5:$D$74,3,FALSE)))</f>
        <v>Southern California</v>
      </c>
      <c r="B590" s="221" t="s">
        <v>221</v>
      </c>
      <c r="C590" s="222" t="s">
        <v>130</v>
      </c>
      <c r="D590" s="218">
        <v>20</v>
      </c>
    </row>
    <row r="591" spans="1:4" s="57" customFormat="1" ht="14.15" customHeight="1" x14ac:dyDescent="0.25">
      <c r="A591" s="3" t="e">
        <f>IF(C591="","",(VLOOKUP($C591,KEY!$B$5:$D$74,3,FALSE)))</f>
        <v>#N/A</v>
      </c>
      <c r="B591" s="221" t="s">
        <v>221</v>
      </c>
      <c r="C591" s="222" t="s">
        <v>203</v>
      </c>
      <c r="D591" s="218"/>
    </row>
    <row r="592" spans="1:4" s="57" customFormat="1" ht="14.15" customHeight="1" x14ac:dyDescent="0.25">
      <c r="A592" s="3">
        <f>IF(C592="","",(VLOOKUP($C592,KEY!$B$5:$D$74,3,FALSE)))</f>
        <v>0</v>
      </c>
      <c r="B592" s="221" t="s">
        <v>221</v>
      </c>
      <c r="C592" s="222" t="s">
        <v>131</v>
      </c>
      <c r="D592" s="218">
        <v>13</v>
      </c>
    </row>
    <row r="593" spans="1:4" s="57" customFormat="1" ht="14.15" customHeight="1" x14ac:dyDescent="0.25">
      <c r="A593" s="3" t="e">
        <f>IF(C593="","",(VLOOKUP($C593,KEY!$B$5:$D$74,3,FALSE)))</f>
        <v>#N/A</v>
      </c>
      <c r="B593" s="221" t="s">
        <v>221</v>
      </c>
      <c r="C593" s="222" t="s">
        <v>134</v>
      </c>
      <c r="D593" s="218">
        <v>2</v>
      </c>
    </row>
    <row r="594" spans="1:4" s="57" customFormat="1" ht="14.15" customHeight="1" x14ac:dyDescent="0.25">
      <c r="A594" s="3" t="str">
        <f>IF(C594="","",(VLOOKUP($C594,KEY!$B$5:$D$74,3,FALSE)))</f>
        <v>Southern California</v>
      </c>
      <c r="B594" s="221" t="s">
        <v>221</v>
      </c>
      <c r="C594" s="222" t="s">
        <v>135</v>
      </c>
      <c r="D594" s="218">
        <v>27</v>
      </c>
    </row>
    <row r="595" spans="1:4" s="57" customFormat="1" ht="14.15" customHeight="1" x14ac:dyDescent="0.25">
      <c r="A595" s="3" t="str">
        <f>IF(C595="","",(VLOOKUP($C595,KEY!$B$5:$D$74,3,FALSE)))</f>
        <v>Arizona</v>
      </c>
      <c r="B595" s="221" t="s">
        <v>221</v>
      </c>
      <c r="C595" s="222" t="s">
        <v>204</v>
      </c>
      <c r="D595" s="218">
        <v>1</v>
      </c>
    </row>
    <row r="596" spans="1:4" s="57" customFormat="1" ht="14.15" customHeight="1" x14ac:dyDescent="0.25">
      <c r="A596" s="3" t="str">
        <f>IF(C596="","",(VLOOKUP($C596,KEY!$B$5:$D$74,3,FALSE)))</f>
        <v>Arizona</v>
      </c>
      <c r="B596" s="221" t="s">
        <v>221</v>
      </c>
      <c r="C596" s="222" t="s">
        <v>196</v>
      </c>
      <c r="D596" s="218">
        <v>11</v>
      </c>
    </row>
    <row r="597" spans="1:4" s="57" customFormat="1" ht="14.15" customHeight="1" x14ac:dyDescent="0.25">
      <c r="A597" s="3" t="str">
        <f>IF(C597="","",(VLOOKUP($C597,KEY!$B$5:$D$74,3,FALSE)))</f>
        <v>Arizona</v>
      </c>
      <c r="B597" s="221" t="s">
        <v>221</v>
      </c>
      <c r="C597" s="222" t="s">
        <v>197</v>
      </c>
      <c r="D597" s="218">
        <v>9</v>
      </c>
    </row>
    <row r="598" spans="1:4" s="57" customFormat="1" ht="14.15" customHeight="1" x14ac:dyDescent="0.25">
      <c r="A598" s="3" t="str">
        <f>IF(C598="","",(VLOOKUP($C598,KEY!$B$5:$D$74,3,FALSE)))</f>
        <v>Texas</v>
      </c>
      <c r="B598" s="221" t="s">
        <v>221</v>
      </c>
      <c r="C598" s="222" t="s">
        <v>136</v>
      </c>
      <c r="D598" s="218">
        <v>20</v>
      </c>
    </row>
    <row r="599" spans="1:4" s="57" customFormat="1" ht="14.15" customHeight="1" x14ac:dyDescent="0.25">
      <c r="A599" s="3" t="str">
        <f>IF(C599="","",(VLOOKUP($C599,KEY!$B$5:$D$74,3,FALSE)))</f>
        <v>Arizona</v>
      </c>
      <c r="B599" s="221" t="s">
        <v>221</v>
      </c>
      <c r="C599" s="222" t="s">
        <v>137</v>
      </c>
      <c r="D599" s="218">
        <v>16</v>
      </c>
    </row>
    <row r="600" spans="1:4" s="57" customFormat="1" ht="14.15" customHeight="1" x14ac:dyDescent="0.25">
      <c r="A600" s="3" t="str">
        <f>IF(C600="","",(VLOOKUP($C600,KEY!$B$5:$D$74,3,FALSE)))</f>
        <v>Texas</v>
      </c>
      <c r="B600" s="221" t="s">
        <v>221</v>
      </c>
      <c r="C600" s="222" t="s">
        <v>138</v>
      </c>
      <c r="D600" s="218">
        <v>12</v>
      </c>
    </row>
    <row r="601" spans="1:4" s="57" customFormat="1" ht="14.15" customHeight="1" x14ac:dyDescent="0.25">
      <c r="A601" s="3" t="str">
        <f>IF(C601="","",(VLOOKUP($C601,KEY!$B$5:$D$74,3,FALSE)))</f>
        <v>Southern California</v>
      </c>
      <c r="B601" s="221" t="s">
        <v>221</v>
      </c>
      <c r="C601" s="222" t="s">
        <v>139</v>
      </c>
      <c r="D601" s="218">
        <v>34</v>
      </c>
    </row>
    <row r="602" spans="1:4" s="57" customFormat="1" ht="14.15" customHeight="1" x14ac:dyDescent="0.25">
      <c r="A602" s="3" t="str">
        <f>IF(C602="","",(VLOOKUP($C602,KEY!$B$5:$D$74,3,FALSE)))</f>
        <v>Orange County</v>
      </c>
      <c r="B602" s="221" t="s">
        <v>221</v>
      </c>
      <c r="C602" s="222" t="s">
        <v>140</v>
      </c>
      <c r="D602" s="218">
        <v>10</v>
      </c>
    </row>
    <row r="603" spans="1:4" s="57" customFormat="1" ht="14.15" customHeight="1" x14ac:dyDescent="0.25">
      <c r="A603" s="3" t="str">
        <f>IF(C603="","",(VLOOKUP($C603,KEY!$B$5:$D$74,3,FALSE)))</f>
        <v>Southern California</v>
      </c>
      <c r="B603" s="221" t="s">
        <v>221</v>
      </c>
      <c r="C603" s="222" t="s">
        <v>142</v>
      </c>
      <c r="D603" s="218">
        <v>5</v>
      </c>
    </row>
    <row r="604" spans="1:4" s="57" customFormat="1" ht="14.15" customHeight="1" x14ac:dyDescent="0.25">
      <c r="A604" s="3" t="str">
        <f>IF(C604="","",(VLOOKUP($C604,KEY!$B$5:$D$74,3,FALSE)))</f>
        <v>Arizona</v>
      </c>
      <c r="B604" s="221" t="s">
        <v>221</v>
      </c>
      <c r="C604" s="222" t="s">
        <v>143</v>
      </c>
      <c r="D604" s="218">
        <v>13</v>
      </c>
    </row>
    <row r="605" spans="1:4" s="57" customFormat="1" ht="14.15" customHeight="1" x14ac:dyDescent="0.25">
      <c r="A605" s="3" t="str">
        <f>IF(C605="","",(VLOOKUP($C605,KEY!$B$5:$D$74,3,FALSE)))</f>
        <v>Arizona</v>
      </c>
      <c r="B605" s="221" t="s">
        <v>221</v>
      </c>
      <c r="C605" s="222" t="s">
        <v>144</v>
      </c>
      <c r="D605" s="218">
        <v>20</v>
      </c>
    </row>
    <row r="606" spans="1:4" s="57" customFormat="1" ht="14.15" customHeight="1" x14ac:dyDescent="0.25">
      <c r="A606" s="3" t="str">
        <f>IF(C606="","",(VLOOKUP($C606,KEY!$B$5:$D$74,3,FALSE)))</f>
        <v>Southern California</v>
      </c>
      <c r="B606" s="221" t="s">
        <v>221</v>
      </c>
      <c r="C606" s="222" t="s">
        <v>145</v>
      </c>
      <c r="D606" s="218">
        <v>20</v>
      </c>
    </row>
    <row r="607" spans="1:4" s="57" customFormat="1" ht="14.15" customHeight="1" x14ac:dyDescent="0.25">
      <c r="A607" s="3" t="str">
        <f>IF(C607="","",(VLOOKUP($C607,KEY!$B$5:$D$74,3,FALSE)))</f>
        <v>Arizona</v>
      </c>
      <c r="B607" s="221" t="s">
        <v>221</v>
      </c>
      <c r="C607" s="222" t="s">
        <v>146</v>
      </c>
      <c r="D607" s="218">
        <v>4</v>
      </c>
    </row>
    <row r="608" spans="1:4" s="57" customFormat="1" ht="14.15" customHeight="1" x14ac:dyDescent="0.25">
      <c r="A608" s="3" t="str">
        <f>IF(C608="","",(VLOOKUP($C608,KEY!$B$5:$D$74,3,FALSE)))</f>
        <v>Texas</v>
      </c>
      <c r="B608" s="221" t="s">
        <v>221</v>
      </c>
      <c r="C608" s="222" t="s">
        <v>147</v>
      </c>
      <c r="D608" s="218">
        <v>7</v>
      </c>
    </row>
    <row r="609" spans="1:4" s="57" customFormat="1" ht="14.15" customHeight="1" x14ac:dyDescent="0.25">
      <c r="A609" s="3" t="str">
        <f>IF(C609="","",(VLOOKUP($C609,KEY!$B$5:$D$74,3,FALSE)))</f>
        <v>Northern California</v>
      </c>
      <c r="B609" s="221" t="s">
        <v>221</v>
      </c>
      <c r="C609" s="222" t="s">
        <v>227</v>
      </c>
      <c r="D609" s="218">
        <v>12</v>
      </c>
    </row>
    <row r="610" spans="1:4" s="57" customFormat="1" ht="14.15" customHeight="1" x14ac:dyDescent="0.25">
      <c r="A610" s="3" t="str">
        <f>IF(C610="","",(VLOOKUP($C610,KEY!$B$5:$D$74,3,FALSE)))</f>
        <v>Orange County</v>
      </c>
      <c r="B610" s="221" t="s">
        <v>221</v>
      </c>
      <c r="C610" s="222" t="s">
        <v>149</v>
      </c>
      <c r="D610" s="218">
        <v>13</v>
      </c>
    </row>
    <row r="611" spans="1:4" s="57" customFormat="1" ht="14.15" customHeight="1" x14ac:dyDescent="0.25">
      <c r="A611" s="3" t="str">
        <f>IF(C611="","",(VLOOKUP($C611,KEY!$B$5:$D$74,3,FALSE)))</f>
        <v>Southern California</v>
      </c>
      <c r="B611" s="221" t="s">
        <v>221</v>
      </c>
      <c r="C611" s="222" t="s">
        <v>150</v>
      </c>
      <c r="D611" s="218">
        <v>5</v>
      </c>
    </row>
    <row r="612" spans="1:4" s="57" customFormat="1" ht="14.15" customHeight="1" x14ac:dyDescent="0.25">
      <c r="A612" s="3" t="str">
        <f>IF(C612="","",(VLOOKUP($C612,KEY!$B$5:$D$74,3,FALSE)))</f>
        <v>Arizona</v>
      </c>
      <c r="B612" s="221" t="s">
        <v>221</v>
      </c>
      <c r="C612" s="222" t="s">
        <v>151</v>
      </c>
      <c r="D612" s="218">
        <v>20</v>
      </c>
    </row>
    <row r="613" spans="1:4" s="57" customFormat="1" ht="14.15" customHeight="1" x14ac:dyDescent="0.25">
      <c r="A613" s="3" t="str">
        <f>IF(C613="","",(VLOOKUP($C613,KEY!$B$5:$D$74,3,FALSE)))</f>
        <v>Michigan &amp; Minnesota</v>
      </c>
      <c r="B613" s="221" t="s">
        <v>221</v>
      </c>
      <c r="C613" s="222" t="s">
        <v>206</v>
      </c>
      <c r="D613" s="218">
        <v>34</v>
      </c>
    </row>
    <row r="614" spans="1:4" s="57" customFormat="1" ht="14.15" customHeight="1" x14ac:dyDescent="0.25">
      <c r="A614" s="3" t="str">
        <f>IF(C614="","",(VLOOKUP($C614,KEY!$B$5:$D$74,3,FALSE)))</f>
        <v>Michigan &amp; Minnesota</v>
      </c>
      <c r="B614" s="221" t="s">
        <v>221</v>
      </c>
      <c r="C614" s="222" t="s">
        <v>207</v>
      </c>
      <c r="D614" s="218">
        <v>17</v>
      </c>
    </row>
    <row r="615" spans="1:4" s="57" customFormat="1" ht="14.15" customHeight="1" x14ac:dyDescent="0.25">
      <c r="A615" s="3" t="str">
        <f>IF(C615="","",(VLOOKUP($C615,KEY!$B$5:$D$74,3,FALSE)))</f>
        <v>Indiana</v>
      </c>
      <c r="B615" s="221" t="s">
        <v>221</v>
      </c>
      <c r="C615" s="222" t="s">
        <v>208</v>
      </c>
      <c r="D615" s="218"/>
    </row>
    <row r="616" spans="1:4" s="57" customFormat="1" ht="14.15" customHeight="1" x14ac:dyDescent="0.25">
      <c r="A616" s="3" t="str">
        <f>IF(C616="","",(VLOOKUP($C616,KEY!$B$5:$D$74,3,FALSE)))</f>
        <v>Indiana</v>
      </c>
      <c r="B616" s="221" t="s">
        <v>221</v>
      </c>
      <c r="C616" s="222" t="s">
        <v>209</v>
      </c>
      <c r="D616" s="218"/>
    </row>
    <row r="617" spans="1:4" s="57" customFormat="1" ht="14.15" customHeight="1" x14ac:dyDescent="0.25">
      <c r="A617" s="3" t="str">
        <f>IF(C617="","",(VLOOKUP($C617,KEY!$B$5:$D$74,3,FALSE)))</f>
        <v>Northern California</v>
      </c>
      <c r="B617" s="221" t="s">
        <v>221</v>
      </c>
      <c r="C617" s="222" t="s">
        <v>152</v>
      </c>
      <c r="D617" s="218">
        <v>18</v>
      </c>
    </row>
    <row r="618" spans="1:4" s="57" customFormat="1" ht="14.15" customHeight="1" x14ac:dyDescent="0.25">
      <c r="A618" s="3" t="str">
        <f>IF(C618="","",(VLOOKUP($C618,KEY!$B$5:$D$74,3,FALSE)))</f>
        <v>Arizona</v>
      </c>
      <c r="B618" s="221" t="s">
        <v>221</v>
      </c>
      <c r="C618" s="222" t="s">
        <v>153</v>
      </c>
      <c r="D618" s="218">
        <v>43</v>
      </c>
    </row>
    <row r="619" spans="1:4" s="57" customFormat="1" ht="14.15" customHeight="1" x14ac:dyDescent="0.25">
      <c r="A619" s="3" t="str">
        <f>IF(C619="","",(VLOOKUP($C619,KEY!$B$5:$D$74,3,FALSE)))</f>
        <v>Northern California</v>
      </c>
      <c r="B619" s="221" t="s">
        <v>221</v>
      </c>
      <c r="C619" s="222" t="s">
        <v>154</v>
      </c>
      <c r="D619" s="218">
        <v>19</v>
      </c>
    </row>
    <row r="620" spans="1:4" s="57" customFormat="1" ht="14.15" customHeight="1" x14ac:dyDescent="0.25">
      <c r="A620" s="3" t="str">
        <f>IF(C620="","",(VLOOKUP($C620,KEY!$B$5:$D$74,3,FALSE)))</f>
        <v>Texas</v>
      </c>
      <c r="B620" s="221" t="s">
        <v>221</v>
      </c>
      <c r="C620" s="222" t="s">
        <v>155</v>
      </c>
      <c r="D620" s="218">
        <v>58</v>
      </c>
    </row>
    <row r="621" spans="1:4" s="57" customFormat="1" ht="14.15" customHeight="1" x14ac:dyDescent="0.25">
      <c r="A621" s="3" t="str">
        <f>IF(C621="","",(VLOOKUP($C621,KEY!$B$5:$D$74,3,FALSE)))</f>
        <v>Texas</v>
      </c>
      <c r="B621" s="221" t="s">
        <v>221</v>
      </c>
      <c r="C621" s="222" t="s">
        <v>156</v>
      </c>
      <c r="D621" s="218">
        <v>15</v>
      </c>
    </row>
    <row r="622" spans="1:4" s="57" customFormat="1" ht="14.15" customHeight="1" x14ac:dyDescent="0.25">
      <c r="A622" s="3" t="str">
        <f>IF(C622="","",(VLOOKUP($C622,KEY!$B$5:$D$74,3,FALSE)))</f>
        <v>Texas</v>
      </c>
      <c r="B622" s="221" t="s">
        <v>221</v>
      </c>
      <c r="C622" s="222" t="s">
        <v>157</v>
      </c>
      <c r="D622" s="218">
        <v>41</v>
      </c>
    </row>
    <row r="623" spans="1:4" s="57" customFormat="1" ht="14.15" customHeight="1" x14ac:dyDescent="0.25">
      <c r="A623" s="3" t="str">
        <f>IF(C623="","",(VLOOKUP($C623,KEY!$B$5:$D$74,3,FALSE)))</f>
        <v>Arizona</v>
      </c>
      <c r="B623" s="221" t="s">
        <v>221</v>
      </c>
      <c r="C623" s="222" t="s">
        <v>158</v>
      </c>
      <c r="D623" s="218">
        <v>9</v>
      </c>
    </row>
    <row r="624" spans="1:4" s="57" customFormat="1" ht="14.15" customHeight="1" x14ac:dyDescent="0.25">
      <c r="A624" s="3" t="str">
        <f>IF(C624="","",(VLOOKUP($C624,KEY!$B$5:$D$74,3,FALSE)))</f>
        <v>Orange County</v>
      </c>
      <c r="B624" s="221" t="s">
        <v>221</v>
      </c>
      <c r="C624" s="222" t="s">
        <v>159</v>
      </c>
      <c r="D624" s="218">
        <v>16</v>
      </c>
    </row>
    <row r="625" spans="1:4" s="57" customFormat="1" ht="14.15" customHeight="1" x14ac:dyDescent="0.25">
      <c r="A625" s="3" t="str">
        <f>IF(C625="","",(VLOOKUP($C625,KEY!$B$5:$D$74,3,FALSE)))</f>
        <v>Arizona</v>
      </c>
      <c r="B625" s="221" t="s">
        <v>221</v>
      </c>
      <c r="C625" s="222" t="s">
        <v>160</v>
      </c>
      <c r="D625" s="218">
        <v>23</v>
      </c>
    </row>
    <row r="626" spans="1:4" s="57" customFormat="1" ht="14.15" customHeight="1" x14ac:dyDescent="0.25">
      <c r="A626" s="3" t="str">
        <f>IF(C626="","",(VLOOKUP($C626,KEY!$B$5:$D$74,3,FALSE)))</f>
        <v>Northern California</v>
      </c>
      <c r="B626" s="221" t="s">
        <v>221</v>
      </c>
      <c r="C626" s="222" t="s">
        <v>161</v>
      </c>
      <c r="D626" s="218">
        <v>20</v>
      </c>
    </row>
    <row r="627" spans="1:4" s="57" customFormat="1" ht="14.15" customHeight="1" x14ac:dyDescent="0.25">
      <c r="A627" s="3" t="e">
        <f>IF(C627="","",(VLOOKUP($C627,KEY!$B$5:$D$74,3,FALSE)))</f>
        <v>#N/A</v>
      </c>
      <c r="B627" s="221" t="s">
        <v>221</v>
      </c>
      <c r="C627" s="222" t="s">
        <v>162</v>
      </c>
      <c r="D627" s="218">
        <v>41</v>
      </c>
    </row>
    <row r="628" spans="1:4" s="57" customFormat="1" ht="14.15" customHeight="1" x14ac:dyDescent="0.25">
      <c r="A628" s="3" t="str">
        <f>IF(C628="","",(VLOOKUP($C628,KEY!$B$5:$D$74,3,FALSE)))</f>
        <v>Arizona</v>
      </c>
      <c r="B628" s="221" t="s">
        <v>221</v>
      </c>
      <c r="C628" s="222" t="s">
        <v>163</v>
      </c>
      <c r="D628" s="218">
        <v>29</v>
      </c>
    </row>
    <row r="629" spans="1:4" s="57" customFormat="1" ht="14.15" customHeight="1" x14ac:dyDescent="0.25">
      <c r="A629" s="3" t="str">
        <f>IF(C629="","",(VLOOKUP($C629,KEY!$B$5:$D$74,3,FALSE)))</f>
        <v>Arizona</v>
      </c>
      <c r="B629" s="221" t="s">
        <v>221</v>
      </c>
      <c r="C629" s="222" t="s">
        <v>164</v>
      </c>
      <c r="D629" s="218">
        <v>12</v>
      </c>
    </row>
    <row r="630" spans="1:4" s="57" customFormat="1" ht="14.15" customHeight="1" x14ac:dyDescent="0.25">
      <c r="A630" s="3" t="str">
        <f>IF(C630="","",(VLOOKUP($C630,KEY!$B$5:$D$74,3,FALSE)))</f>
        <v>Orange County</v>
      </c>
      <c r="B630" s="221" t="s">
        <v>221</v>
      </c>
      <c r="C630" s="222" t="s">
        <v>165</v>
      </c>
      <c r="D630" s="218">
        <v>12</v>
      </c>
    </row>
    <row r="631" spans="1:4" s="57" customFormat="1" ht="14.15" customHeight="1" x14ac:dyDescent="0.25">
      <c r="A631" s="3" t="str">
        <f>IF(C631="","",(VLOOKUP($C631,KEY!$B$5:$D$74,3,FALSE)))</f>
        <v/>
      </c>
      <c r="B631" s="221" t="s">
        <v>221</v>
      </c>
      <c r="C631" s="222"/>
      <c r="D631" s="218"/>
    </row>
    <row r="632" spans="1:4" s="57" customFormat="1" ht="14.15" customHeight="1" x14ac:dyDescent="0.25">
      <c r="A632" s="3" t="str">
        <f>IF(C632="","",(VLOOKUP($C632,KEY!$B$5:$D$74,3,FALSE)))</f>
        <v/>
      </c>
      <c r="B632" s="221" t="s">
        <v>221</v>
      </c>
      <c r="C632" s="222"/>
      <c r="D632" s="218"/>
    </row>
    <row r="633" spans="1:4" s="57" customFormat="1" ht="14.15" customHeight="1" x14ac:dyDescent="0.25">
      <c r="A633" s="3" t="str">
        <f>IF(C633="","",(VLOOKUP($C633,KEY!$B$5:$D$74,3,FALSE)))</f>
        <v/>
      </c>
      <c r="B633" s="221" t="s">
        <v>221</v>
      </c>
      <c r="C633" s="222"/>
      <c r="D633" s="218"/>
    </row>
    <row r="634" spans="1:4" s="57" customFormat="1" ht="14.15" customHeight="1" x14ac:dyDescent="0.25">
      <c r="A634" s="3" t="str">
        <f>IF(C634="","",(VLOOKUP($C634,KEY!$B$5:$D$74,3,FALSE)))</f>
        <v/>
      </c>
      <c r="B634" s="402" t="s">
        <v>221</v>
      </c>
      <c r="C634" s="403"/>
      <c r="D634" s="404"/>
    </row>
    <row r="635" spans="1:4" s="57" customFormat="1" ht="14.15" customHeight="1" x14ac:dyDescent="0.25">
      <c r="A635" s="3" t="str">
        <f>IF(C635="","",(VLOOKUP($C635,KEY!$B$5:$D$74,3,FALSE)))</f>
        <v>Arizona</v>
      </c>
      <c r="B635" s="221" t="s">
        <v>222</v>
      </c>
      <c r="C635" s="222" t="s">
        <v>111</v>
      </c>
      <c r="D635" s="218">
        <v>19</v>
      </c>
    </row>
    <row r="636" spans="1:4" s="57" customFormat="1" ht="14.15" customHeight="1" x14ac:dyDescent="0.25">
      <c r="A636" s="3" t="str">
        <f>IF(C636="","",(VLOOKUP($C636,KEY!$B$5:$D$74,3,FALSE)))</f>
        <v>Southern California</v>
      </c>
      <c r="B636" s="221" t="s">
        <v>222</v>
      </c>
      <c r="C636" s="222" t="s">
        <v>112</v>
      </c>
      <c r="D636" s="218">
        <v>5</v>
      </c>
    </row>
    <row r="637" spans="1:4" s="57" customFormat="1" ht="14.15" customHeight="1" x14ac:dyDescent="0.25">
      <c r="A637" s="3" t="str">
        <f>IF(C637="","",(VLOOKUP($C637,KEY!$B$5:$D$74,3,FALSE)))</f>
        <v>Arizona</v>
      </c>
      <c r="B637" s="221" t="s">
        <v>222</v>
      </c>
      <c r="C637" s="222" t="s">
        <v>113</v>
      </c>
      <c r="D637" s="218">
        <v>16</v>
      </c>
    </row>
    <row r="638" spans="1:4" s="57" customFormat="1" ht="14.15" customHeight="1" x14ac:dyDescent="0.25">
      <c r="A638" s="3" t="str">
        <f>IF(C638="","",(VLOOKUP($C638,KEY!$B$5:$D$74,3,FALSE)))</f>
        <v>Southern California</v>
      </c>
      <c r="B638" s="221" t="s">
        <v>222</v>
      </c>
      <c r="C638" s="222" t="s">
        <v>114</v>
      </c>
      <c r="D638" s="218">
        <v>10</v>
      </c>
    </row>
    <row r="639" spans="1:4" s="57" customFormat="1" ht="14.15" customHeight="1" x14ac:dyDescent="0.25">
      <c r="A639" s="3" t="str">
        <f>IF(C639="","",(VLOOKUP($C639,KEY!$B$5:$D$74,3,FALSE)))</f>
        <v>Orange County</v>
      </c>
      <c r="B639" s="221" t="s">
        <v>222</v>
      </c>
      <c r="C639" s="222" t="s">
        <v>115</v>
      </c>
      <c r="D639" s="218">
        <v>17</v>
      </c>
    </row>
    <row r="640" spans="1:4" s="57" customFormat="1" ht="14.15" customHeight="1" x14ac:dyDescent="0.25">
      <c r="A640" s="3" t="str">
        <f>IF(C640="","",(VLOOKUP($C640,KEY!$B$5:$D$74,3,FALSE)))</f>
        <v>Arizona</v>
      </c>
      <c r="B640" s="221" t="s">
        <v>222</v>
      </c>
      <c r="C640" s="222" t="s">
        <v>116</v>
      </c>
      <c r="D640" s="218">
        <v>25</v>
      </c>
    </row>
    <row r="641" spans="1:4" s="57" customFormat="1" ht="14.15" customHeight="1" x14ac:dyDescent="0.25">
      <c r="A641" s="3" t="str">
        <f>IF(C641="","",(VLOOKUP($C641,KEY!$B$5:$D$74,3,FALSE)))</f>
        <v>Orange County</v>
      </c>
      <c r="B641" s="221" t="s">
        <v>222</v>
      </c>
      <c r="C641" s="222" t="s">
        <v>117</v>
      </c>
      <c r="D641" s="218">
        <v>22</v>
      </c>
    </row>
    <row r="642" spans="1:4" s="57" customFormat="1" ht="14.15" customHeight="1" x14ac:dyDescent="0.25">
      <c r="A642" s="3" t="str">
        <f>IF(C642="","",(VLOOKUP($C642,KEY!$B$5:$D$74,3,FALSE)))</f>
        <v>Northern California</v>
      </c>
      <c r="B642" s="221" t="s">
        <v>222</v>
      </c>
      <c r="C642" s="222" t="s">
        <v>118</v>
      </c>
      <c r="D642" s="218">
        <v>14</v>
      </c>
    </row>
    <row r="643" spans="1:4" s="57" customFormat="1" ht="14.15" customHeight="1" x14ac:dyDescent="0.25">
      <c r="A643" s="3" t="str">
        <f>IF(C643="","",(VLOOKUP($C643,KEY!$B$5:$D$74,3,FALSE)))</f>
        <v>Arizona</v>
      </c>
      <c r="B643" s="221" t="s">
        <v>222</v>
      </c>
      <c r="C643" s="222" t="s">
        <v>119</v>
      </c>
      <c r="D643" s="218">
        <v>17</v>
      </c>
    </row>
    <row r="644" spans="1:4" s="57" customFormat="1" ht="14.15" customHeight="1" x14ac:dyDescent="0.25">
      <c r="A644" s="3" t="str">
        <f>IF(C644="","",(VLOOKUP($C644,KEY!$B$5:$D$74,3,FALSE)))</f>
        <v>Michigan &amp; Minnesota</v>
      </c>
      <c r="B644" s="221" t="s">
        <v>222</v>
      </c>
      <c r="C644" s="222" t="s">
        <v>199</v>
      </c>
      <c r="D644" s="218">
        <v>9</v>
      </c>
    </row>
    <row r="645" spans="1:4" s="57" customFormat="1" ht="14.15" customHeight="1" x14ac:dyDescent="0.25">
      <c r="A645" s="3" t="str">
        <f>IF(C645="","",(VLOOKUP($C645,KEY!$B$5:$D$74,3,FALSE)))</f>
        <v>Arizona</v>
      </c>
      <c r="B645" s="221" t="s">
        <v>222</v>
      </c>
      <c r="C645" s="222" t="s">
        <v>120</v>
      </c>
      <c r="D645" s="218">
        <v>14</v>
      </c>
    </row>
    <row r="646" spans="1:4" s="57" customFormat="1" ht="14.15" customHeight="1" x14ac:dyDescent="0.25">
      <c r="A646" s="3" t="str">
        <f>IF(C646="","",(VLOOKUP($C646,KEY!$B$5:$D$74,3,FALSE)))</f>
        <v>Texas</v>
      </c>
      <c r="B646" s="221" t="s">
        <v>222</v>
      </c>
      <c r="C646" s="222" t="s">
        <v>121</v>
      </c>
      <c r="D646" s="218">
        <v>33</v>
      </c>
    </row>
    <row r="647" spans="1:4" s="57" customFormat="1" ht="14.15" customHeight="1" x14ac:dyDescent="0.25">
      <c r="A647" s="3" t="str">
        <f>IF(C647="","",(VLOOKUP($C647,KEY!$B$5:$D$74,3,FALSE)))</f>
        <v>Michigan &amp; Minnesota</v>
      </c>
      <c r="B647" s="221" t="s">
        <v>222</v>
      </c>
      <c r="C647" s="222" t="s">
        <v>200</v>
      </c>
      <c r="D647" s="218">
        <v>38</v>
      </c>
    </row>
    <row r="648" spans="1:4" s="57" customFormat="1" ht="14.15" customHeight="1" x14ac:dyDescent="0.25">
      <c r="A648" s="3" t="str">
        <f>IF(C648="","",(VLOOKUP($C648,KEY!$B$5:$D$74,3,FALSE)))</f>
        <v>Southern California</v>
      </c>
      <c r="B648" s="221" t="s">
        <v>222</v>
      </c>
      <c r="C648" s="222" t="s">
        <v>122</v>
      </c>
      <c r="D648" s="218">
        <v>11</v>
      </c>
    </row>
    <row r="649" spans="1:4" s="57" customFormat="1" ht="14.15" customHeight="1" x14ac:dyDescent="0.25">
      <c r="A649" s="3" t="str">
        <f>IF(C649="","",(VLOOKUP($C649,KEY!$B$5:$D$74,3,FALSE)))</f>
        <v>Orange County</v>
      </c>
      <c r="B649" s="221" t="s">
        <v>222</v>
      </c>
      <c r="C649" s="222" t="s">
        <v>123</v>
      </c>
      <c r="D649" s="218">
        <v>37</v>
      </c>
    </row>
    <row r="650" spans="1:4" s="57" customFormat="1" ht="14.15" customHeight="1" x14ac:dyDescent="0.25">
      <c r="A650" s="3" t="str">
        <f>IF(C650="","",(VLOOKUP($C650,KEY!$B$5:$D$74,3,FALSE)))</f>
        <v>Southern California</v>
      </c>
      <c r="B650" s="221" t="s">
        <v>222</v>
      </c>
      <c r="C650" s="222" t="s">
        <v>124</v>
      </c>
      <c r="D650" s="218">
        <v>30</v>
      </c>
    </row>
    <row r="651" spans="1:4" s="57" customFormat="1" ht="14.15" customHeight="1" x14ac:dyDescent="0.25">
      <c r="A651" s="3" t="str">
        <f>IF(C651="","",(VLOOKUP($C651,KEY!$B$5:$D$74,3,FALSE)))</f>
        <v>Northern California</v>
      </c>
      <c r="B651" s="221" t="s">
        <v>222</v>
      </c>
      <c r="C651" s="222" t="s">
        <v>195</v>
      </c>
      <c r="D651" s="218">
        <v>7</v>
      </c>
    </row>
    <row r="652" spans="1:4" s="57" customFormat="1" ht="14.15" customHeight="1" x14ac:dyDescent="0.25">
      <c r="A652" s="3" t="str">
        <f>IF(C652="","",(VLOOKUP($C652,KEY!$B$5:$D$74,3,FALSE)))</f>
        <v>Northern California</v>
      </c>
      <c r="B652" s="221" t="s">
        <v>222</v>
      </c>
      <c r="C652" s="222" t="s">
        <v>125</v>
      </c>
      <c r="D652" s="218">
        <v>37</v>
      </c>
    </row>
    <row r="653" spans="1:4" s="57" customFormat="1" ht="14.15" customHeight="1" x14ac:dyDescent="0.25">
      <c r="A653" s="3" t="str">
        <f>IF(C653="","",(VLOOKUP($C653,KEY!$B$5:$D$74,3,FALSE)))</f>
        <v>Orange County</v>
      </c>
      <c r="B653" s="221" t="s">
        <v>222</v>
      </c>
      <c r="C653" s="222" t="s">
        <v>126</v>
      </c>
      <c r="D653" s="218">
        <v>71</v>
      </c>
    </row>
    <row r="654" spans="1:4" s="57" customFormat="1" ht="14.15" customHeight="1" x14ac:dyDescent="0.25">
      <c r="A654" s="3" t="str">
        <f>IF(C654="","",(VLOOKUP($C654,KEY!$B$5:$D$74,3,FALSE)))</f>
        <v>Orange County</v>
      </c>
      <c r="B654" s="221" t="s">
        <v>222</v>
      </c>
      <c r="C654" s="222" t="s">
        <v>127</v>
      </c>
      <c r="D654" s="218">
        <v>8</v>
      </c>
    </row>
    <row r="655" spans="1:4" s="57" customFormat="1" ht="14.15" customHeight="1" x14ac:dyDescent="0.25">
      <c r="A655" s="3" t="str">
        <f>IF(C655="","",(VLOOKUP($C655,KEY!$B$5:$D$74,3,FALSE)))</f>
        <v>Wisconsin</v>
      </c>
      <c r="B655" s="221" t="s">
        <v>222</v>
      </c>
      <c r="C655" s="222" t="s">
        <v>201</v>
      </c>
      <c r="D655" s="218">
        <v>55</v>
      </c>
    </row>
    <row r="656" spans="1:4" s="57" customFormat="1" ht="14.15" customHeight="1" x14ac:dyDescent="0.25">
      <c r="A656" s="3" t="e">
        <f>IF(C656="","",(VLOOKUP($C656,KEY!$B$5:$D$74,3,FALSE)))</f>
        <v>#N/A</v>
      </c>
      <c r="B656" s="221" t="s">
        <v>222</v>
      </c>
      <c r="C656" s="222" t="s">
        <v>202</v>
      </c>
      <c r="D656" s="218">
        <v>26</v>
      </c>
    </row>
    <row r="657" spans="1:4" s="57" customFormat="1" ht="14.15" customHeight="1" x14ac:dyDescent="0.25">
      <c r="A657" s="3" t="str">
        <f>IF(C657="","",(VLOOKUP($C657,KEY!$B$5:$D$74,3,FALSE)))</f>
        <v>Texas</v>
      </c>
      <c r="B657" s="221" t="s">
        <v>222</v>
      </c>
      <c r="C657" s="222" t="s">
        <v>198</v>
      </c>
      <c r="D657" s="218">
        <v>4</v>
      </c>
    </row>
    <row r="658" spans="1:4" s="57" customFormat="1" ht="14.15" customHeight="1" x14ac:dyDescent="0.25">
      <c r="A658" s="3" t="str">
        <f>IF(C658="","",(VLOOKUP($C658,KEY!$B$5:$D$74,3,FALSE)))</f>
        <v>Texas</v>
      </c>
      <c r="B658" s="221" t="s">
        <v>222</v>
      </c>
      <c r="C658" s="222" t="s">
        <v>128</v>
      </c>
      <c r="D658" s="218">
        <v>27</v>
      </c>
    </row>
    <row r="659" spans="1:4" s="57" customFormat="1" ht="14.15" customHeight="1" x14ac:dyDescent="0.25">
      <c r="A659" s="3" t="str">
        <f>IF(C659="","",(VLOOKUP($C659,KEY!$B$5:$D$74,3,FALSE)))</f>
        <v>Northern California</v>
      </c>
      <c r="B659" s="221" t="s">
        <v>222</v>
      </c>
      <c r="C659" s="222" t="s">
        <v>129</v>
      </c>
      <c r="D659" s="218">
        <v>52</v>
      </c>
    </row>
    <row r="660" spans="1:4" s="57" customFormat="1" ht="14.15" customHeight="1" x14ac:dyDescent="0.25">
      <c r="A660" s="3" t="str">
        <f>IF(C660="","",(VLOOKUP($C660,KEY!$B$5:$D$74,3,FALSE)))</f>
        <v>Southern California</v>
      </c>
      <c r="B660" s="221" t="s">
        <v>222</v>
      </c>
      <c r="C660" s="222" t="s">
        <v>130</v>
      </c>
      <c r="D660" s="218">
        <v>18</v>
      </c>
    </row>
    <row r="661" spans="1:4" s="57" customFormat="1" ht="14.15" customHeight="1" x14ac:dyDescent="0.25">
      <c r="A661" s="3" t="str">
        <f>IF(C661="","",(VLOOKUP($C661,KEY!$B$5:$D$74,3,FALSE)))</f>
        <v>Texas</v>
      </c>
      <c r="B661" s="221" t="s">
        <v>222</v>
      </c>
      <c r="C661" s="222" t="s">
        <v>210</v>
      </c>
      <c r="D661" s="218">
        <v>22</v>
      </c>
    </row>
    <row r="662" spans="1:4" s="57" customFormat="1" ht="14.15" customHeight="1" x14ac:dyDescent="0.25">
      <c r="A662" s="3" t="e">
        <f>IF(C662="","",(VLOOKUP($C662,KEY!$B$5:$D$74,3,FALSE)))</f>
        <v>#N/A</v>
      </c>
      <c r="B662" s="221" t="s">
        <v>222</v>
      </c>
      <c r="C662" s="222" t="s">
        <v>203</v>
      </c>
      <c r="D662" s="218">
        <v>72</v>
      </c>
    </row>
    <row r="663" spans="1:4" s="57" customFormat="1" ht="14.15" customHeight="1" x14ac:dyDescent="0.25">
      <c r="A663" s="3">
        <f>IF(C663="","",(VLOOKUP($C663,KEY!$B$5:$D$74,3,FALSE)))</f>
        <v>0</v>
      </c>
      <c r="B663" s="221" t="s">
        <v>222</v>
      </c>
      <c r="C663" s="222" t="s">
        <v>131</v>
      </c>
      <c r="D663" s="218">
        <v>20</v>
      </c>
    </row>
    <row r="664" spans="1:4" s="57" customFormat="1" ht="14.15" customHeight="1" x14ac:dyDescent="0.25">
      <c r="A664" s="3" t="e">
        <f>IF(C664="","",(VLOOKUP($C664,KEY!$B$5:$D$74,3,FALSE)))</f>
        <v>#N/A</v>
      </c>
      <c r="B664" s="221" t="s">
        <v>222</v>
      </c>
      <c r="C664" s="222" t="s">
        <v>134</v>
      </c>
      <c r="D664" s="218">
        <v>13</v>
      </c>
    </row>
    <row r="665" spans="1:4" s="57" customFormat="1" ht="14.15" customHeight="1" x14ac:dyDescent="0.25">
      <c r="A665" s="3" t="str">
        <f>IF(C665="","",(VLOOKUP($C665,KEY!$B$5:$D$74,3,FALSE)))</f>
        <v>Southern California</v>
      </c>
      <c r="B665" s="221" t="s">
        <v>222</v>
      </c>
      <c r="C665" s="222" t="s">
        <v>135</v>
      </c>
      <c r="D665" s="218">
        <v>23</v>
      </c>
    </row>
    <row r="666" spans="1:4" s="57" customFormat="1" ht="14.15" customHeight="1" x14ac:dyDescent="0.25">
      <c r="A666" s="3" t="str">
        <f>IF(C666="","",(VLOOKUP($C666,KEY!$B$5:$D$74,3,FALSE)))</f>
        <v>Arizona</v>
      </c>
      <c r="B666" s="221" t="s">
        <v>222</v>
      </c>
      <c r="C666" s="222" t="s">
        <v>204</v>
      </c>
      <c r="D666" s="218">
        <v>1</v>
      </c>
    </row>
    <row r="667" spans="1:4" s="57" customFormat="1" ht="14.15" customHeight="1" x14ac:dyDescent="0.25">
      <c r="A667" s="3" t="str">
        <f>IF(C667="","",(VLOOKUP($C667,KEY!$B$5:$D$74,3,FALSE)))</f>
        <v>Arizona</v>
      </c>
      <c r="B667" s="221" t="s">
        <v>222</v>
      </c>
      <c r="C667" s="222" t="s">
        <v>196</v>
      </c>
      <c r="D667" s="218">
        <v>14</v>
      </c>
    </row>
    <row r="668" spans="1:4" s="57" customFormat="1" ht="14.15" customHeight="1" x14ac:dyDescent="0.25">
      <c r="A668" s="3" t="str">
        <f>IF(C668="","",(VLOOKUP($C668,KEY!$B$5:$D$74,3,FALSE)))</f>
        <v>Arizona</v>
      </c>
      <c r="B668" s="221" t="s">
        <v>222</v>
      </c>
      <c r="C668" s="222" t="s">
        <v>197</v>
      </c>
      <c r="D668" s="218">
        <v>20</v>
      </c>
    </row>
    <row r="669" spans="1:4" s="57" customFormat="1" ht="14.15" customHeight="1" x14ac:dyDescent="0.25">
      <c r="A669" s="3" t="str">
        <f>IF(C669="","",(VLOOKUP($C669,KEY!$B$5:$D$74,3,FALSE)))</f>
        <v>Texas</v>
      </c>
      <c r="B669" s="221" t="s">
        <v>222</v>
      </c>
      <c r="C669" s="222" t="s">
        <v>136</v>
      </c>
      <c r="D669" s="218">
        <v>51</v>
      </c>
    </row>
    <row r="670" spans="1:4" s="57" customFormat="1" ht="14.15" customHeight="1" x14ac:dyDescent="0.25">
      <c r="A670" s="3" t="str">
        <f>IF(C670="","",(VLOOKUP($C670,KEY!$B$5:$D$74,3,FALSE)))</f>
        <v>Arizona</v>
      </c>
      <c r="B670" s="221" t="s">
        <v>222</v>
      </c>
      <c r="C670" s="222" t="s">
        <v>137</v>
      </c>
      <c r="D670" s="218">
        <v>8</v>
      </c>
    </row>
    <row r="671" spans="1:4" s="57" customFormat="1" ht="14.15" customHeight="1" x14ac:dyDescent="0.25">
      <c r="A671" s="3" t="str">
        <f>IF(C671="","",(VLOOKUP($C671,KEY!$B$5:$D$74,3,FALSE)))</f>
        <v>Texas</v>
      </c>
      <c r="B671" s="221" t="s">
        <v>222</v>
      </c>
      <c r="C671" s="222" t="s">
        <v>138</v>
      </c>
      <c r="D671" s="218">
        <v>12</v>
      </c>
    </row>
    <row r="672" spans="1:4" s="57" customFormat="1" ht="14.15" customHeight="1" x14ac:dyDescent="0.25">
      <c r="A672" s="3" t="str">
        <f>IF(C672="","",(VLOOKUP($C672,KEY!$B$5:$D$74,3,FALSE)))</f>
        <v>Southern California</v>
      </c>
      <c r="B672" s="221" t="s">
        <v>222</v>
      </c>
      <c r="C672" s="222" t="s">
        <v>139</v>
      </c>
      <c r="D672" s="218">
        <v>27</v>
      </c>
    </row>
    <row r="673" spans="1:4" s="57" customFormat="1" ht="14.15" customHeight="1" x14ac:dyDescent="0.25">
      <c r="A673" s="3" t="str">
        <f>IF(C673="","",(VLOOKUP($C673,KEY!$B$5:$D$74,3,FALSE)))</f>
        <v>Orange County</v>
      </c>
      <c r="B673" s="221" t="s">
        <v>222</v>
      </c>
      <c r="C673" s="222" t="s">
        <v>140</v>
      </c>
      <c r="D673" s="218">
        <v>13</v>
      </c>
    </row>
    <row r="674" spans="1:4" s="57" customFormat="1" ht="14.15" customHeight="1" x14ac:dyDescent="0.25">
      <c r="A674" s="3" t="str">
        <f>IF(C674="","",(VLOOKUP($C674,KEY!$B$5:$D$74,3,FALSE)))</f>
        <v>Southern California</v>
      </c>
      <c r="B674" s="221" t="s">
        <v>222</v>
      </c>
      <c r="C674" s="222" t="s">
        <v>142</v>
      </c>
      <c r="D674" s="218">
        <v>4</v>
      </c>
    </row>
    <row r="675" spans="1:4" s="57" customFormat="1" ht="14.15" customHeight="1" x14ac:dyDescent="0.25">
      <c r="A675" s="3" t="str">
        <f>IF(C675="","",(VLOOKUP($C675,KEY!$B$5:$D$74,3,FALSE)))</f>
        <v>Arizona</v>
      </c>
      <c r="B675" s="221" t="s">
        <v>222</v>
      </c>
      <c r="C675" s="222" t="s">
        <v>143</v>
      </c>
      <c r="D675" s="218">
        <v>14</v>
      </c>
    </row>
    <row r="676" spans="1:4" s="57" customFormat="1" ht="14.15" customHeight="1" x14ac:dyDescent="0.25">
      <c r="A676" s="3" t="str">
        <f>IF(C676="","",(VLOOKUP($C676,KEY!$B$5:$D$74,3,FALSE)))</f>
        <v>Arizona</v>
      </c>
      <c r="B676" s="221" t="s">
        <v>222</v>
      </c>
      <c r="C676" s="222" t="s">
        <v>144</v>
      </c>
      <c r="D676" s="218">
        <v>16</v>
      </c>
    </row>
    <row r="677" spans="1:4" s="57" customFormat="1" ht="14.15" customHeight="1" x14ac:dyDescent="0.25">
      <c r="A677" s="3" t="str">
        <f>IF(C677="","",(VLOOKUP($C677,KEY!$B$5:$D$74,3,FALSE)))</f>
        <v>Southern California</v>
      </c>
      <c r="B677" s="221" t="s">
        <v>222</v>
      </c>
      <c r="C677" s="222" t="s">
        <v>145</v>
      </c>
      <c r="D677" s="218">
        <v>31</v>
      </c>
    </row>
    <row r="678" spans="1:4" s="57" customFormat="1" ht="14.15" customHeight="1" x14ac:dyDescent="0.25">
      <c r="A678" s="3" t="str">
        <f>IF(C678="","",(VLOOKUP($C678,KEY!$B$5:$D$74,3,FALSE)))</f>
        <v>Arizona</v>
      </c>
      <c r="B678" s="221" t="s">
        <v>222</v>
      </c>
      <c r="C678" s="222" t="s">
        <v>146</v>
      </c>
      <c r="D678" s="218">
        <v>5</v>
      </c>
    </row>
    <row r="679" spans="1:4" s="57" customFormat="1" ht="14.15" customHeight="1" x14ac:dyDescent="0.25">
      <c r="A679" s="3" t="str">
        <f>IF(C679="","",(VLOOKUP($C679,KEY!$B$5:$D$74,3,FALSE)))</f>
        <v>Texas</v>
      </c>
      <c r="B679" s="221" t="s">
        <v>222</v>
      </c>
      <c r="C679" s="222" t="s">
        <v>147</v>
      </c>
      <c r="D679" s="218">
        <v>10</v>
      </c>
    </row>
    <row r="680" spans="1:4" s="57" customFormat="1" ht="14.15" customHeight="1" x14ac:dyDescent="0.25">
      <c r="A680" s="3" t="str">
        <f>IF(C680="","",(VLOOKUP($C680,KEY!$B$5:$D$74,3,FALSE)))</f>
        <v>Northern California</v>
      </c>
      <c r="B680" s="221" t="s">
        <v>222</v>
      </c>
      <c r="C680" s="222" t="s">
        <v>227</v>
      </c>
      <c r="D680" s="218">
        <v>12</v>
      </c>
    </row>
    <row r="681" spans="1:4" s="57" customFormat="1" ht="14.15" customHeight="1" x14ac:dyDescent="0.25">
      <c r="A681" s="3" t="str">
        <f>IF(C681="","",(VLOOKUP($C681,KEY!$B$5:$D$74,3,FALSE)))</f>
        <v>Orange County</v>
      </c>
      <c r="B681" s="221" t="s">
        <v>222</v>
      </c>
      <c r="C681" s="222" t="s">
        <v>149</v>
      </c>
      <c r="D681" s="218">
        <v>10</v>
      </c>
    </row>
    <row r="682" spans="1:4" s="57" customFormat="1" ht="14.15" customHeight="1" x14ac:dyDescent="0.25">
      <c r="A682" s="3" t="str">
        <f>IF(C682="","",(VLOOKUP($C682,KEY!$B$5:$D$74,3,FALSE)))</f>
        <v>Southern California</v>
      </c>
      <c r="B682" s="221" t="s">
        <v>222</v>
      </c>
      <c r="C682" s="222" t="s">
        <v>150</v>
      </c>
      <c r="D682" s="218">
        <v>0</v>
      </c>
    </row>
    <row r="683" spans="1:4" s="57" customFormat="1" ht="14.15" customHeight="1" x14ac:dyDescent="0.25">
      <c r="A683" s="3" t="str">
        <f>IF(C683="","",(VLOOKUP($C683,KEY!$B$5:$D$74,3,FALSE)))</f>
        <v>Arizona</v>
      </c>
      <c r="B683" s="221" t="s">
        <v>222</v>
      </c>
      <c r="C683" s="222" t="s">
        <v>151</v>
      </c>
      <c r="D683" s="218">
        <v>19</v>
      </c>
    </row>
    <row r="684" spans="1:4" s="57" customFormat="1" ht="14.15" customHeight="1" x14ac:dyDescent="0.25">
      <c r="A684" s="3" t="str">
        <f>IF(C684="","",(VLOOKUP($C684,KEY!$B$5:$D$74,3,FALSE)))</f>
        <v>Michigan &amp; Minnesota</v>
      </c>
      <c r="B684" s="221" t="s">
        <v>222</v>
      </c>
      <c r="C684" s="222" t="s">
        <v>206</v>
      </c>
      <c r="D684" s="218">
        <v>39</v>
      </c>
    </row>
    <row r="685" spans="1:4" s="57" customFormat="1" ht="14.15" customHeight="1" x14ac:dyDescent="0.25">
      <c r="A685" s="3" t="str">
        <f>IF(C685="","",(VLOOKUP($C685,KEY!$B$5:$D$74,3,FALSE)))</f>
        <v>Michigan &amp; Minnesota</v>
      </c>
      <c r="B685" s="221" t="s">
        <v>222</v>
      </c>
      <c r="C685" s="222" t="s">
        <v>207</v>
      </c>
      <c r="D685" s="218">
        <v>29</v>
      </c>
    </row>
    <row r="686" spans="1:4" s="57" customFormat="1" ht="14.15" customHeight="1" x14ac:dyDescent="0.25">
      <c r="A686" s="3" t="str">
        <f>IF(C686="","",(VLOOKUP($C686,KEY!$B$5:$D$74,3,FALSE)))</f>
        <v>Indiana</v>
      </c>
      <c r="B686" s="221" t="s">
        <v>222</v>
      </c>
      <c r="C686" s="222" t="s">
        <v>208</v>
      </c>
      <c r="D686" s="218">
        <v>47</v>
      </c>
    </row>
    <row r="687" spans="1:4" s="57" customFormat="1" ht="14.15" customHeight="1" x14ac:dyDescent="0.25">
      <c r="A687" s="3" t="str">
        <f>IF(C687="","",(VLOOKUP($C687,KEY!$B$5:$D$74,3,FALSE)))</f>
        <v>Indiana</v>
      </c>
      <c r="B687" s="221" t="s">
        <v>222</v>
      </c>
      <c r="C687" s="222" t="s">
        <v>209</v>
      </c>
      <c r="D687" s="218">
        <v>111</v>
      </c>
    </row>
    <row r="688" spans="1:4" s="57" customFormat="1" ht="14.15" customHeight="1" x14ac:dyDescent="0.25">
      <c r="A688" s="3" t="str">
        <f>IF(C688="","",(VLOOKUP($C688,KEY!$B$5:$D$74,3,FALSE)))</f>
        <v>Northern California</v>
      </c>
      <c r="B688" s="221" t="s">
        <v>222</v>
      </c>
      <c r="C688" s="222" t="s">
        <v>152</v>
      </c>
      <c r="D688" s="218">
        <v>23</v>
      </c>
    </row>
    <row r="689" spans="1:4" s="57" customFormat="1" ht="14.15" customHeight="1" x14ac:dyDescent="0.25">
      <c r="A689" s="3" t="str">
        <f>IF(C689="","",(VLOOKUP($C689,KEY!$B$5:$D$74,3,FALSE)))</f>
        <v>Arizona</v>
      </c>
      <c r="B689" s="221" t="s">
        <v>222</v>
      </c>
      <c r="C689" s="222" t="s">
        <v>153</v>
      </c>
      <c r="D689" s="218">
        <v>28</v>
      </c>
    </row>
    <row r="690" spans="1:4" s="57" customFormat="1" ht="14.15" customHeight="1" x14ac:dyDescent="0.25">
      <c r="A690" s="3" t="str">
        <f>IF(C690="","",(VLOOKUP($C690,KEY!$B$5:$D$74,3,FALSE)))</f>
        <v>Northern California</v>
      </c>
      <c r="B690" s="221" t="s">
        <v>222</v>
      </c>
      <c r="C690" s="222" t="s">
        <v>154</v>
      </c>
      <c r="D690" s="218">
        <v>36</v>
      </c>
    </row>
    <row r="691" spans="1:4" s="57" customFormat="1" ht="14.15" customHeight="1" x14ac:dyDescent="0.25">
      <c r="A691" s="3" t="str">
        <f>IF(C691="","",(VLOOKUP($C691,KEY!$B$5:$D$74,3,FALSE)))</f>
        <v>Texas</v>
      </c>
      <c r="B691" s="221" t="s">
        <v>222</v>
      </c>
      <c r="C691" s="222" t="s">
        <v>155</v>
      </c>
      <c r="D691" s="218">
        <v>44</v>
      </c>
    </row>
    <row r="692" spans="1:4" s="57" customFormat="1" ht="14.15" customHeight="1" x14ac:dyDescent="0.25">
      <c r="A692" s="3" t="str">
        <f>IF(C692="","",(VLOOKUP($C692,KEY!$B$5:$D$74,3,FALSE)))</f>
        <v>Texas</v>
      </c>
      <c r="B692" s="221" t="s">
        <v>222</v>
      </c>
      <c r="C692" s="222" t="s">
        <v>156</v>
      </c>
      <c r="D692" s="218">
        <v>14</v>
      </c>
    </row>
    <row r="693" spans="1:4" s="57" customFormat="1" ht="14.15" customHeight="1" x14ac:dyDescent="0.25">
      <c r="A693" s="3" t="str">
        <f>IF(C693="","",(VLOOKUP($C693,KEY!$B$5:$D$74,3,FALSE)))</f>
        <v>Texas</v>
      </c>
      <c r="B693" s="221" t="s">
        <v>222</v>
      </c>
      <c r="C693" s="222" t="s">
        <v>157</v>
      </c>
      <c r="D693" s="218">
        <v>167</v>
      </c>
    </row>
    <row r="694" spans="1:4" s="57" customFormat="1" ht="14.15" customHeight="1" x14ac:dyDescent="0.25">
      <c r="A694" s="3" t="str">
        <f>IF(C694="","",(VLOOKUP($C694,KEY!$B$5:$D$74,3,FALSE)))</f>
        <v>Arizona</v>
      </c>
      <c r="B694" s="221" t="s">
        <v>222</v>
      </c>
      <c r="C694" s="222" t="s">
        <v>158</v>
      </c>
      <c r="D694" s="218">
        <v>13</v>
      </c>
    </row>
    <row r="695" spans="1:4" s="57" customFormat="1" ht="14.15" customHeight="1" x14ac:dyDescent="0.25">
      <c r="A695" s="3" t="str">
        <f>IF(C695="","",(VLOOKUP($C695,KEY!$B$5:$D$74,3,FALSE)))</f>
        <v>Orange County</v>
      </c>
      <c r="B695" s="221" t="s">
        <v>222</v>
      </c>
      <c r="C695" s="222" t="s">
        <v>159</v>
      </c>
      <c r="D695" s="218">
        <v>13</v>
      </c>
    </row>
    <row r="696" spans="1:4" s="57" customFormat="1" ht="14.15" customHeight="1" x14ac:dyDescent="0.25">
      <c r="A696" s="3" t="str">
        <f>IF(C696="","",(VLOOKUP($C696,KEY!$B$5:$D$74,3,FALSE)))</f>
        <v>Arizona</v>
      </c>
      <c r="B696" s="221" t="s">
        <v>222</v>
      </c>
      <c r="C696" s="222" t="s">
        <v>160</v>
      </c>
      <c r="D696" s="218">
        <v>41</v>
      </c>
    </row>
    <row r="697" spans="1:4" s="57" customFormat="1" ht="14.15" customHeight="1" x14ac:dyDescent="0.25">
      <c r="A697" s="3" t="str">
        <f>IF(C697="","",(VLOOKUP($C697,KEY!$B$5:$D$74,3,FALSE)))</f>
        <v>Northern California</v>
      </c>
      <c r="B697" s="221" t="s">
        <v>222</v>
      </c>
      <c r="C697" s="222" t="s">
        <v>161</v>
      </c>
      <c r="D697" s="218">
        <v>21</v>
      </c>
    </row>
    <row r="698" spans="1:4" s="57" customFormat="1" ht="14.15" customHeight="1" x14ac:dyDescent="0.25">
      <c r="A698" s="3" t="str">
        <f>IF(C698="","",(VLOOKUP($C698,KEY!$B$5:$D$74,3,FALSE)))</f>
        <v>Arizona</v>
      </c>
      <c r="B698" s="221" t="s">
        <v>222</v>
      </c>
      <c r="C698" s="222" t="s">
        <v>163</v>
      </c>
      <c r="D698" s="218">
        <v>117</v>
      </c>
    </row>
    <row r="699" spans="1:4" s="57" customFormat="1" ht="14.15" customHeight="1" x14ac:dyDescent="0.25">
      <c r="A699" s="3" t="str">
        <f>IF(C699="","",(VLOOKUP($C699,KEY!$B$5:$D$74,3,FALSE)))</f>
        <v>Arizona</v>
      </c>
      <c r="B699" s="221" t="s">
        <v>222</v>
      </c>
      <c r="C699" s="222" t="s">
        <v>164</v>
      </c>
      <c r="D699" s="218">
        <v>27</v>
      </c>
    </row>
    <row r="700" spans="1:4" s="57" customFormat="1" ht="14.15" customHeight="1" x14ac:dyDescent="0.25">
      <c r="A700" s="3" t="str">
        <f>IF(C700="","",(VLOOKUP($C700,KEY!$B$5:$D$74,3,FALSE)))</f>
        <v>Orange County</v>
      </c>
      <c r="B700" s="221" t="s">
        <v>222</v>
      </c>
      <c r="C700" s="222" t="s">
        <v>165</v>
      </c>
      <c r="D700" s="218">
        <v>16</v>
      </c>
    </row>
    <row r="701" spans="1:4" s="57" customFormat="1" ht="14.15" customHeight="1" x14ac:dyDescent="0.25">
      <c r="A701" s="3" t="str">
        <f>IF(C701="","",(VLOOKUP($C701,KEY!$B$5:$D$74,3,FALSE)))</f>
        <v/>
      </c>
      <c r="B701" s="221" t="s">
        <v>222</v>
      </c>
      <c r="C701" s="222"/>
      <c r="D701" s="218"/>
    </row>
    <row r="702" spans="1:4" s="57" customFormat="1" ht="14.15" customHeight="1" x14ac:dyDescent="0.25">
      <c r="A702" s="3" t="str">
        <f>IF(C702="","",(VLOOKUP($C702,KEY!$B$5:$D$74,3,FALSE)))</f>
        <v/>
      </c>
      <c r="B702" s="221" t="s">
        <v>222</v>
      </c>
      <c r="C702" s="222"/>
      <c r="D702" s="218"/>
    </row>
    <row r="703" spans="1:4" s="57" customFormat="1" ht="14.15" customHeight="1" x14ac:dyDescent="0.25">
      <c r="A703" s="3" t="str">
        <f>IF(C703="","",(VLOOKUP($C703,KEY!$B$5:$D$74,3,FALSE)))</f>
        <v/>
      </c>
      <c r="B703" s="221" t="s">
        <v>222</v>
      </c>
      <c r="C703" s="222"/>
      <c r="D703" s="218"/>
    </row>
    <row r="704" spans="1:4" s="57" customFormat="1" ht="14.15" customHeight="1" x14ac:dyDescent="0.25">
      <c r="A704" s="3" t="str">
        <f>IF(C704="","",(VLOOKUP($C704,KEY!$B$5:$D$74,3,FALSE)))</f>
        <v/>
      </c>
      <c r="B704" s="402" t="s">
        <v>222</v>
      </c>
      <c r="C704" s="403"/>
      <c r="D704" s="404"/>
    </row>
    <row r="705" spans="1:4" s="57" customFormat="1" ht="14.15" customHeight="1" x14ac:dyDescent="0.25">
      <c r="A705" s="3" t="str">
        <f>IF(C705="","",(VLOOKUP($C705,KEY!$B$5:$D$74,3,FALSE)))</f>
        <v>Arizona</v>
      </c>
      <c r="B705" s="221" t="s">
        <v>223</v>
      </c>
      <c r="C705" s="222" t="s">
        <v>111</v>
      </c>
      <c r="D705" s="218">
        <v>31</v>
      </c>
    </row>
    <row r="706" spans="1:4" s="57" customFormat="1" ht="14.15" customHeight="1" x14ac:dyDescent="0.25">
      <c r="A706" s="3" t="str">
        <f>IF(C706="","",(VLOOKUP($C706,KEY!$B$5:$D$74,3,FALSE)))</f>
        <v>Southern California</v>
      </c>
      <c r="B706" s="221" t="s">
        <v>223</v>
      </c>
      <c r="C706" s="222" t="s">
        <v>112</v>
      </c>
      <c r="D706" s="218">
        <v>1</v>
      </c>
    </row>
    <row r="707" spans="1:4" s="57" customFormat="1" ht="14.15" customHeight="1" x14ac:dyDescent="0.25">
      <c r="A707" s="3" t="str">
        <f>IF(C707="","",(VLOOKUP($C707,KEY!$B$5:$D$74,3,FALSE)))</f>
        <v>Arizona</v>
      </c>
      <c r="B707" s="221" t="s">
        <v>223</v>
      </c>
      <c r="C707" s="222" t="s">
        <v>113</v>
      </c>
      <c r="D707" s="218">
        <v>2</v>
      </c>
    </row>
    <row r="708" spans="1:4" s="57" customFormat="1" ht="14.15" customHeight="1" x14ac:dyDescent="0.25">
      <c r="A708" s="3" t="str">
        <f>IF(C708="","",(VLOOKUP($C708,KEY!$B$5:$D$74,3,FALSE)))</f>
        <v>Southern California</v>
      </c>
      <c r="B708" s="221" t="s">
        <v>223</v>
      </c>
      <c r="C708" s="222" t="s">
        <v>114</v>
      </c>
      <c r="D708" s="218">
        <v>9</v>
      </c>
    </row>
    <row r="709" spans="1:4" s="57" customFormat="1" ht="14.15" customHeight="1" x14ac:dyDescent="0.25">
      <c r="A709" s="3" t="str">
        <f>IF(C709="","",(VLOOKUP($C709,KEY!$B$5:$D$74,3,FALSE)))</f>
        <v>Orange County</v>
      </c>
      <c r="B709" s="221" t="s">
        <v>223</v>
      </c>
      <c r="C709" s="222" t="s">
        <v>115</v>
      </c>
      <c r="D709" s="218">
        <v>11</v>
      </c>
    </row>
    <row r="710" spans="1:4" s="57" customFormat="1" ht="14.15" customHeight="1" x14ac:dyDescent="0.25">
      <c r="A710" s="3" t="str">
        <f>IF(C710="","",(VLOOKUP($C710,KEY!$B$5:$D$74,3,FALSE)))</f>
        <v>Arizona</v>
      </c>
      <c r="B710" s="221" t="s">
        <v>223</v>
      </c>
      <c r="C710" s="222" t="s">
        <v>116</v>
      </c>
      <c r="D710" s="218">
        <v>11</v>
      </c>
    </row>
    <row r="711" spans="1:4" s="57" customFormat="1" ht="14.15" customHeight="1" x14ac:dyDescent="0.25">
      <c r="A711" s="3" t="str">
        <f>IF(C711="","",(VLOOKUP($C711,KEY!$B$5:$D$74,3,FALSE)))</f>
        <v>Northern California</v>
      </c>
      <c r="B711" s="221" t="s">
        <v>223</v>
      </c>
      <c r="C711" s="222" t="s">
        <v>118</v>
      </c>
      <c r="D711" s="218">
        <v>28</v>
      </c>
    </row>
    <row r="712" spans="1:4" s="57" customFormat="1" ht="14.15" customHeight="1" x14ac:dyDescent="0.25">
      <c r="A712" s="3" t="str">
        <f>IF(C712="","",(VLOOKUP($C712,KEY!$B$5:$D$74,3,FALSE)))</f>
        <v>Orange County</v>
      </c>
      <c r="B712" s="221" t="s">
        <v>223</v>
      </c>
      <c r="C712" s="222" t="s">
        <v>117</v>
      </c>
      <c r="D712" s="218">
        <v>17</v>
      </c>
    </row>
    <row r="713" spans="1:4" s="57" customFormat="1" ht="14.15" customHeight="1" x14ac:dyDescent="0.25">
      <c r="A713" s="3" t="str">
        <f>IF(C713="","",(VLOOKUP($C713,KEY!$B$5:$D$74,3,FALSE)))</f>
        <v>Arizona</v>
      </c>
      <c r="B713" s="221" t="s">
        <v>223</v>
      </c>
      <c r="C713" s="222" t="s">
        <v>119</v>
      </c>
      <c r="D713" s="218">
        <v>11</v>
      </c>
    </row>
    <row r="714" spans="1:4" s="57" customFormat="1" ht="14.15" customHeight="1" x14ac:dyDescent="0.25">
      <c r="A714" s="3" t="str">
        <f>IF(C714="","",(VLOOKUP($C714,KEY!$B$5:$D$74,3,FALSE)))</f>
        <v>Arizona</v>
      </c>
      <c r="B714" s="221" t="s">
        <v>223</v>
      </c>
      <c r="C714" s="222" t="s">
        <v>120</v>
      </c>
      <c r="D714" s="218">
        <v>60</v>
      </c>
    </row>
    <row r="715" spans="1:4" s="57" customFormat="1" ht="14.15" customHeight="1" x14ac:dyDescent="0.25">
      <c r="A715" s="3" t="str">
        <f>IF(C715="","",(VLOOKUP($C715,KEY!$B$5:$D$74,3,FALSE)))</f>
        <v>Texas</v>
      </c>
      <c r="B715" s="221" t="s">
        <v>223</v>
      </c>
      <c r="C715" s="222" t="s">
        <v>121</v>
      </c>
      <c r="D715" s="218">
        <v>9</v>
      </c>
    </row>
    <row r="716" spans="1:4" s="57" customFormat="1" ht="14.15" customHeight="1" x14ac:dyDescent="0.25">
      <c r="A716" s="3" t="str">
        <f>IF(C716="","",(VLOOKUP($C716,KEY!$B$5:$D$74,3,FALSE)))</f>
        <v>Michigan &amp; Minnesota</v>
      </c>
      <c r="B716" s="221" t="s">
        <v>223</v>
      </c>
      <c r="C716" s="222" t="s">
        <v>200</v>
      </c>
      <c r="D716" s="218">
        <v>10</v>
      </c>
    </row>
    <row r="717" spans="1:4" s="57" customFormat="1" ht="14.15" customHeight="1" x14ac:dyDescent="0.25">
      <c r="A717" s="3" t="str">
        <f>IF(C717="","",(VLOOKUP($C717,KEY!$B$5:$D$74,3,FALSE)))</f>
        <v>Southern California</v>
      </c>
      <c r="B717" s="221" t="s">
        <v>223</v>
      </c>
      <c r="C717" s="222" t="s">
        <v>122</v>
      </c>
      <c r="D717" s="218">
        <v>4</v>
      </c>
    </row>
    <row r="718" spans="1:4" s="57" customFormat="1" ht="14.15" customHeight="1" x14ac:dyDescent="0.25">
      <c r="A718" s="3" t="str">
        <f>IF(C718="","",(VLOOKUP($C718,KEY!$B$5:$D$74,3,FALSE)))</f>
        <v>Orange County</v>
      </c>
      <c r="B718" s="221" t="s">
        <v>223</v>
      </c>
      <c r="C718" s="222" t="s">
        <v>123</v>
      </c>
      <c r="D718" s="218">
        <v>28</v>
      </c>
    </row>
    <row r="719" spans="1:4" s="57" customFormat="1" ht="14.15" customHeight="1" x14ac:dyDescent="0.25">
      <c r="A719" s="3" t="str">
        <f>IF(C719="","",(VLOOKUP($C719,KEY!$B$5:$D$74,3,FALSE)))</f>
        <v>Southern California</v>
      </c>
      <c r="B719" s="221" t="s">
        <v>223</v>
      </c>
      <c r="C719" s="222" t="s">
        <v>124</v>
      </c>
      <c r="D719" s="218">
        <v>37</v>
      </c>
    </row>
    <row r="720" spans="1:4" s="57" customFormat="1" ht="14.15" customHeight="1" x14ac:dyDescent="0.25">
      <c r="A720" s="3" t="str">
        <f>IF(C720="","",(VLOOKUP($C720,KEY!$B$5:$D$74,3,FALSE)))</f>
        <v>Northern California</v>
      </c>
      <c r="B720" s="221" t="s">
        <v>223</v>
      </c>
      <c r="C720" s="222" t="s">
        <v>195</v>
      </c>
      <c r="D720" s="218">
        <v>4</v>
      </c>
    </row>
    <row r="721" spans="1:4" s="57" customFormat="1" ht="14.15" customHeight="1" x14ac:dyDescent="0.25">
      <c r="A721" s="3" t="str">
        <f>IF(C721="","",(VLOOKUP($C721,KEY!$B$5:$D$74,3,FALSE)))</f>
        <v>Northern California</v>
      </c>
      <c r="B721" s="221" t="s">
        <v>223</v>
      </c>
      <c r="C721" s="222" t="s">
        <v>125</v>
      </c>
      <c r="D721" s="218">
        <v>60</v>
      </c>
    </row>
    <row r="722" spans="1:4" s="57" customFormat="1" ht="14.15" customHeight="1" x14ac:dyDescent="0.25">
      <c r="A722" s="3" t="str">
        <f>IF(C722="","",(VLOOKUP($C722,KEY!$B$5:$D$74,3,FALSE)))</f>
        <v>Orange County</v>
      </c>
      <c r="B722" s="221" t="s">
        <v>223</v>
      </c>
      <c r="C722" s="222" t="s">
        <v>126</v>
      </c>
      <c r="D722" s="218">
        <v>56</v>
      </c>
    </row>
    <row r="723" spans="1:4" s="57" customFormat="1" ht="14.15" customHeight="1" x14ac:dyDescent="0.25">
      <c r="A723" s="3" t="str">
        <f>IF(C723="","",(VLOOKUP($C723,KEY!$B$5:$D$74,3,FALSE)))</f>
        <v>Orange County</v>
      </c>
      <c r="B723" s="221" t="s">
        <v>223</v>
      </c>
      <c r="C723" s="222" t="s">
        <v>127</v>
      </c>
      <c r="D723" s="218">
        <v>6</v>
      </c>
    </row>
    <row r="724" spans="1:4" s="57" customFormat="1" ht="14.15" customHeight="1" x14ac:dyDescent="0.25">
      <c r="A724" s="3" t="str">
        <f>IF(C724="","",(VLOOKUP($C724,KEY!$B$5:$D$74,3,FALSE)))</f>
        <v>Wisconsin</v>
      </c>
      <c r="B724" s="221" t="s">
        <v>223</v>
      </c>
      <c r="C724" s="222" t="s">
        <v>201</v>
      </c>
      <c r="D724" s="218">
        <v>46</v>
      </c>
    </row>
    <row r="725" spans="1:4" s="57" customFormat="1" ht="14.15" customHeight="1" x14ac:dyDescent="0.25">
      <c r="A725" s="3" t="e">
        <f>IF(C725="","",(VLOOKUP($C725,KEY!$B$5:$D$74,3,FALSE)))</f>
        <v>#N/A</v>
      </c>
      <c r="B725" s="221" t="s">
        <v>223</v>
      </c>
      <c r="C725" s="222" t="s">
        <v>202</v>
      </c>
      <c r="D725" s="218">
        <v>5</v>
      </c>
    </row>
    <row r="726" spans="1:4" s="57" customFormat="1" ht="14.15" customHeight="1" x14ac:dyDescent="0.25">
      <c r="A726" s="3" t="str">
        <f>IF(C726="","",(VLOOKUP($C726,KEY!$B$5:$D$74,3,FALSE)))</f>
        <v>Texas</v>
      </c>
      <c r="B726" s="221" t="s">
        <v>223</v>
      </c>
      <c r="C726" s="222" t="s">
        <v>198</v>
      </c>
      <c r="D726" s="218">
        <v>6</v>
      </c>
    </row>
    <row r="727" spans="1:4" s="57" customFormat="1" ht="14.15" customHeight="1" x14ac:dyDescent="0.25">
      <c r="A727" s="3" t="str">
        <f>IF(C727="","",(VLOOKUP($C727,KEY!$B$5:$D$74,3,FALSE)))</f>
        <v>Texas</v>
      </c>
      <c r="B727" s="221" t="s">
        <v>223</v>
      </c>
      <c r="C727" s="222" t="s">
        <v>128</v>
      </c>
      <c r="D727" s="218">
        <v>45</v>
      </c>
    </row>
    <row r="728" spans="1:4" s="57" customFormat="1" ht="14.15" customHeight="1" x14ac:dyDescent="0.25">
      <c r="A728" s="3" t="str">
        <f>IF(C728="","",(VLOOKUP($C728,KEY!$B$5:$D$74,3,FALSE)))</f>
        <v>Northern California</v>
      </c>
      <c r="B728" s="221" t="s">
        <v>223</v>
      </c>
      <c r="C728" s="222" t="s">
        <v>129</v>
      </c>
      <c r="D728" s="218">
        <v>33</v>
      </c>
    </row>
    <row r="729" spans="1:4" s="57" customFormat="1" ht="14.15" customHeight="1" x14ac:dyDescent="0.25">
      <c r="A729" s="3" t="str">
        <f>IF(C729="","",(VLOOKUP($C729,KEY!$B$5:$D$74,3,FALSE)))</f>
        <v>Southern California</v>
      </c>
      <c r="B729" s="221" t="s">
        <v>223</v>
      </c>
      <c r="C729" s="222" t="s">
        <v>130</v>
      </c>
      <c r="D729" s="218">
        <v>23</v>
      </c>
    </row>
    <row r="730" spans="1:4" s="57" customFormat="1" ht="14.15" customHeight="1" x14ac:dyDescent="0.25">
      <c r="A730" s="3" t="str">
        <f>IF(C730="","",(VLOOKUP($C730,KEY!$B$5:$D$74,3,FALSE)))</f>
        <v>Texas</v>
      </c>
      <c r="B730" s="221" t="s">
        <v>223</v>
      </c>
      <c r="C730" s="222" t="s">
        <v>210</v>
      </c>
      <c r="D730" s="218">
        <v>17</v>
      </c>
    </row>
    <row r="731" spans="1:4" s="57" customFormat="1" ht="14.15" customHeight="1" x14ac:dyDescent="0.25">
      <c r="A731" s="3" t="e">
        <f>IF(C731="","",(VLOOKUP($C731,KEY!$B$5:$D$74,3,FALSE)))</f>
        <v>#N/A</v>
      </c>
      <c r="B731" s="221" t="s">
        <v>223</v>
      </c>
      <c r="C731" s="222" t="s">
        <v>203</v>
      </c>
      <c r="D731" s="218">
        <v>24</v>
      </c>
    </row>
    <row r="732" spans="1:4" s="57" customFormat="1" ht="14.15" customHeight="1" x14ac:dyDescent="0.25">
      <c r="A732" s="3">
        <f>IF(C732="","",(VLOOKUP($C732,KEY!$B$5:$D$74,3,FALSE)))</f>
        <v>0</v>
      </c>
      <c r="B732" s="221" t="s">
        <v>223</v>
      </c>
      <c r="C732" s="222" t="s">
        <v>131</v>
      </c>
      <c r="D732" s="218">
        <v>48</v>
      </c>
    </row>
    <row r="733" spans="1:4" s="57" customFormat="1" ht="14.15" customHeight="1" x14ac:dyDescent="0.25">
      <c r="A733" s="3" t="e">
        <f>IF(C733="","",(VLOOKUP($C733,KEY!$B$5:$D$74,3,FALSE)))</f>
        <v>#N/A</v>
      </c>
      <c r="B733" s="221" t="s">
        <v>223</v>
      </c>
      <c r="C733" s="222" t="s">
        <v>134</v>
      </c>
      <c r="D733" s="218">
        <v>7</v>
      </c>
    </row>
    <row r="734" spans="1:4" s="57" customFormat="1" ht="14.15" customHeight="1" x14ac:dyDescent="0.25">
      <c r="A734" s="3" t="str">
        <f>IF(C734="","",(VLOOKUP($C734,KEY!$B$5:$D$74,3,FALSE)))</f>
        <v>Southern California</v>
      </c>
      <c r="B734" s="221" t="s">
        <v>223</v>
      </c>
      <c r="C734" s="222" t="s">
        <v>135</v>
      </c>
      <c r="D734" s="218">
        <v>18</v>
      </c>
    </row>
    <row r="735" spans="1:4" s="57" customFormat="1" ht="14.15" customHeight="1" x14ac:dyDescent="0.25">
      <c r="A735" s="3" t="str">
        <f>IF(C735="","",(VLOOKUP($C735,KEY!$B$5:$D$74,3,FALSE)))</f>
        <v>Arizona</v>
      </c>
      <c r="B735" s="221" t="s">
        <v>223</v>
      </c>
      <c r="C735" s="222" t="s">
        <v>204</v>
      </c>
      <c r="D735" s="218">
        <v>4</v>
      </c>
    </row>
    <row r="736" spans="1:4" s="57" customFormat="1" ht="14.15" customHeight="1" x14ac:dyDescent="0.25">
      <c r="A736" s="3" t="str">
        <f>IF(C736="","",(VLOOKUP($C736,KEY!$B$5:$D$74,3,FALSE)))</f>
        <v>Arizona</v>
      </c>
      <c r="B736" s="221" t="s">
        <v>223</v>
      </c>
      <c r="C736" s="222" t="s">
        <v>196</v>
      </c>
      <c r="D736" s="218">
        <v>14</v>
      </c>
    </row>
    <row r="737" spans="1:4" s="57" customFormat="1" ht="14.15" customHeight="1" x14ac:dyDescent="0.25">
      <c r="A737" s="3" t="str">
        <f>IF(C737="","",(VLOOKUP($C737,KEY!$B$5:$D$74,3,FALSE)))</f>
        <v>Arizona</v>
      </c>
      <c r="B737" s="221" t="s">
        <v>223</v>
      </c>
      <c r="C737" s="222" t="s">
        <v>197</v>
      </c>
      <c r="D737" s="218">
        <v>24</v>
      </c>
    </row>
    <row r="738" spans="1:4" s="57" customFormat="1" ht="14.15" customHeight="1" x14ac:dyDescent="0.25">
      <c r="A738" s="3" t="str">
        <f>IF(C738="","",(VLOOKUP($C738,KEY!$B$5:$D$74,3,FALSE)))</f>
        <v>Texas</v>
      </c>
      <c r="B738" s="221" t="s">
        <v>223</v>
      </c>
      <c r="C738" s="222" t="s">
        <v>136</v>
      </c>
      <c r="D738" s="218">
        <v>15</v>
      </c>
    </row>
    <row r="739" spans="1:4" s="57" customFormat="1" ht="14.15" customHeight="1" x14ac:dyDescent="0.25">
      <c r="A739" s="3" t="str">
        <f>IF(C739="","",(VLOOKUP($C739,KEY!$B$5:$D$74,3,FALSE)))</f>
        <v>Arizona</v>
      </c>
      <c r="B739" s="221" t="s">
        <v>223</v>
      </c>
      <c r="C739" s="222" t="s">
        <v>137</v>
      </c>
      <c r="D739" s="218">
        <v>17</v>
      </c>
    </row>
    <row r="740" spans="1:4" s="57" customFormat="1" ht="14.15" customHeight="1" x14ac:dyDescent="0.25">
      <c r="A740" s="3" t="str">
        <f>IF(C740="","",(VLOOKUP($C740,KEY!$B$5:$D$74,3,FALSE)))</f>
        <v>Texas</v>
      </c>
      <c r="B740" s="221" t="s">
        <v>223</v>
      </c>
      <c r="C740" s="222" t="s">
        <v>138</v>
      </c>
      <c r="D740" s="218">
        <v>11</v>
      </c>
    </row>
    <row r="741" spans="1:4" s="57" customFormat="1" ht="14.15" customHeight="1" x14ac:dyDescent="0.25">
      <c r="A741" s="3" t="str">
        <f>IF(C741="","",(VLOOKUP($C741,KEY!$B$5:$D$74,3,FALSE)))</f>
        <v>Southern California</v>
      </c>
      <c r="B741" s="221" t="s">
        <v>223</v>
      </c>
      <c r="C741" s="222" t="s">
        <v>139</v>
      </c>
      <c r="D741" s="218">
        <v>39</v>
      </c>
    </row>
    <row r="742" spans="1:4" s="57" customFormat="1" ht="14.15" customHeight="1" x14ac:dyDescent="0.25">
      <c r="A742" s="3" t="str">
        <f>IF(C742="","",(VLOOKUP($C742,KEY!$B$5:$D$74,3,FALSE)))</f>
        <v>Orange County</v>
      </c>
      <c r="B742" s="221" t="s">
        <v>223</v>
      </c>
      <c r="C742" s="222" t="s">
        <v>140</v>
      </c>
      <c r="D742" s="218">
        <v>6</v>
      </c>
    </row>
    <row r="743" spans="1:4" s="57" customFormat="1" ht="14.15" customHeight="1" x14ac:dyDescent="0.25">
      <c r="A743" s="3" t="str">
        <f>IF(C743="","",(VLOOKUP($C743,KEY!$B$5:$D$74,3,FALSE)))</f>
        <v>Southern California</v>
      </c>
      <c r="B743" s="221" t="s">
        <v>223</v>
      </c>
      <c r="C743" s="222" t="s">
        <v>142</v>
      </c>
      <c r="D743" s="218">
        <v>3</v>
      </c>
    </row>
    <row r="744" spans="1:4" s="57" customFormat="1" ht="14.15" customHeight="1" x14ac:dyDescent="0.25">
      <c r="A744" s="3" t="str">
        <f>IF(C744="","",(VLOOKUP($C744,KEY!$B$5:$D$74,3,FALSE)))</f>
        <v>Arizona</v>
      </c>
      <c r="B744" s="221" t="s">
        <v>223</v>
      </c>
      <c r="C744" s="222" t="s">
        <v>143</v>
      </c>
      <c r="D744" s="218">
        <v>11</v>
      </c>
    </row>
    <row r="745" spans="1:4" s="57" customFormat="1" ht="14.15" customHeight="1" x14ac:dyDescent="0.25">
      <c r="A745" s="3" t="str">
        <f>IF(C745="","",(VLOOKUP($C745,KEY!$B$5:$D$74,3,FALSE)))</f>
        <v>Arizona</v>
      </c>
      <c r="B745" s="221" t="s">
        <v>223</v>
      </c>
      <c r="C745" s="222" t="s">
        <v>144</v>
      </c>
      <c r="D745" s="218">
        <v>7</v>
      </c>
    </row>
    <row r="746" spans="1:4" s="57" customFormat="1" ht="14.15" customHeight="1" x14ac:dyDescent="0.25">
      <c r="A746" s="3" t="str">
        <f>IF(C746="","",(VLOOKUP($C746,KEY!$B$5:$D$74,3,FALSE)))</f>
        <v>Southern California</v>
      </c>
      <c r="B746" s="221" t="s">
        <v>223</v>
      </c>
      <c r="C746" s="222" t="s">
        <v>145</v>
      </c>
      <c r="D746" s="218">
        <v>17</v>
      </c>
    </row>
    <row r="747" spans="1:4" s="57" customFormat="1" ht="14.15" customHeight="1" x14ac:dyDescent="0.25">
      <c r="A747" s="3" t="str">
        <f>IF(C747="","",(VLOOKUP($C747,KEY!$B$5:$D$74,3,FALSE)))</f>
        <v>Arizona</v>
      </c>
      <c r="B747" s="221" t="s">
        <v>223</v>
      </c>
      <c r="C747" s="222" t="s">
        <v>146</v>
      </c>
      <c r="D747" s="218">
        <v>21</v>
      </c>
    </row>
    <row r="748" spans="1:4" s="57" customFormat="1" ht="14.15" customHeight="1" x14ac:dyDescent="0.25">
      <c r="A748" s="3" t="str">
        <f>IF(C748="","",(VLOOKUP($C748,KEY!$B$5:$D$74,3,FALSE)))</f>
        <v>Texas</v>
      </c>
      <c r="B748" s="221" t="s">
        <v>223</v>
      </c>
      <c r="C748" s="222" t="s">
        <v>147</v>
      </c>
      <c r="D748" s="218">
        <v>18</v>
      </c>
    </row>
    <row r="749" spans="1:4" s="57" customFormat="1" ht="14.15" customHeight="1" x14ac:dyDescent="0.25">
      <c r="A749" s="3" t="str">
        <f>IF(C749="","",(VLOOKUP($C749,KEY!$B$5:$D$74,3,FALSE)))</f>
        <v>Northern California</v>
      </c>
      <c r="B749" s="221" t="s">
        <v>223</v>
      </c>
      <c r="C749" s="222" t="s">
        <v>148</v>
      </c>
      <c r="D749" s="218">
        <v>8</v>
      </c>
    </row>
    <row r="750" spans="1:4" s="57" customFormat="1" ht="14.15" customHeight="1" x14ac:dyDescent="0.25">
      <c r="A750" s="3" t="str">
        <f>IF(C750="","",(VLOOKUP($C750,KEY!$B$5:$D$74,3,FALSE)))</f>
        <v>Orange County</v>
      </c>
      <c r="B750" s="221" t="s">
        <v>223</v>
      </c>
      <c r="C750" s="222" t="s">
        <v>149</v>
      </c>
      <c r="D750" s="218">
        <v>3</v>
      </c>
    </row>
    <row r="751" spans="1:4" s="57" customFormat="1" ht="14.15" customHeight="1" x14ac:dyDescent="0.25">
      <c r="A751" s="3" t="str">
        <f>IF(C751="","",(VLOOKUP($C751,KEY!$B$5:$D$74,3,FALSE)))</f>
        <v>Southern California</v>
      </c>
      <c r="B751" s="221" t="s">
        <v>223</v>
      </c>
      <c r="C751" s="222" t="s">
        <v>150</v>
      </c>
      <c r="D751" s="218">
        <v>1</v>
      </c>
    </row>
    <row r="752" spans="1:4" s="57" customFormat="1" ht="14.15" customHeight="1" x14ac:dyDescent="0.25">
      <c r="A752" s="3" t="str">
        <f>IF(C752="","",(VLOOKUP($C752,KEY!$B$5:$D$74,3,FALSE)))</f>
        <v>Arizona</v>
      </c>
      <c r="B752" s="221" t="s">
        <v>223</v>
      </c>
      <c r="C752" s="222" t="s">
        <v>151</v>
      </c>
      <c r="D752" s="218">
        <v>15</v>
      </c>
    </row>
    <row r="753" spans="1:4" s="57" customFormat="1" ht="14.15" customHeight="1" x14ac:dyDescent="0.25">
      <c r="A753" s="3" t="str">
        <f>IF(C753="","",(VLOOKUP($C753,KEY!$B$5:$D$74,3,FALSE)))</f>
        <v>Michigan &amp; Minnesota</v>
      </c>
      <c r="B753" s="221" t="s">
        <v>223</v>
      </c>
      <c r="C753" s="222" t="s">
        <v>206</v>
      </c>
      <c r="D753" s="218">
        <v>21</v>
      </c>
    </row>
    <row r="754" spans="1:4" s="57" customFormat="1" ht="14.15" customHeight="1" x14ac:dyDescent="0.25">
      <c r="A754" s="3" t="str">
        <f>IF(C754="","",(VLOOKUP($C754,KEY!$B$5:$D$74,3,FALSE)))</f>
        <v>Michigan &amp; Minnesota</v>
      </c>
      <c r="B754" s="221" t="s">
        <v>223</v>
      </c>
      <c r="C754" s="222" t="s">
        <v>207</v>
      </c>
      <c r="D754" s="218">
        <v>6</v>
      </c>
    </row>
    <row r="755" spans="1:4" s="57" customFormat="1" ht="14.15" customHeight="1" x14ac:dyDescent="0.25">
      <c r="A755" s="3" t="str">
        <f>IF(C755="","",(VLOOKUP($C755,KEY!$B$5:$D$74,3,FALSE)))</f>
        <v>Indiana</v>
      </c>
      <c r="B755" s="221" t="s">
        <v>223</v>
      </c>
      <c r="C755" s="222" t="s">
        <v>208</v>
      </c>
      <c r="D755" s="218">
        <v>25</v>
      </c>
    </row>
    <row r="756" spans="1:4" s="57" customFormat="1" ht="14.15" customHeight="1" x14ac:dyDescent="0.25">
      <c r="A756" s="3" t="str">
        <f>IF(C756="","",(VLOOKUP($C756,KEY!$B$5:$D$74,3,FALSE)))</f>
        <v>Indiana</v>
      </c>
      <c r="B756" s="221" t="s">
        <v>223</v>
      </c>
      <c r="C756" s="222" t="s">
        <v>209</v>
      </c>
      <c r="D756" s="218">
        <v>57</v>
      </c>
    </row>
    <row r="757" spans="1:4" s="57" customFormat="1" ht="14.15" customHeight="1" x14ac:dyDescent="0.25">
      <c r="A757" s="3" t="str">
        <f>IF(C757="","",(VLOOKUP($C757,KEY!$B$5:$D$74,3,FALSE)))</f>
        <v>Northern California</v>
      </c>
      <c r="B757" s="221" t="s">
        <v>223</v>
      </c>
      <c r="C757" s="222" t="s">
        <v>152</v>
      </c>
      <c r="D757" s="218">
        <v>18</v>
      </c>
    </row>
    <row r="758" spans="1:4" s="57" customFormat="1" ht="14.15" customHeight="1" x14ac:dyDescent="0.25">
      <c r="A758" s="3" t="str">
        <f>IF(C758="","",(VLOOKUP($C758,KEY!$B$5:$D$74,3,FALSE)))</f>
        <v>Arizona</v>
      </c>
      <c r="B758" s="221" t="s">
        <v>223</v>
      </c>
      <c r="C758" s="222" t="s">
        <v>153</v>
      </c>
      <c r="D758" s="218">
        <v>46</v>
      </c>
    </row>
    <row r="759" spans="1:4" s="57" customFormat="1" ht="14.15" customHeight="1" x14ac:dyDescent="0.25">
      <c r="A759" s="3" t="str">
        <f>IF(C759="","",(VLOOKUP($C759,KEY!$B$5:$D$74,3,FALSE)))</f>
        <v>Northern California</v>
      </c>
      <c r="B759" s="221" t="s">
        <v>223</v>
      </c>
      <c r="C759" s="222" t="s">
        <v>154</v>
      </c>
      <c r="D759" s="218">
        <v>32</v>
      </c>
    </row>
    <row r="760" spans="1:4" s="57" customFormat="1" ht="14.15" customHeight="1" x14ac:dyDescent="0.25">
      <c r="A760" s="3" t="str">
        <f>IF(C760="","",(VLOOKUP($C760,KEY!$B$5:$D$74,3,FALSE)))</f>
        <v>Texas</v>
      </c>
      <c r="B760" s="221" t="s">
        <v>223</v>
      </c>
      <c r="C760" s="222" t="s">
        <v>155</v>
      </c>
      <c r="D760" s="218">
        <v>15</v>
      </c>
    </row>
    <row r="761" spans="1:4" s="57" customFormat="1" ht="14.15" customHeight="1" x14ac:dyDescent="0.25">
      <c r="A761" s="3" t="str">
        <f>IF(C761="","",(VLOOKUP($C761,KEY!$B$5:$D$74,3,FALSE)))</f>
        <v>Texas</v>
      </c>
      <c r="B761" s="221" t="s">
        <v>223</v>
      </c>
      <c r="C761" s="222" t="s">
        <v>156</v>
      </c>
      <c r="D761" s="218">
        <v>39</v>
      </c>
    </row>
    <row r="762" spans="1:4" s="57" customFormat="1" ht="14.15" customHeight="1" x14ac:dyDescent="0.25">
      <c r="A762" s="3" t="str">
        <f>IF(C762="","",(VLOOKUP($C762,KEY!$B$5:$D$74,3,FALSE)))</f>
        <v>Texas</v>
      </c>
      <c r="B762" s="221" t="s">
        <v>223</v>
      </c>
      <c r="C762" s="222" t="s">
        <v>157</v>
      </c>
      <c r="D762" s="218">
        <v>34</v>
      </c>
    </row>
    <row r="763" spans="1:4" s="57" customFormat="1" ht="14.15" customHeight="1" x14ac:dyDescent="0.25">
      <c r="A763" s="3" t="str">
        <f>IF(C763="","",(VLOOKUP($C763,KEY!$B$5:$D$74,3,FALSE)))</f>
        <v>Arizona</v>
      </c>
      <c r="B763" s="221" t="s">
        <v>223</v>
      </c>
      <c r="C763" s="222" t="s">
        <v>158</v>
      </c>
      <c r="D763" s="218">
        <v>2</v>
      </c>
    </row>
    <row r="764" spans="1:4" s="57" customFormat="1" ht="14.15" customHeight="1" x14ac:dyDescent="0.25">
      <c r="A764" s="3" t="str">
        <f>IF(C764="","",(VLOOKUP($C764,KEY!$B$5:$D$74,3,FALSE)))</f>
        <v>Orange County</v>
      </c>
      <c r="B764" s="221" t="s">
        <v>223</v>
      </c>
      <c r="C764" s="222" t="s">
        <v>159</v>
      </c>
      <c r="D764" s="218">
        <v>21</v>
      </c>
    </row>
    <row r="765" spans="1:4" s="57" customFormat="1" ht="14.15" customHeight="1" x14ac:dyDescent="0.25">
      <c r="A765" s="3" t="str">
        <f>IF(C765="","",(VLOOKUP($C765,KEY!$B$5:$D$74,3,FALSE)))</f>
        <v>Arizona</v>
      </c>
      <c r="B765" s="221" t="s">
        <v>223</v>
      </c>
      <c r="C765" s="222" t="s">
        <v>160</v>
      </c>
      <c r="D765" s="218">
        <v>35</v>
      </c>
    </row>
    <row r="766" spans="1:4" s="57" customFormat="1" ht="14.15" customHeight="1" x14ac:dyDescent="0.25">
      <c r="A766" s="3" t="str">
        <f>IF(C766="","",(VLOOKUP($C766,KEY!$B$5:$D$74,3,FALSE)))</f>
        <v>Northern California</v>
      </c>
      <c r="B766" s="221" t="s">
        <v>223</v>
      </c>
      <c r="C766" s="222" t="s">
        <v>161</v>
      </c>
      <c r="D766" s="218">
        <v>26</v>
      </c>
    </row>
    <row r="767" spans="1:4" s="57" customFormat="1" ht="14.15" customHeight="1" x14ac:dyDescent="0.25">
      <c r="A767" s="3" t="str">
        <f>IF(C767="","",(VLOOKUP($C767,KEY!$B$5:$D$74,3,FALSE)))</f>
        <v>Arizona</v>
      </c>
      <c r="B767" s="221" t="s">
        <v>223</v>
      </c>
      <c r="C767" s="222" t="s">
        <v>163</v>
      </c>
      <c r="D767" s="218">
        <v>69</v>
      </c>
    </row>
    <row r="768" spans="1:4" s="57" customFormat="1" ht="14.15" customHeight="1" x14ac:dyDescent="0.25">
      <c r="A768" s="3" t="str">
        <f>IF(C768="","",(VLOOKUP($C768,KEY!$B$5:$D$74,3,FALSE)))</f>
        <v>Arizona</v>
      </c>
      <c r="B768" s="221" t="s">
        <v>223</v>
      </c>
      <c r="C768" s="222" t="s">
        <v>164</v>
      </c>
      <c r="D768" s="218">
        <v>10</v>
      </c>
    </row>
    <row r="769" spans="1:7" s="57" customFormat="1" ht="14.15" customHeight="1" x14ac:dyDescent="0.25">
      <c r="A769" s="3" t="str">
        <f>IF(C769="","",(VLOOKUP($C769,KEY!$B$5:$D$74,3,FALSE)))</f>
        <v>Orange County</v>
      </c>
      <c r="B769" s="221" t="s">
        <v>223</v>
      </c>
      <c r="C769" s="222" t="s">
        <v>165</v>
      </c>
      <c r="D769" s="218">
        <v>11</v>
      </c>
    </row>
    <row r="770" spans="1:7" s="57" customFormat="1" ht="14.15" customHeight="1" x14ac:dyDescent="0.25">
      <c r="A770" s="3" t="str">
        <f>IF(C770="","",(VLOOKUP($C770,KEY!$B$5:$D$74,3,FALSE)))</f>
        <v/>
      </c>
      <c r="B770" s="221" t="s">
        <v>223</v>
      </c>
      <c r="C770" s="222"/>
      <c r="D770" s="218"/>
    </row>
    <row r="771" spans="1:7" s="57" customFormat="1" ht="14.15" customHeight="1" x14ac:dyDescent="0.25">
      <c r="A771" s="3" t="str">
        <f>IF(C771="","",(VLOOKUP($C771,KEY!$B$5:$D$74,3,FALSE)))</f>
        <v/>
      </c>
      <c r="B771" s="221" t="s">
        <v>223</v>
      </c>
      <c r="C771" s="222"/>
      <c r="D771" s="218"/>
    </row>
    <row r="772" spans="1:7" s="57" customFormat="1" ht="14.15" customHeight="1" x14ac:dyDescent="0.25">
      <c r="A772" s="3" t="str">
        <f>IF(C772="","",(VLOOKUP($C772,KEY!$B$5:$D$74,3,FALSE)))</f>
        <v/>
      </c>
      <c r="B772" s="221" t="s">
        <v>223</v>
      </c>
      <c r="C772" s="222"/>
      <c r="D772" s="218"/>
    </row>
    <row r="773" spans="1:7" s="57" customFormat="1" ht="14.15" customHeight="1" x14ac:dyDescent="0.25">
      <c r="A773" s="3" t="str">
        <f>IF(C773="","",(VLOOKUP($C773,KEY!$B$5:$D$74,3,FALSE)))</f>
        <v/>
      </c>
      <c r="B773" s="221" t="s">
        <v>223</v>
      </c>
      <c r="C773" s="222"/>
      <c r="D773" s="218"/>
    </row>
    <row r="774" spans="1:7" s="57" customFormat="1" ht="14.15" customHeight="1" x14ac:dyDescent="0.25">
      <c r="A774" s="3" t="str">
        <f>IF(C774="","",(VLOOKUP($C774,KEY!$B$5:$D$74,3,FALSE)))</f>
        <v/>
      </c>
      <c r="B774" s="402" t="s">
        <v>223</v>
      </c>
      <c r="C774" s="403"/>
      <c r="D774" s="404"/>
    </row>
    <row r="775" spans="1:7" s="57" customFormat="1" ht="14.15" customHeight="1" x14ac:dyDescent="0.25">
      <c r="A775" s="3" t="str">
        <f>IF(C775="","",(VLOOKUP($C775,KEY!$B$5:$D$74,3,FALSE)))</f>
        <v>Arizona</v>
      </c>
      <c r="B775" s="221" t="s">
        <v>224</v>
      </c>
      <c r="C775" s="222" t="s">
        <v>111</v>
      </c>
      <c r="D775" s="218">
        <v>17</v>
      </c>
      <c r="G775" s="3"/>
    </row>
    <row r="776" spans="1:7" s="57" customFormat="1" ht="14.15" customHeight="1" x14ac:dyDescent="0.25">
      <c r="A776" s="3" t="str">
        <f>IF(C776="","",(VLOOKUP($C776,KEY!$B$5:$D$74,3,FALSE)))</f>
        <v>Southern California</v>
      </c>
      <c r="B776" s="221" t="s">
        <v>224</v>
      </c>
      <c r="C776" s="222" t="s">
        <v>112</v>
      </c>
      <c r="D776" s="218">
        <v>7</v>
      </c>
      <c r="G776" s="3"/>
    </row>
    <row r="777" spans="1:7" s="57" customFormat="1" ht="14.15" customHeight="1" x14ac:dyDescent="0.25">
      <c r="A777" s="3" t="str">
        <f>IF(C777="","",(VLOOKUP($C777,KEY!$B$5:$D$74,3,FALSE)))</f>
        <v>Arizona</v>
      </c>
      <c r="B777" s="221" t="s">
        <v>224</v>
      </c>
      <c r="C777" s="222" t="s">
        <v>113</v>
      </c>
      <c r="D777" s="218">
        <v>17</v>
      </c>
      <c r="G777" s="3"/>
    </row>
    <row r="778" spans="1:7" s="57" customFormat="1" ht="14.15" customHeight="1" x14ac:dyDescent="0.25">
      <c r="A778" s="3" t="str">
        <f>IF(C778="","",(VLOOKUP($C778,KEY!$B$5:$D$74,3,FALSE)))</f>
        <v>Southern California</v>
      </c>
      <c r="B778" s="221" t="s">
        <v>224</v>
      </c>
      <c r="C778" s="222" t="s">
        <v>114</v>
      </c>
      <c r="D778" s="218">
        <v>13</v>
      </c>
      <c r="G778" s="3"/>
    </row>
    <row r="779" spans="1:7" s="57" customFormat="1" ht="14.15" customHeight="1" x14ac:dyDescent="0.25">
      <c r="A779" s="3" t="str">
        <f>IF(C779="","",(VLOOKUP($C779,KEY!$B$5:$D$74,3,FALSE)))</f>
        <v>Orange County</v>
      </c>
      <c r="B779" s="221" t="s">
        <v>224</v>
      </c>
      <c r="C779" s="222" t="s">
        <v>115</v>
      </c>
      <c r="D779" s="218">
        <v>13</v>
      </c>
      <c r="G779" s="3"/>
    </row>
    <row r="780" spans="1:7" s="57" customFormat="1" ht="14.15" customHeight="1" x14ac:dyDescent="0.25">
      <c r="A780" s="3" t="str">
        <f>IF(C780="","",(VLOOKUP($C780,KEY!$B$5:$D$74,3,FALSE)))</f>
        <v>Arizona</v>
      </c>
      <c r="B780" s="221" t="s">
        <v>224</v>
      </c>
      <c r="C780" s="222" t="s">
        <v>116</v>
      </c>
      <c r="D780" s="218">
        <v>10</v>
      </c>
      <c r="G780" s="3"/>
    </row>
    <row r="781" spans="1:7" s="57" customFormat="1" ht="14.15" customHeight="1" x14ac:dyDescent="0.25">
      <c r="A781" s="3" t="str">
        <f>IF(C781="","",(VLOOKUP($C781,KEY!$B$5:$D$74,3,FALSE)))</f>
        <v>Northern California</v>
      </c>
      <c r="B781" s="221" t="s">
        <v>224</v>
      </c>
      <c r="C781" s="222" t="s">
        <v>118</v>
      </c>
      <c r="D781" s="218">
        <v>15</v>
      </c>
      <c r="G781" s="3"/>
    </row>
    <row r="782" spans="1:7" s="57" customFormat="1" ht="14.15" customHeight="1" x14ac:dyDescent="0.25">
      <c r="A782" s="3" t="str">
        <f>IF(C782="","",(VLOOKUP($C782,KEY!$B$5:$D$74,3,FALSE)))</f>
        <v>Orange County</v>
      </c>
      <c r="B782" s="221" t="s">
        <v>224</v>
      </c>
      <c r="C782" s="222" t="s">
        <v>117</v>
      </c>
      <c r="D782" s="218">
        <v>20</v>
      </c>
      <c r="G782" s="3"/>
    </row>
    <row r="783" spans="1:7" s="57" customFormat="1" ht="14.15" customHeight="1" x14ac:dyDescent="0.25">
      <c r="A783" s="3" t="str">
        <f>IF(C783="","",(VLOOKUP($C783,KEY!$B$5:$D$74,3,FALSE)))</f>
        <v>Arizona</v>
      </c>
      <c r="B783" s="221" t="s">
        <v>224</v>
      </c>
      <c r="C783" s="222" t="s">
        <v>119</v>
      </c>
      <c r="D783" s="218">
        <v>4</v>
      </c>
      <c r="G783" s="3"/>
    </row>
    <row r="784" spans="1:7" s="57" customFormat="1" ht="14.15" customHeight="1" x14ac:dyDescent="0.25">
      <c r="A784" s="3" t="str">
        <f>IF(C784="","",(VLOOKUP($C784,KEY!$B$5:$D$74,3,FALSE)))</f>
        <v>Arizona</v>
      </c>
      <c r="B784" s="221" t="s">
        <v>224</v>
      </c>
      <c r="C784" s="222" t="s">
        <v>120</v>
      </c>
      <c r="D784" s="218">
        <v>12</v>
      </c>
      <c r="G784" s="3"/>
    </row>
    <row r="785" spans="1:7" s="57" customFormat="1" ht="14.15" customHeight="1" x14ac:dyDescent="0.25">
      <c r="A785" s="3" t="str">
        <f>IF(C785="","",(VLOOKUP($C785,KEY!$B$5:$D$74,3,FALSE)))</f>
        <v>Texas</v>
      </c>
      <c r="B785" s="221" t="s">
        <v>224</v>
      </c>
      <c r="C785" s="222" t="s">
        <v>121</v>
      </c>
      <c r="D785" s="218">
        <v>20</v>
      </c>
      <c r="G785" s="3"/>
    </row>
    <row r="786" spans="1:7" s="57" customFormat="1" ht="14.15" customHeight="1" x14ac:dyDescent="0.25">
      <c r="A786" s="3" t="str">
        <f>IF(C786="","",(VLOOKUP($C786,KEY!$B$5:$D$74,3,FALSE)))</f>
        <v>Michigan &amp; Minnesota</v>
      </c>
      <c r="B786" s="221" t="s">
        <v>224</v>
      </c>
      <c r="C786" s="222" t="s">
        <v>200</v>
      </c>
      <c r="D786" s="218">
        <v>56</v>
      </c>
      <c r="G786" s="3"/>
    </row>
    <row r="787" spans="1:7" s="57" customFormat="1" ht="14.15" customHeight="1" x14ac:dyDescent="0.25">
      <c r="A787" s="3" t="str">
        <f>IF(C787="","",(VLOOKUP($C787,KEY!$B$5:$D$74,3,FALSE)))</f>
        <v>Orange County</v>
      </c>
      <c r="B787" s="221" t="s">
        <v>224</v>
      </c>
      <c r="C787" s="222" t="s">
        <v>123</v>
      </c>
      <c r="D787" s="218">
        <v>31</v>
      </c>
      <c r="G787" s="3"/>
    </row>
    <row r="788" spans="1:7" s="57" customFormat="1" ht="14.15" customHeight="1" x14ac:dyDescent="0.25">
      <c r="A788" s="3" t="str">
        <f>IF(C788="","",(VLOOKUP($C788,KEY!$B$5:$D$74,3,FALSE)))</f>
        <v>Southern California</v>
      </c>
      <c r="B788" s="221" t="s">
        <v>224</v>
      </c>
      <c r="C788" s="222" t="s">
        <v>124</v>
      </c>
      <c r="D788" s="218">
        <v>39</v>
      </c>
      <c r="G788" s="3"/>
    </row>
    <row r="789" spans="1:7" s="57" customFormat="1" ht="14.15" customHeight="1" x14ac:dyDescent="0.25">
      <c r="A789" s="3" t="str">
        <f>IF(C789="","",(VLOOKUP($C789,KEY!$B$5:$D$74,3,FALSE)))</f>
        <v>Southern California</v>
      </c>
      <c r="B789" s="221" t="s">
        <v>224</v>
      </c>
      <c r="C789" s="222" t="s">
        <v>122</v>
      </c>
      <c r="D789" s="218">
        <v>7</v>
      </c>
      <c r="G789" s="3"/>
    </row>
    <row r="790" spans="1:7" s="57" customFormat="1" ht="14.15" customHeight="1" x14ac:dyDescent="0.25">
      <c r="A790" s="3" t="str">
        <f>IF(C790="","",(VLOOKUP($C790,KEY!$B$5:$D$74,3,FALSE)))</f>
        <v>Northern California</v>
      </c>
      <c r="B790" s="221" t="s">
        <v>224</v>
      </c>
      <c r="C790" s="222" t="s">
        <v>195</v>
      </c>
      <c r="D790" s="218">
        <v>11</v>
      </c>
      <c r="G790" s="3"/>
    </row>
    <row r="791" spans="1:7" s="57" customFormat="1" ht="14.15" customHeight="1" x14ac:dyDescent="0.25">
      <c r="A791" s="3" t="str">
        <f>IF(C791="","",(VLOOKUP($C791,KEY!$B$5:$D$74,3,FALSE)))</f>
        <v>Northern California</v>
      </c>
      <c r="B791" s="221" t="s">
        <v>224</v>
      </c>
      <c r="C791" s="222" t="s">
        <v>125</v>
      </c>
      <c r="D791" s="218">
        <v>15</v>
      </c>
      <c r="G791" s="3"/>
    </row>
    <row r="792" spans="1:7" s="57" customFormat="1" ht="14.15" customHeight="1" x14ac:dyDescent="0.25">
      <c r="A792" s="3" t="str">
        <f>IF(C792="","",(VLOOKUP($C792,KEY!$B$5:$D$74,3,FALSE)))</f>
        <v>Orange County</v>
      </c>
      <c r="B792" s="221" t="s">
        <v>224</v>
      </c>
      <c r="C792" s="222" t="s">
        <v>126</v>
      </c>
      <c r="D792" s="218">
        <v>45</v>
      </c>
      <c r="G792" s="3"/>
    </row>
    <row r="793" spans="1:7" s="57" customFormat="1" ht="14.15" customHeight="1" x14ac:dyDescent="0.25">
      <c r="A793" s="3" t="str">
        <f>IF(C793="","",(VLOOKUP($C793,KEY!$B$5:$D$74,3,FALSE)))</f>
        <v>Orange County</v>
      </c>
      <c r="B793" s="221" t="s">
        <v>224</v>
      </c>
      <c r="C793" s="222" t="s">
        <v>127</v>
      </c>
      <c r="D793" s="218">
        <v>15</v>
      </c>
      <c r="G793" s="3"/>
    </row>
    <row r="794" spans="1:7" s="57" customFormat="1" ht="14.15" customHeight="1" x14ac:dyDescent="0.25">
      <c r="A794" s="3" t="str">
        <f>IF(C794="","",(VLOOKUP($C794,KEY!$B$5:$D$74,3,FALSE)))</f>
        <v>Wisconsin</v>
      </c>
      <c r="B794" s="221" t="s">
        <v>224</v>
      </c>
      <c r="C794" s="222" t="s">
        <v>201</v>
      </c>
      <c r="D794" s="218">
        <v>33</v>
      </c>
      <c r="G794" s="3"/>
    </row>
    <row r="795" spans="1:7" s="57" customFormat="1" ht="14.15" customHeight="1" x14ac:dyDescent="0.25">
      <c r="A795" s="3" t="e">
        <f>IF(C795="","",(VLOOKUP($C795,KEY!$B$5:$D$74,3,FALSE)))</f>
        <v>#N/A</v>
      </c>
      <c r="B795" s="221" t="s">
        <v>224</v>
      </c>
      <c r="C795" s="222" t="s">
        <v>202</v>
      </c>
      <c r="D795" s="218">
        <v>5</v>
      </c>
      <c r="G795" s="3"/>
    </row>
    <row r="796" spans="1:7" s="57" customFormat="1" ht="14.15" customHeight="1" x14ac:dyDescent="0.25">
      <c r="A796" s="3" t="str">
        <f>IF(C796="","",(VLOOKUP($C796,KEY!$B$5:$D$74,3,FALSE)))</f>
        <v>Texas</v>
      </c>
      <c r="B796" s="221" t="s">
        <v>224</v>
      </c>
      <c r="C796" s="222" t="s">
        <v>198</v>
      </c>
      <c r="D796" s="218">
        <v>0</v>
      </c>
      <c r="G796" s="3"/>
    </row>
    <row r="797" spans="1:7" s="57" customFormat="1" ht="14.15" customHeight="1" x14ac:dyDescent="0.25">
      <c r="A797" s="3" t="str">
        <f>IF(C797="","",(VLOOKUP($C797,KEY!$B$5:$D$74,3,FALSE)))</f>
        <v>Texas</v>
      </c>
      <c r="B797" s="221" t="s">
        <v>224</v>
      </c>
      <c r="C797" s="222" t="s">
        <v>128</v>
      </c>
      <c r="D797" s="218">
        <v>41</v>
      </c>
      <c r="G797" s="3"/>
    </row>
    <row r="798" spans="1:7" s="57" customFormat="1" ht="14.15" customHeight="1" x14ac:dyDescent="0.25">
      <c r="A798" s="3" t="str">
        <f>IF(C798="","",(VLOOKUP($C798,KEY!$B$5:$D$74,3,FALSE)))</f>
        <v>Northern California</v>
      </c>
      <c r="B798" s="221" t="s">
        <v>224</v>
      </c>
      <c r="C798" s="222" t="s">
        <v>129</v>
      </c>
      <c r="D798" s="218">
        <v>0</v>
      </c>
      <c r="G798" s="3"/>
    </row>
    <row r="799" spans="1:7" s="57" customFormat="1" ht="14.15" customHeight="1" x14ac:dyDescent="0.25">
      <c r="A799" s="3" t="str">
        <f>IF(C799="","",(VLOOKUP($C799,KEY!$B$5:$D$74,3,FALSE)))</f>
        <v>Southern California</v>
      </c>
      <c r="B799" s="221" t="s">
        <v>224</v>
      </c>
      <c r="C799" s="222" t="s">
        <v>130</v>
      </c>
      <c r="D799" s="218">
        <v>1</v>
      </c>
      <c r="G799" s="3"/>
    </row>
    <row r="800" spans="1:7" s="57" customFormat="1" ht="14.15" customHeight="1" x14ac:dyDescent="0.25">
      <c r="A800" s="3" t="str">
        <f>IF(C800="","",(VLOOKUP($C800,KEY!$B$5:$D$74,3,FALSE)))</f>
        <v>Texas</v>
      </c>
      <c r="B800" s="221" t="s">
        <v>224</v>
      </c>
      <c r="C800" s="222" t="s">
        <v>210</v>
      </c>
      <c r="D800" s="218">
        <v>9</v>
      </c>
      <c r="G800" s="3"/>
    </row>
    <row r="801" spans="1:7" s="57" customFormat="1" ht="14.15" customHeight="1" x14ac:dyDescent="0.25">
      <c r="A801" s="3" t="e">
        <f>IF(C801="","",(VLOOKUP($C801,KEY!$B$5:$D$74,3,FALSE)))</f>
        <v>#N/A</v>
      </c>
      <c r="B801" s="221" t="s">
        <v>224</v>
      </c>
      <c r="C801" s="222" t="s">
        <v>203</v>
      </c>
      <c r="D801" s="218">
        <v>24</v>
      </c>
      <c r="G801" s="3"/>
    </row>
    <row r="802" spans="1:7" s="57" customFormat="1" ht="14.15" customHeight="1" x14ac:dyDescent="0.25">
      <c r="A802" s="3">
        <f>IF(C802="","",(VLOOKUP($C802,KEY!$B$5:$D$74,3,FALSE)))</f>
        <v>0</v>
      </c>
      <c r="B802" s="221" t="s">
        <v>224</v>
      </c>
      <c r="C802" s="222" t="s">
        <v>131</v>
      </c>
      <c r="D802" s="218">
        <v>16</v>
      </c>
      <c r="G802" s="3"/>
    </row>
    <row r="803" spans="1:7" s="57" customFormat="1" ht="14.15" customHeight="1" x14ac:dyDescent="0.25">
      <c r="A803" s="3" t="str">
        <f>IF(C803="","",(VLOOKUP($C803,KEY!$B$5:$D$74,3,FALSE)))</f>
        <v>Southern California</v>
      </c>
      <c r="B803" s="221" t="s">
        <v>224</v>
      </c>
      <c r="C803" s="222" t="s">
        <v>135</v>
      </c>
      <c r="D803" s="218">
        <v>1</v>
      </c>
      <c r="G803" s="3"/>
    </row>
    <row r="804" spans="1:7" s="57" customFormat="1" ht="14.15" customHeight="1" x14ac:dyDescent="0.25">
      <c r="A804" s="3" t="str">
        <f>IF(C804="","",(VLOOKUP($C804,KEY!$B$5:$D$74,3,FALSE)))</f>
        <v>Arizona</v>
      </c>
      <c r="B804" s="221" t="s">
        <v>224</v>
      </c>
      <c r="C804" s="222" t="s">
        <v>204</v>
      </c>
      <c r="D804" s="218">
        <v>6</v>
      </c>
      <c r="G804" s="3"/>
    </row>
    <row r="805" spans="1:7" s="57" customFormat="1" ht="14.15" customHeight="1" x14ac:dyDescent="0.25">
      <c r="A805" s="3" t="str">
        <f>IF(C805="","",(VLOOKUP($C805,KEY!$B$5:$D$74,3,FALSE)))</f>
        <v>Arizona</v>
      </c>
      <c r="B805" s="221" t="s">
        <v>224</v>
      </c>
      <c r="C805" s="222" t="s">
        <v>196</v>
      </c>
      <c r="D805" s="218">
        <v>8</v>
      </c>
      <c r="G805" s="3"/>
    </row>
    <row r="806" spans="1:7" s="57" customFormat="1" ht="14.15" customHeight="1" x14ac:dyDescent="0.25">
      <c r="A806" s="3" t="str">
        <f>IF(C806="","",(VLOOKUP($C806,KEY!$B$5:$D$74,3,FALSE)))</f>
        <v>Arizona</v>
      </c>
      <c r="B806" s="221" t="s">
        <v>224</v>
      </c>
      <c r="C806" s="222" t="s">
        <v>197</v>
      </c>
      <c r="D806" s="218">
        <v>18</v>
      </c>
      <c r="G806" s="3"/>
    </row>
    <row r="807" spans="1:7" s="57" customFormat="1" ht="14.15" customHeight="1" x14ac:dyDescent="0.25">
      <c r="A807" s="3" t="str">
        <f>IF(C807="","",(VLOOKUP($C807,KEY!$B$5:$D$74,3,FALSE)))</f>
        <v>Texas</v>
      </c>
      <c r="B807" s="221" t="s">
        <v>224</v>
      </c>
      <c r="C807" s="222" t="s">
        <v>136</v>
      </c>
      <c r="D807" s="218">
        <v>11</v>
      </c>
      <c r="G807" s="3"/>
    </row>
    <row r="808" spans="1:7" s="57" customFormat="1" ht="14.15" customHeight="1" x14ac:dyDescent="0.25">
      <c r="A808" s="3" t="str">
        <f>IF(C808="","",(VLOOKUP($C808,KEY!$B$5:$D$74,3,FALSE)))</f>
        <v>Arizona</v>
      </c>
      <c r="B808" s="221" t="s">
        <v>224</v>
      </c>
      <c r="C808" s="222" t="s">
        <v>137</v>
      </c>
      <c r="D808" s="218">
        <v>26</v>
      </c>
      <c r="G808" s="3"/>
    </row>
    <row r="809" spans="1:7" s="57" customFormat="1" ht="14.15" customHeight="1" x14ac:dyDescent="0.25">
      <c r="A809" s="3" t="str">
        <f>IF(C809="","",(VLOOKUP($C809,KEY!$B$5:$D$74,3,FALSE)))</f>
        <v>Texas</v>
      </c>
      <c r="B809" s="221" t="s">
        <v>224</v>
      </c>
      <c r="C809" s="222" t="s">
        <v>138</v>
      </c>
      <c r="D809" s="218">
        <v>16</v>
      </c>
      <c r="G809" s="3"/>
    </row>
    <row r="810" spans="1:7" s="57" customFormat="1" ht="14.15" customHeight="1" x14ac:dyDescent="0.25">
      <c r="A810" s="3" t="str">
        <f>IF(C810="","",(VLOOKUP($C810,KEY!$B$5:$D$74,3,FALSE)))</f>
        <v>Southern California</v>
      </c>
      <c r="B810" s="221" t="s">
        <v>224</v>
      </c>
      <c r="C810" s="222" t="s">
        <v>139</v>
      </c>
      <c r="D810" s="218">
        <v>39</v>
      </c>
      <c r="G810" s="3"/>
    </row>
    <row r="811" spans="1:7" s="57" customFormat="1" ht="14.15" customHeight="1" x14ac:dyDescent="0.25">
      <c r="A811" s="3" t="str">
        <f>IF(C811="","",(VLOOKUP($C811,KEY!$B$5:$D$74,3,FALSE)))</f>
        <v>Orange County</v>
      </c>
      <c r="B811" s="221" t="s">
        <v>224</v>
      </c>
      <c r="C811" s="222" t="s">
        <v>140</v>
      </c>
      <c r="D811" s="218">
        <v>12</v>
      </c>
      <c r="G811" s="3"/>
    </row>
    <row r="812" spans="1:7" s="57" customFormat="1" ht="14.15" customHeight="1" x14ac:dyDescent="0.25">
      <c r="A812" s="3" t="str">
        <f>IF(C812="","",(VLOOKUP($C812,KEY!$B$5:$D$74,3,FALSE)))</f>
        <v>Southern California</v>
      </c>
      <c r="B812" s="221" t="s">
        <v>224</v>
      </c>
      <c r="C812" s="222" t="s">
        <v>142</v>
      </c>
      <c r="D812" s="218">
        <v>8</v>
      </c>
      <c r="G812" s="3"/>
    </row>
    <row r="813" spans="1:7" s="57" customFormat="1" ht="14.15" customHeight="1" x14ac:dyDescent="0.25">
      <c r="A813" s="3" t="str">
        <f>IF(C813="","",(VLOOKUP($C813,KEY!$B$5:$D$74,3,FALSE)))</f>
        <v>Arizona</v>
      </c>
      <c r="B813" s="221" t="s">
        <v>224</v>
      </c>
      <c r="C813" s="222" t="s">
        <v>143</v>
      </c>
      <c r="D813" s="218">
        <v>24</v>
      </c>
      <c r="G813" s="3"/>
    </row>
    <row r="814" spans="1:7" s="57" customFormat="1" ht="14.15" customHeight="1" x14ac:dyDescent="0.25">
      <c r="A814" s="3" t="str">
        <f>IF(C814="","",(VLOOKUP($C814,KEY!$B$5:$D$74,3,FALSE)))</f>
        <v>Arizona</v>
      </c>
      <c r="B814" s="221" t="s">
        <v>224</v>
      </c>
      <c r="C814" s="222" t="s">
        <v>144</v>
      </c>
      <c r="D814" s="218">
        <v>64</v>
      </c>
      <c r="G814" s="3"/>
    </row>
    <row r="815" spans="1:7" s="57" customFormat="1" ht="14.15" customHeight="1" x14ac:dyDescent="0.25">
      <c r="A815" s="3" t="str">
        <f>IF(C815="","",(VLOOKUP($C815,KEY!$B$5:$D$74,3,FALSE)))</f>
        <v>Southern California</v>
      </c>
      <c r="B815" s="221" t="s">
        <v>224</v>
      </c>
      <c r="C815" s="222" t="s">
        <v>145</v>
      </c>
      <c r="D815" s="218">
        <v>80</v>
      </c>
      <c r="G815" s="3"/>
    </row>
    <row r="816" spans="1:7" s="57" customFormat="1" ht="14.15" customHeight="1" x14ac:dyDescent="0.25">
      <c r="A816" s="3" t="str">
        <f>IF(C816="","",(VLOOKUP($C816,KEY!$B$5:$D$74,3,FALSE)))</f>
        <v>Arizona</v>
      </c>
      <c r="B816" s="221" t="s">
        <v>224</v>
      </c>
      <c r="C816" s="222" t="s">
        <v>146</v>
      </c>
      <c r="D816" s="218">
        <v>45</v>
      </c>
      <c r="G816" s="3"/>
    </row>
    <row r="817" spans="1:7" s="57" customFormat="1" ht="14.15" customHeight="1" x14ac:dyDescent="0.25">
      <c r="A817" s="3" t="str">
        <f>IF(C817="","",(VLOOKUP($C817,KEY!$B$5:$D$74,3,FALSE)))</f>
        <v>Texas</v>
      </c>
      <c r="B817" s="221" t="s">
        <v>224</v>
      </c>
      <c r="C817" s="222" t="s">
        <v>147</v>
      </c>
      <c r="D817" s="218">
        <v>11</v>
      </c>
      <c r="G817" s="3"/>
    </row>
    <row r="818" spans="1:7" s="57" customFormat="1" ht="14.15" customHeight="1" x14ac:dyDescent="0.25">
      <c r="A818" s="3" t="str">
        <f>IF(C818="","",(VLOOKUP($C818,KEY!$B$5:$D$74,3,FALSE)))</f>
        <v>Northern California</v>
      </c>
      <c r="B818" s="221" t="s">
        <v>224</v>
      </c>
      <c r="C818" s="222" t="s">
        <v>227</v>
      </c>
      <c r="D818" s="218">
        <v>19</v>
      </c>
      <c r="G818" s="3"/>
    </row>
    <row r="819" spans="1:7" s="57" customFormat="1" ht="14.15" customHeight="1" x14ac:dyDescent="0.25">
      <c r="A819" s="3" t="str">
        <f>IF(C819="","",(VLOOKUP($C819,KEY!$B$5:$D$74,3,FALSE)))</f>
        <v>Orange County</v>
      </c>
      <c r="B819" s="221" t="s">
        <v>224</v>
      </c>
      <c r="C819" s="222" t="s">
        <v>149</v>
      </c>
      <c r="D819" s="218">
        <v>9</v>
      </c>
      <c r="G819" s="3"/>
    </row>
    <row r="820" spans="1:7" s="57" customFormat="1" ht="14.15" customHeight="1" x14ac:dyDescent="0.25">
      <c r="A820" s="3" t="str">
        <f>IF(C820="","",(VLOOKUP($C820,KEY!$B$5:$D$74,3,FALSE)))</f>
        <v>Southern California</v>
      </c>
      <c r="B820" s="221" t="s">
        <v>224</v>
      </c>
      <c r="C820" s="222" t="s">
        <v>150</v>
      </c>
      <c r="D820" s="218">
        <v>24</v>
      </c>
      <c r="G820" s="3"/>
    </row>
    <row r="821" spans="1:7" s="57" customFormat="1" ht="14.15" customHeight="1" x14ac:dyDescent="0.25">
      <c r="A821" s="3" t="str">
        <f>IF(C821="","",(VLOOKUP($C821,KEY!$B$5:$D$74,3,FALSE)))</f>
        <v>Arizona</v>
      </c>
      <c r="B821" s="221" t="s">
        <v>224</v>
      </c>
      <c r="C821" s="222" t="s">
        <v>151</v>
      </c>
      <c r="D821" s="218">
        <v>32</v>
      </c>
      <c r="G821" s="3"/>
    </row>
    <row r="822" spans="1:7" s="57" customFormat="1" ht="14.15" customHeight="1" x14ac:dyDescent="0.25">
      <c r="A822" s="3" t="str">
        <f>IF(C822="","",(VLOOKUP($C822,KEY!$B$5:$D$74,3,FALSE)))</f>
        <v>Michigan &amp; Minnesota</v>
      </c>
      <c r="B822" s="221" t="s">
        <v>224</v>
      </c>
      <c r="C822" s="222" t="s">
        <v>206</v>
      </c>
      <c r="D822" s="218">
        <v>50</v>
      </c>
      <c r="G822" s="3"/>
    </row>
    <row r="823" spans="1:7" s="57" customFormat="1" ht="14.15" customHeight="1" x14ac:dyDescent="0.25">
      <c r="A823" s="3" t="str">
        <f>IF(C823="","",(VLOOKUP($C823,KEY!$B$5:$D$74,3,FALSE)))</f>
        <v>Michigan &amp; Minnesota</v>
      </c>
      <c r="B823" s="221" t="s">
        <v>224</v>
      </c>
      <c r="C823" s="222" t="s">
        <v>207</v>
      </c>
      <c r="D823" s="218">
        <v>32</v>
      </c>
      <c r="G823" s="3"/>
    </row>
    <row r="824" spans="1:7" s="57" customFormat="1" ht="14.15" customHeight="1" x14ac:dyDescent="0.25">
      <c r="A824" s="3" t="str">
        <f>IF(C824="","",(VLOOKUP($C824,KEY!$B$5:$D$74,3,FALSE)))</f>
        <v>Indiana</v>
      </c>
      <c r="B824" s="221" t="s">
        <v>224</v>
      </c>
      <c r="C824" s="222" t="s">
        <v>208</v>
      </c>
      <c r="D824" s="218">
        <v>18</v>
      </c>
      <c r="G824" s="3"/>
    </row>
    <row r="825" spans="1:7" s="57" customFormat="1" ht="14.15" customHeight="1" x14ac:dyDescent="0.25">
      <c r="A825" s="3" t="str">
        <f>IF(C825="","",(VLOOKUP($C825,KEY!$B$5:$D$74,3,FALSE)))</f>
        <v>Indiana</v>
      </c>
      <c r="B825" s="221" t="s">
        <v>224</v>
      </c>
      <c r="C825" s="222" t="s">
        <v>209</v>
      </c>
      <c r="D825" s="218">
        <v>7</v>
      </c>
      <c r="G825" s="3"/>
    </row>
    <row r="826" spans="1:7" s="57" customFormat="1" ht="14.15" customHeight="1" x14ac:dyDescent="0.25">
      <c r="A826" s="3" t="str">
        <f>IF(C826="","",(VLOOKUP($C826,KEY!$B$5:$D$74,3,FALSE)))</f>
        <v>Northern California</v>
      </c>
      <c r="B826" s="221" t="s">
        <v>224</v>
      </c>
      <c r="C826" s="222" t="s">
        <v>152</v>
      </c>
      <c r="D826" s="218">
        <v>24</v>
      </c>
      <c r="G826" s="3"/>
    </row>
    <row r="827" spans="1:7" s="57" customFormat="1" ht="14.15" customHeight="1" x14ac:dyDescent="0.25">
      <c r="A827" s="3" t="str">
        <f>IF(C827="","",(VLOOKUP($C827,KEY!$B$5:$D$74,3,FALSE)))</f>
        <v>Arizona</v>
      </c>
      <c r="B827" s="221" t="s">
        <v>224</v>
      </c>
      <c r="C827" s="222" t="s">
        <v>153</v>
      </c>
      <c r="D827" s="218">
        <v>39</v>
      </c>
      <c r="G827" s="3"/>
    </row>
    <row r="828" spans="1:7" s="57" customFormat="1" ht="14.15" customHeight="1" x14ac:dyDescent="0.25">
      <c r="A828" s="3" t="str">
        <f>IF(C828="","",(VLOOKUP($C828,KEY!$B$5:$D$74,3,FALSE)))</f>
        <v>Northern California</v>
      </c>
      <c r="B828" s="221" t="s">
        <v>224</v>
      </c>
      <c r="C828" s="222" t="s">
        <v>154</v>
      </c>
      <c r="D828" s="218">
        <v>18</v>
      </c>
      <c r="G828" s="3"/>
    </row>
    <row r="829" spans="1:7" s="57" customFormat="1" ht="14.15" customHeight="1" x14ac:dyDescent="0.25">
      <c r="A829" s="3" t="str">
        <f>IF(C829="","",(VLOOKUP($C829,KEY!$B$5:$D$74,3,FALSE)))</f>
        <v>Texas</v>
      </c>
      <c r="B829" s="221" t="s">
        <v>224</v>
      </c>
      <c r="C829" s="222" t="s">
        <v>155</v>
      </c>
      <c r="D829" s="218">
        <v>44</v>
      </c>
      <c r="G829" s="3"/>
    </row>
    <row r="830" spans="1:7" s="57" customFormat="1" ht="14.15" customHeight="1" x14ac:dyDescent="0.25">
      <c r="A830" s="3" t="str">
        <f>IF(C830="","",(VLOOKUP($C830,KEY!$B$5:$D$74,3,FALSE)))</f>
        <v>Texas</v>
      </c>
      <c r="B830" s="221" t="s">
        <v>224</v>
      </c>
      <c r="C830" s="222" t="s">
        <v>156</v>
      </c>
      <c r="D830" s="218">
        <v>13</v>
      </c>
      <c r="G830" s="3"/>
    </row>
    <row r="831" spans="1:7" s="57" customFormat="1" ht="14.15" customHeight="1" x14ac:dyDescent="0.25">
      <c r="A831" s="3" t="str">
        <f>IF(C831="","",(VLOOKUP($C831,KEY!$B$5:$D$74,3,FALSE)))</f>
        <v>Texas</v>
      </c>
      <c r="B831" s="221" t="s">
        <v>224</v>
      </c>
      <c r="C831" s="222" t="s">
        <v>157</v>
      </c>
      <c r="D831" s="218">
        <v>30</v>
      </c>
      <c r="G831" s="3"/>
    </row>
    <row r="832" spans="1:7" s="57" customFormat="1" ht="14.15" customHeight="1" x14ac:dyDescent="0.25">
      <c r="A832" s="3" t="str">
        <f>IF(C832="","",(VLOOKUP($C832,KEY!$B$5:$D$74,3,FALSE)))</f>
        <v>Arizona</v>
      </c>
      <c r="B832" s="221" t="s">
        <v>224</v>
      </c>
      <c r="C832" s="222" t="s">
        <v>158</v>
      </c>
      <c r="D832" s="218">
        <v>6</v>
      </c>
      <c r="G832" s="3"/>
    </row>
    <row r="833" spans="1:7" s="57" customFormat="1" ht="14.15" customHeight="1" x14ac:dyDescent="0.25">
      <c r="A833" s="3" t="str">
        <f>IF(C833="","",(VLOOKUP($C833,KEY!$B$5:$D$74,3,FALSE)))</f>
        <v>Orange County</v>
      </c>
      <c r="B833" s="221" t="s">
        <v>224</v>
      </c>
      <c r="C833" s="222" t="s">
        <v>159</v>
      </c>
      <c r="D833" s="218">
        <v>21</v>
      </c>
      <c r="G833" s="3"/>
    </row>
    <row r="834" spans="1:7" s="57" customFormat="1" ht="14.15" customHeight="1" x14ac:dyDescent="0.25">
      <c r="A834" s="3" t="str">
        <f>IF(C834="","",(VLOOKUP($C834,KEY!$B$5:$D$74,3,FALSE)))</f>
        <v>Arizona</v>
      </c>
      <c r="B834" s="221" t="s">
        <v>224</v>
      </c>
      <c r="C834" s="222" t="s">
        <v>160</v>
      </c>
      <c r="D834" s="218">
        <v>19</v>
      </c>
      <c r="G834" s="3"/>
    </row>
    <row r="835" spans="1:7" s="57" customFormat="1" ht="14.15" customHeight="1" x14ac:dyDescent="0.25">
      <c r="A835" s="3" t="str">
        <f>IF(C835="","",(VLOOKUP($C835,KEY!$B$5:$D$74,3,FALSE)))</f>
        <v>Northern California</v>
      </c>
      <c r="B835" s="221" t="s">
        <v>224</v>
      </c>
      <c r="C835" s="222" t="s">
        <v>161</v>
      </c>
      <c r="D835" s="218">
        <v>23</v>
      </c>
      <c r="G835" s="3"/>
    </row>
    <row r="836" spans="1:7" s="57" customFormat="1" ht="14.15" customHeight="1" x14ac:dyDescent="0.25">
      <c r="A836" s="3" t="str">
        <f>IF(C836="","",(VLOOKUP($C836,KEY!$B$5:$D$74,3,FALSE)))</f>
        <v>Arizona</v>
      </c>
      <c r="B836" s="221" t="s">
        <v>224</v>
      </c>
      <c r="C836" s="222" t="s">
        <v>163</v>
      </c>
      <c r="D836" s="218">
        <v>56</v>
      </c>
      <c r="G836" s="3"/>
    </row>
    <row r="837" spans="1:7" s="57" customFormat="1" ht="14.15" customHeight="1" x14ac:dyDescent="0.25">
      <c r="A837" s="3" t="str">
        <f>IF(C837="","",(VLOOKUP($C837,KEY!$B$5:$D$74,3,FALSE)))</f>
        <v>Arizona</v>
      </c>
      <c r="B837" s="221" t="s">
        <v>224</v>
      </c>
      <c r="C837" s="222" t="s">
        <v>164</v>
      </c>
      <c r="D837" s="218">
        <v>11</v>
      </c>
      <c r="G837" s="3"/>
    </row>
    <row r="838" spans="1:7" s="57" customFormat="1" ht="14.15" customHeight="1" x14ac:dyDescent="0.25">
      <c r="A838" s="3" t="str">
        <f>IF(C838="","",(VLOOKUP($C838,KEY!$B$5:$D$74,3,FALSE)))</f>
        <v>Orange County</v>
      </c>
      <c r="B838" s="221" t="s">
        <v>224</v>
      </c>
      <c r="C838" s="222" t="s">
        <v>165</v>
      </c>
      <c r="D838" s="218">
        <v>14</v>
      </c>
      <c r="G838" s="3"/>
    </row>
    <row r="839" spans="1:7" s="57" customFormat="1" ht="14.15" customHeight="1" x14ac:dyDescent="0.25">
      <c r="A839" s="3" t="str">
        <f>IF(C839="","",(VLOOKUP($C839,KEY!$B$5:$D$74,3,FALSE)))</f>
        <v/>
      </c>
      <c r="B839" s="221" t="s">
        <v>224</v>
      </c>
      <c r="C839" s="222"/>
      <c r="D839" s="218"/>
      <c r="G839" s="3"/>
    </row>
    <row r="840" spans="1:7" s="57" customFormat="1" ht="14.15" customHeight="1" x14ac:dyDescent="0.25">
      <c r="A840" s="3" t="str">
        <f>IF(C840="","",(VLOOKUP($C840,KEY!$B$5:$D$74,3,FALSE)))</f>
        <v/>
      </c>
      <c r="B840" s="221" t="s">
        <v>224</v>
      </c>
      <c r="C840" s="222"/>
      <c r="D840" s="218"/>
    </row>
    <row r="841" spans="1:7" s="57" customFormat="1" ht="14.15" customHeight="1" x14ac:dyDescent="0.25">
      <c r="A841" s="3" t="str">
        <f>IF(C841="","",(VLOOKUP($C841,KEY!$B$5:$D$74,3,FALSE)))</f>
        <v/>
      </c>
      <c r="B841" s="221" t="s">
        <v>224</v>
      </c>
      <c r="C841" s="222"/>
      <c r="D841" s="218"/>
    </row>
    <row r="842" spans="1:7" s="57" customFormat="1" ht="14.15" customHeight="1" x14ac:dyDescent="0.25">
      <c r="A842" s="3" t="str">
        <f>IF(C842="","",(VLOOKUP($C842,KEY!$B$5:$D$74,3,FALSE)))</f>
        <v/>
      </c>
      <c r="B842" s="221" t="s">
        <v>224</v>
      </c>
      <c r="C842" s="222"/>
      <c r="D842" s="218"/>
    </row>
    <row r="843" spans="1:7" s="57" customFormat="1" ht="14.15" customHeight="1" x14ac:dyDescent="0.25">
      <c r="A843" s="3" t="str">
        <f>IF(C843="","",(VLOOKUP($C843,KEY!$B$5:$D$74,3,FALSE)))</f>
        <v/>
      </c>
      <c r="B843" s="221" t="s">
        <v>224</v>
      </c>
      <c r="C843" s="222"/>
      <c r="D843" s="218"/>
    </row>
    <row r="844" spans="1:7" s="57" customFormat="1" ht="14.15" customHeight="1" x14ac:dyDescent="0.25">
      <c r="A844" s="3" t="str">
        <f>IF(C844="","",(VLOOKUP($C844,KEY!$B$5:$D$74,3,FALSE)))</f>
        <v/>
      </c>
      <c r="B844" s="402" t="s">
        <v>224</v>
      </c>
      <c r="C844" s="403"/>
      <c r="D844" s="404"/>
    </row>
    <row r="845" spans="1:7" s="57" customFormat="1" ht="14.15" customHeight="1" x14ac:dyDescent="0.25">
      <c r="A845" s="3" t="str">
        <f>IF(C845="","",(VLOOKUP($C845,KEY!$B$5:$D$74,3,FALSE)))</f>
        <v/>
      </c>
      <c r="B845" s="221" t="s">
        <v>225</v>
      </c>
      <c r="C845" s="222"/>
      <c r="D845" s="218"/>
    </row>
    <row r="846" spans="1:7" s="57" customFormat="1" ht="14.15" customHeight="1" x14ac:dyDescent="0.25">
      <c r="A846" s="3" t="str">
        <f>IF(C846="","",(VLOOKUP($C846,KEY!$B$5:$D$74,3,FALSE)))</f>
        <v/>
      </c>
      <c r="B846" s="221" t="s">
        <v>225</v>
      </c>
      <c r="C846" s="222"/>
      <c r="D846" s="218"/>
    </row>
    <row r="847" spans="1:7" s="57" customFormat="1" ht="14.15" customHeight="1" x14ac:dyDescent="0.25">
      <c r="A847" s="3" t="str">
        <f>IF(C847="","",(VLOOKUP($C847,KEY!$B$5:$D$74,3,FALSE)))</f>
        <v/>
      </c>
      <c r="B847" s="221" t="s">
        <v>225</v>
      </c>
      <c r="C847" s="222"/>
      <c r="D847" s="218"/>
    </row>
    <row r="848" spans="1:7" s="57" customFormat="1" ht="14.15" customHeight="1" x14ac:dyDescent="0.25">
      <c r="A848" s="3" t="str">
        <f>IF(C848="","",(VLOOKUP($C848,KEY!$B$5:$D$74,3,FALSE)))</f>
        <v/>
      </c>
      <c r="B848" s="221" t="s">
        <v>225</v>
      </c>
      <c r="C848" s="222"/>
      <c r="D848" s="218"/>
    </row>
    <row r="849" spans="1:4" s="57" customFormat="1" ht="14.15" customHeight="1" x14ac:dyDescent="0.25">
      <c r="A849" s="3" t="str">
        <f>IF(C849="","",(VLOOKUP($C849,KEY!$B$5:$D$74,3,FALSE)))</f>
        <v/>
      </c>
      <c r="B849" s="221" t="s">
        <v>225</v>
      </c>
      <c r="C849" s="222"/>
      <c r="D849" s="218"/>
    </row>
    <row r="850" spans="1:4" s="57" customFormat="1" ht="14.15" customHeight="1" x14ac:dyDescent="0.25">
      <c r="A850" s="3" t="str">
        <f>IF(C850="","",(VLOOKUP($C850,KEY!$B$5:$D$74,3,FALSE)))</f>
        <v/>
      </c>
      <c r="B850" s="221" t="s">
        <v>225</v>
      </c>
      <c r="C850" s="222"/>
      <c r="D850" s="218"/>
    </row>
    <row r="851" spans="1:4" s="57" customFormat="1" ht="14.15" customHeight="1" x14ac:dyDescent="0.25">
      <c r="A851" s="3" t="str">
        <f>IF(C851="","",(VLOOKUP($C851,KEY!$B$5:$D$74,3,FALSE)))</f>
        <v/>
      </c>
      <c r="B851" s="221" t="s">
        <v>225</v>
      </c>
      <c r="C851" s="222"/>
      <c r="D851" s="218"/>
    </row>
    <row r="852" spans="1:4" s="57" customFormat="1" ht="14.15" customHeight="1" x14ac:dyDescent="0.25">
      <c r="A852" s="3" t="str">
        <f>IF(C852="","",(VLOOKUP($C852,KEY!$B$5:$D$74,3,FALSE)))</f>
        <v/>
      </c>
      <c r="B852" s="221" t="s">
        <v>225</v>
      </c>
      <c r="C852" s="222"/>
      <c r="D852" s="218"/>
    </row>
    <row r="853" spans="1:4" s="57" customFormat="1" ht="14.15" customHeight="1" x14ac:dyDescent="0.25">
      <c r="A853" s="3" t="str">
        <f>IF(C853="","",(VLOOKUP($C853,KEY!$B$5:$D$74,3,FALSE)))</f>
        <v/>
      </c>
      <c r="B853" s="221" t="s">
        <v>225</v>
      </c>
      <c r="C853" s="222"/>
      <c r="D853" s="218"/>
    </row>
    <row r="854" spans="1:4" s="57" customFormat="1" ht="14.15" customHeight="1" x14ac:dyDescent="0.25">
      <c r="A854" s="3" t="str">
        <f>IF(C854="","",(VLOOKUP($C854,KEY!$B$5:$D$74,3,FALSE)))</f>
        <v/>
      </c>
      <c r="B854" s="221" t="s">
        <v>225</v>
      </c>
      <c r="C854" s="222"/>
      <c r="D854" s="218"/>
    </row>
    <row r="855" spans="1:4" s="57" customFormat="1" ht="14.15" customHeight="1" x14ac:dyDescent="0.25">
      <c r="A855" s="3" t="str">
        <f>IF(C855="","",(VLOOKUP($C855,KEY!$B$5:$D$74,3,FALSE)))</f>
        <v/>
      </c>
      <c r="B855" s="221" t="s">
        <v>225</v>
      </c>
      <c r="C855" s="222"/>
      <c r="D855" s="218"/>
    </row>
    <row r="856" spans="1:4" s="57" customFormat="1" ht="14.15" customHeight="1" x14ac:dyDescent="0.25">
      <c r="A856" s="3" t="str">
        <f>IF(C856="","",(VLOOKUP($C856,KEY!$B$5:$D$74,3,FALSE)))</f>
        <v/>
      </c>
      <c r="B856" s="221" t="s">
        <v>225</v>
      </c>
      <c r="C856" s="222"/>
      <c r="D856" s="218"/>
    </row>
    <row r="857" spans="1:4" s="57" customFormat="1" ht="14.15" customHeight="1" x14ac:dyDescent="0.25">
      <c r="A857" s="3" t="str">
        <f>IF(C857="","",(VLOOKUP($C857,KEY!$B$5:$D$74,3,FALSE)))</f>
        <v/>
      </c>
      <c r="B857" s="221" t="s">
        <v>225</v>
      </c>
      <c r="C857" s="222"/>
      <c r="D857" s="218"/>
    </row>
    <row r="858" spans="1:4" s="57" customFormat="1" ht="14.15" customHeight="1" x14ac:dyDescent="0.25">
      <c r="A858" s="3" t="str">
        <f>IF(C858="","",(VLOOKUP($C858,KEY!$B$5:$D$74,3,FALSE)))</f>
        <v/>
      </c>
      <c r="B858" s="221" t="s">
        <v>225</v>
      </c>
      <c r="C858" s="222"/>
      <c r="D858" s="218"/>
    </row>
    <row r="859" spans="1:4" s="57" customFormat="1" ht="14.15" customHeight="1" x14ac:dyDescent="0.25">
      <c r="A859" s="3" t="str">
        <f>IF(C859="","",(VLOOKUP($C859,KEY!$B$5:$D$74,3,FALSE)))</f>
        <v/>
      </c>
      <c r="B859" s="221" t="s">
        <v>225</v>
      </c>
      <c r="C859" s="222"/>
      <c r="D859" s="218"/>
    </row>
    <row r="860" spans="1:4" s="57" customFormat="1" ht="14.15" customHeight="1" x14ac:dyDescent="0.25">
      <c r="A860" s="3" t="str">
        <f>IF(C860="","",(VLOOKUP($C860,KEY!$B$5:$D$74,3,FALSE)))</f>
        <v/>
      </c>
      <c r="B860" s="221" t="s">
        <v>225</v>
      </c>
      <c r="C860" s="222"/>
      <c r="D860" s="218"/>
    </row>
    <row r="861" spans="1:4" s="57" customFormat="1" ht="14.15" customHeight="1" x14ac:dyDescent="0.25">
      <c r="A861" s="3" t="str">
        <f>IF(C861="","",(VLOOKUP($C861,KEY!$B$5:$D$74,3,FALSE)))</f>
        <v/>
      </c>
      <c r="B861" s="221" t="s">
        <v>225</v>
      </c>
      <c r="C861" s="222"/>
      <c r="D861" s="218"/>
    </row>
    <row r="862" spans="1:4" s="57" customFormat="1" ht="14.15" customHeight="1" x14ac:dyDescent="0.25">
      <c r="A862" s="3" t="str">
        <f>IF(C862="","",(VLOOKUP($C862,KEY!$B$5:$D$74,3,FALSE)))</f>
        <v/>
      </c>
      <c r="B862" s="221" t="s">
        <v>225</v>
      </c>
      <c r="C862" s="222"/>
      <c r="D862" s="218"/>
    </row>
    <row r="863" spans="1:4" s="57" customFormat="1" ht="14.15" customHeight="1" x14ac:dyDescent="0.25">
      <c r="A863" s="3" t="str">
        <f>IF(C863="","",(VLOOKUP($C863,KEY!$B$5:$D$74,3,FALSE)))</f>
        <v/>
      </c>
      <c r="B863" s="221" t="s">
        <v>225</v>
      </c>
      <c r="C863" s="222"/>
      <c r="D863" s="218"/>
    </row>
    <row r="864" spans="1:4" s="57" customFormat="1" ht="14.15" customHeight="1" x14ac:dyDescent="0.25">
      <c r="A864" s="3" t="str">
        <f>IF(C864="","",(VLOOKUP($C864,KEY!$B$5:$D$74,3,FALSE)))</f>
        <v/>
      </c>
      <c r="B864" s="221" t="s">
        <v>225</v>
      </c>
      <c r="C864" s="222"/>
      <c r="D864" s="218"/>
    </row>
    <row r="865" spans="1:4" s="57" customFormat="1" ht="14.15" customHeight="1" x14ac:dyDescent="0.25">
      <c r="A865" s="3" t="str">
        <f>IF(C865="","",(VLOOKUP($C865,KEY!$B$5:$D$74,3,FALSE)))</f>
        <v/>
      </c>
      <c r="B865" s="221" t="s">
        <v>225</v>
      </c>
      <c r="C865" s="222"/>
      <c r="D865" s="218"/>
    </row>
    <row r="866" spans="1:4" s="57" customFormat="1" ht="14.15" customHeight="1" x14ac:dyDescent="0.25">
      <c r="A866" s="3" t="str">
        <f>IF(C866="","",(VLOOKUP($C866,KEY!$B$5:$D$74,3,FALSE)))</f>
        <v/>
      </c>
      <c r="B866" s="221" t="s">
        <v>225</v>
      </c>
      <c r="C866" s="222"/>
      <c r="D866" s="218"/>
    </row>
    <row r="867" spans="1:4" s="57" customFormat="1" ht="14.15" customHeight="1" x14ac:dyDescent="0.25">
      <c r="A867" s="3" t="str">
        <f>IF(C867="","",(VLOOKUP($C867,KEY!$B$5:$D$74,3,FALSE)))</f>
        <v/>
      </c>
      <c r="B867" s="221" t="s">
        <v>225</v>
      </c>
      <c r="C867" s="222"/>
      <c r="D867" s="218"/>
    </row>
    <row r="868" spans="1:4" s="57" customFormat="1" ht="14.15" customHeight="1" x14ac:dyDescent="0.25">
      <c r="A868" s="3" t="str">
        <f>IF(C868="","",(VLOOKUP($C868,KEY!$B$5:$D$74,3,FALSE)))</f>
        <v/>
      </c>
      <c r="B868" s="221" t="s">
        <v>225</v>
      </c>
      <c r="C868" s="222"/>
      <c r="D868" s="218"/>
    </row>
    <row r="869" spans="1:4" s="57" customFormat="1" ht="14.15" customHeight="1" x14ac:dyDescent="0.25">
      <c r="A869" s="3" t="str">
        <f>IF(C869="","",(VLOOKUP($C869,KEY!$B$5:$D$74,3,FALSE)))</f>
        <v/>
      </c>
      <c r="B869" s="221" t="s">
        <v>225</v>
      </c>
      <c r="C869" s="222"/>
      <c r="D869" s="218"/>
    </row>
    <row r="870" spans="1:4" s="57" customFormat="1" ht="14.15" customHeight="1" x14ac:dyDescent="0.25">
      <c r="A870" s="3" t="str">
        <f>IF(C870="","",(VLOOKUP($C870,KEY!$B$5:$D$74,3,FALSE)))</f>
        <v/>
      </c>
      <c r="B870" s="221" t="s">
        <v>225</v>
      </c>
      <c r="C870" s="222"/>
      <c r="D870" s="218"/>
    </row>
    <row r="871" spans="1:4" s="57" customFormat="1" ht="14.15" customHeight="1" x14ac:dyDescent="0.25">
      <c r="A871" s="3" t="str">
        <f>IF(C871="","",(VLOOKUP($C871,KEY!$B$5:$D$74,3,FALSE)))</f>
        <v/>
      </c>
      <c r="B871" s="221" t="s">
        <v>225</v>
      </c>
      <c r="C871" s="222"/>
      <c r="D871" s="218"/>
    </row>
    <row r="872" spans="1:4" s="57" customFormat="1" ht="14.15" customHeight="1" x14ac:dyDescent="0.25">
      <c r="A872" s="3" t="str">
        <f>IF(C872="","",(VLOOKUP($C872,KEY!$B$5:$D$74,3,FALSE)))</f>
        <v/>
      </c>
      <c r="B872" s="221" t="s">
        <v>225</v>
      </c>
      <c r="C872" s="222"/>
      <c r="D872" s="218"/>
    </row>
    <row r="873" spans="1:4" s="57" customFormat="1" ht="14.15" customHeight="1" x14ac:dyDescent="0.25">
      <c r="A873" s="3" t="str">
        <f>IF(C873="","",(VLOOKUP($C873,KEY!$B$5:$D$74,3,FALSE)))</f>
        <v/>
      </c>
      <c r="B873" s="221" t="s">
        <v>225</v>
      </c>
      <c r="C873" s="222"/>
      <c r="D873" s="218"/>
    </row>
    <row r="874" spans="1:4" s="57" customFormat="1" ht="14.15" customHeight="1" x14ac:dyDescent="0.25">
      <c r="A874" s="3" t="str">
        <f>IF(C874="","",(VLOOKUP($C874,KEY!$B$5:$D$74,3,FALSE)))</f>
        <v/>
      </c>
      <c r="B874" s="221" t="s">
        <v>225</v>
      </c>
      <c r="C874" s="222"/>
      <c r="D874" s="218"/>
    </row>
    <row r="875" spans="1:4" s="57" customFormat="1" ht="14.15" customHeight="1" x14ac:dyDescent="0.25">
      <c r="A875" s="3" t="str">
        <f>IF(C875="","",(VLOOKUP($C875,KEY!$B$5:$D$74,3,FALSE)))</f>
        <v/>
      </c>
      <c r="B875" s="221" t="s">
        <v>225</v>
      </c>
      <c r="C875" s="222"/>
      <c r="D875" s="218"/>
    </row>
    <row r="876" spans="1:4" s="57" customFormat="1" ht="14.15" customHeight="1" x14ac:dyDescent="0.25">
      <c r="A876" s="3" t="str">
        <f>IF(C876="","",(VLOOKUP($C876,KEY!$B$5:$D$74,3,FALSE)))</f>
        <v/>
      </c>
      <c r="B876" s="221" t="s">
        <v>225</v>
      </c>
      <c r="C876" s="222"/>
      <c r="D876" s="218"/>
    </row>
    <row r="877" spans="1:4" s="57" customFormat="1" ht="14.15" customHeight="1" x14ac:dyDescent="0.25">
      <c r="A877" s="3" t="str">
        <f>IF(C877="","",(VLOOKUP($C877,KEY!$B$5:$D$74,3,FALSE)))</f>
        <v/>
      </c>
      <c r="B877" s="221" t="s">
        <v>225</v>
      </c>
      <c r="C877" s="222"/>
      <c r="D877" s="218"/>
    </row>
    <row r="878" spans="1:4" s="57" customFormat="1" ht="14.15" customHeight="1" x14ac:dyDescent="0.25">
      <c r="A878" s="3" t="str">
        <f>IF(C878="","",(VLOOKUP($C878,KEY!$B$5:$D$74,3,FALSE)))</f>
        <v/>
      </c>
      <c r="B878" s="221" t="s">
        <v>225</v>
      </c>
      <c r="C878" s="222"/>
      <c r="D878" s="218"/>
    </row>
    <row r="879" spans="1:4" s="57" customFormat="1" ht="14.15" customHeight="1" x14ac:dyDescent="0.25">
      <c r="A879" s="3" t="str">
        <f>IF(C879="","",(VLOOKUP($C879,KEY!$B$5:$D$74,3,FALSE)))</f>
        <v/>
      </c>
      <c r="B879" s="221" t="s">
        <v>225</v>
      </c>
      <c r="C879" s="222"/>
      <c r="D879" s="218"/>
    </row>
    <row r="880" spans="1:4" s="57" customFormat="1" ht="14.15" customHeight="1" x14ac:dyDescent="0.25">
      <c r="A880" s="3" t="str">
        <f>IF(C880="","",(VLOOKUP($C880,KEY!$B$5:$D$74,3,FALSE)))</f>
        <v/>
      </c>
      <c r="B880" s="221" t="s">
        <v>225</v>
      </c>
      <c r="C880" s="222"/>
      <c r="D880" s="218"/>
    </row>
    <row r="881" spans="1:4" s="57" customFormat="1" ht="14.15" customHeight="1" x14ac:dyDescent="0.25">
      <c r="A881" s="3" t="str">
        <f>IF(C881="","",(VLOOKUP($C881,KEY!$B$5:$D$74,3,FALSE)))</f>
        <v/>
      </c>
      <c r="B881" s="221" t="s">
        <v>225</v>
      </c>
      <c r="C881" s="222"/>
      <c r="D881" s="218"/>
    </row>
    <row r="882" spans="1:4" s="57" customFormat="1" ht="14.15" customHeight="1" x14ac:dyDescent="0.25">
      <c r="A882" s="3" t="str">
        <f>IF(C882="","",(VLOOKUP($C882,KEY!$B$5:$D$74,3,FALSE)))</f>
        <v/>
      </c>
      <c r="B882" s="221" t="s">
        <v>225</v>
      </c>
      <c r="C882" s="222"/>
      <c r="D882" s="218"/>
    </row>
    <row r="883" spans="1:4" s="57" customFormat="1" ht="14.15" customHeight="1" x14ac:dyDescent="0.25">
      <c r="A883" s="3" t="str">
        <f>IF(C883="","",(VLOOKUP($C883,KEY!$B$5:$D$74,3,FALSE)))</f>
        <v/>
      </c>
      <c r="B883" s="221" t="s">
        <v>225</v>
      </c>
      <c r="C883" s="222"/>
      <c r="D883" s="218"/>
    </row>
    <row r="884" spans="1:4" s="57" customFormat="1" ht="14.15" customHeight="1" x14ac:dyDescent="0.25">
      <c r="A884" s="3" t="str">
        <f>IF(C884="","",(VLOOKUP($C884,KEY!$B$5:$D$74,3,FALSE)))</f>
        <v/>
      </c>
      <c r="B884" s="221" t="s">
        <v>225</v>
      </c>
      <c r="C884" s="222"/>
      <c r="D884" s="218"/>
    </row>
    <row r="885" spans="1:4" s="57" customFormat="1" ht="14.15" customHeight="1" x14ac:dyDescent="0.25">
      <c r="A885" s="3" t="str">
        <f>IF(C885="","",(VLOOKUP($C885,KEY!$B$5:$D$74,3,FALSE)))</f>
        <v/>
      </c>
      <c r="B885" s="221" t="s">
        <v>225</v>
      </c>
      <c r="C885" s="222"/>
      <c r="D885" s="218"/>
    </row>
    <row r="886" spans="1:4" s="57" customFormat="1" ht="14.15" customHeight="1" x14ac:dyDescent="0.25">
      <c r="A886" s="3" t="str">
        <f>IF(C886="","",(VLOOKUP($C886,KEY!$B$5:$D$74,3,FALSE)))</f>
        <v/>
      </c>
      <c r="B886" s="221" t="s">
        <v>225</v>
      </c>
      <c r="C886" s="222"/>
      <c r="D886" s="218"/>
    </row>
    <row r="887" spans="1:4" s="57" customFormat="1" ht="14.15" customHeight="1" x14ac:dyDescent="0.25">
      <c r="A887" s="3" t="str">
        <f>IF(C887="","",(VLOOKUP($C887,KEY!$B$5:$D$74,3,FALSE)))</f>
        <v/>
      </c>
      <c r="B887" s="221" t="s">
        <v>225</v>
      </c>
      <c r="C887" s="222"/>
      <c r="D887" s="218"/>
    </row>
    <row r="888" spans="1:4" s="57" customFormat="1" ht="14.15" customHeight="1" x14ac:dyDescent="0.25">
      <c r="A888" s="3" t="str">
        <f>IF(C888="","",(VLOOKUP($C888,KEY!$B$5:$D$74,3,FALSE)))</f>
        <v/>
      </c>
      <c r="B888" s="221" t="s">
        <v>225</v>
      </c>
      <c r="C888" s="222"/>
      <c r="D888" s="218"/>
    </row>
    <row r="889" spans="1:4" s="57" customFormat="1" ht="14.15" customHeight="1" x14ac:dyDescent="0.25">
      <c r="A889" s="3" t="str">
        <f>IF(C889="","",(VLOOKUP($C889,KEY!$B$5:$D$74,3,FALSE)))</f>
        <v/>
      </c>
      <c r="B889" s="221" t="s">
        <v>225</v>
      </c>
      <c r="C889" s="222"/>
      <c r="D889" s="218"/>
    </row>
    <row r="890" spans="1:4" s="57" customFormat="1" ht="14.15" customHeight="1" x14ac:dyDescent="0.25">
      <c r="A890" s="3" t="str">
        <f>IF(C890="","",(VLOOKUP($C890,KEY!$B$5:$D$74,3,FALSE)))</f>
        <v/>
      </c>
      <c r="B890" s="221" t="s">
        <v>225</v>
      </c>
      <c r="C890" s="222"/>
      <c r="D890" s="218"/>
    </row>
    <row r="891" spans="1:4" s="57" customFormat="1" ht="14.15" customHeight="1" x14ac:dyDescent="0.25">
      <c r="A891" s="3" t="str">
        <f>IF(C891="","",(VLOOKUP($C891,KEY!$B$5:$D$74,3,FALSE)))</f>
        <v/>
      </c>
      <c r="B891" s="221" t="s">
        <v>225</v>
      </c>
      <c r="C891" s="222"/>
      <c r="D891" s="218"/>
    </row>
    <row r="892" spans="1:4" s="57" customFormat="1" ht="14.15" customHeight="1" x14ac:dyDescent="0.25">
      <c r="A892" s="3" t="str">
        <f>IF(C892="","",(VLOOKUP($C892,KEY!$B$5:$D$74,3,FALSE)))</f>
        <v/>
      </c>
      <c r="B892" s="221" t="s">
        <v>225</v>
      </c>
      <c r="C892" s="222"/>
      <c r="D892" s="218"/>
    </row>
    <row r="893" spans="1:4" s="57" customFormat="1" ht="14.15" customHeight="1" x14ac:dyDescent="0.25">
      <c r="A893" s="3" t="str">
        <f>IF(C893="","",(VLOOKUP($C893,KEY!$B$5:$D$74,3,FALSE)))</f>
        <v/>
      </c>
      <c r="B893" s="221" t="s">
        <v>225</v>
      </c>
      <c r="C893" s="222"/>
      <c r="D893" s="218"/>
    </row>
    <row r="894" spans="1:4" s="57" customFormat="1" ht="14.15" customHeight="1" x14ac:dyDescent="0.25">
      <c r="A894" s="3" t="str">
        <f>IF(C894="","",(VLOOKUP($C894,KEY!$B$5:$D$74,3,FALSE)))</f>
        <v/>
      </c>
      <c r="B894" s="221" t="s">
        <v>225</v>
      </c>
      <c r="C894" s="222"/>
      <c r="D894" s="218"/>
    </row>
    <row r="895" spans="1:4" s="57" customFormat="1" ht="14.15" customHeight="1" x14ac:dyDescent="0.25">
      <c r="A895" s="3" t="str">
        <f>IF(C895="","",(VLOOKUP($C895,KEY!$B$5:$D$74,3,FALSE)))</f>
        <v/>
      </c>
      <c r="B895" s="221" t="s">
        <v>225</v>
      </c>
      <c r="C895" s="222"/>
      <c r="D895" s="218"/>
    </row>
    <row r="896" spans="1:4" s="57" customFormat="1" ht="14.15" customHeight="1" x14ac:dyDescent="0.25">
      <c r="A896" s="3" t="str">
        <f>IF(C896="","",(VLOOKUP($C896,KEY!$B$5:$D$74,3,FALSE)))</f>
        <v/>
      </c>
      <c r="B896" s="221" t="s">
        <v>225</v>
      </c>
      <c r="C896" s="222"/>
      <c r="D896" s="218"/>
    </row>
    <row r="897" spans="1:4" s="57" customFormat="1" ht="14.15" customHeight="1" x14ac:dyDescent="0.25">
      <c r="A897" s="3" t="str">
        <f>IF(C897="","",(VLOOKUP($C897,KEY!$B$5:$D$74,3,FALSE)))</f>
        <v/>
      </c>
      <c r="B897" s="221" t="s">
        <v>225</v>
      </c>
      <c r="C897" s="222"/>
      <c r="D897" s="218"/>
    </row>
    <row r="898" spans="1:4" s="57" customFormat="1" ht="14.15" customHeight="1" x14ac:dyDescent="0.25">
      <c r="A898" s="3" t="str">
        <f>IF(C898="","",(VLOOKUP($C898,KEY!$B$5:$D$74,3,FALSE)))</f>
        <v/>
      </c>
      <c r="B898" s="221" t="s">
        <v>225</v>
      </c>
      <c r="C898" s="222"/>
      <c r="D898" s="218"/>
    </row>
    <row r="899" spans="1:4" s="57" customFormat="1" ht="14.15" customHeight="1" x14ac:dyDescent="0.25">
      <c r="A899" s="3" t="str">
        <f>IF(C899="","",(VLOOKUP($C899,KEY!$B$5:$D$74,3,FALSE)))</f>
        <v/>
      </c>
      <c r="B899" s="221" t="s">
        <v>225</v>
      </c>
      <c r="C899" s="222"/>
      <c r="D899" s="218"/>
    </row>
    <row r="900" spans="1:4" s="57" customFormat="1" ht="14.15" customHeight="1" x14ac:dyDescent="0.25">
      <c r="A900" s="3" t="str">
        <f>IF(C900="","",(VLOOKUP($C900,KEY!$B$5:$D$74,3,FALSE)))</f>
        <v/>
      </c>
      <c r="B900" s="221" t="s">
        <v>225</v>
      </c>
      <c r="C900" s="222"/>
      <c r="D900" s="218"/>
    </row>
    <row r="901" spans="1:4" s="57" customFormat="1" ht="14.15" customHeight="1" x14ac:dyDescent="0.25">
      <c r="A901" s="3" t="str">
        <f>IF(C901="","",(VLOOKUP($C901,KEY!$B$5:$D$74,3,FALSE)))</f>
        <v/>
      </c>
      <c r="B901" s="221" t="s">
        <v>225</v>
      </c>
      <c r="C901" s="222"/>
      <c r="D901" s="218"/>
    </row>
    <row r="902" spans="1:4" s="57" customFormat="1" ht="14.15" customHeight="1" x14ac:dyDescent="0.25">
      <c r="A902" s="3" t="str">
        <f>IF(C902="","",(VLOOKUP($C902,KEY!$B$5:$D$74,3,FALSE)))</f>
        <v/>
      </c>
      <c r="B902" s="221" t="s">
        <v>225</v>
      </c>
      <c r="C902" s="222"/>
      <c r="D902" s="218"/>
    </row>
    <row r="903" spans="1:4" s="57" customFormat="1" ht="14.15" customHeight="1" x14ac:dyDescent="0.25">
      <c r="A903" s="3" t="str">
        <f>IF(C903="","",(VLOOKUP($C903,KEY!$B$5:$D$74,3,FALSE)))</f>
        <v/>
      </c>
      <c r="B903" s="221" t="s">
        <v>225</v>
      </c>
      <c r="C903" s="222"/>
      <c r="D903" s="218"/>
    </row>
    <row r="904" spans="1:4" s="57" customFormat="1" ht="14.15" customHeight="1" x14ac:dyDescent="0.25">
      <c r="A904" s="3" t="str">
        <f>IF(C904="","",(VLOOKUP($C904,KEY!$B$5:$D$74,3,FALSE)))</f>
        <v/>
      </c>
      <c r="B904" s="221" t="s">
        <v>225</v>
      </c>
      <c r="C904" s="222"/>
      <c r="D904" s="218"/>
    </row>
    <row r="905" spans="1:4" s="57" customFormat="1" ht="14.15" customHeight="1" x14ac:dyDescent="0.25">
      <c r="A905" s="3" t="str">
        <f>IF(C905="","",(VLOOKUP($C905,KEY!$B$5:$D$74,3,FALSE)))</f>
        <v/>
      </c>
      <c r="B905" s="221" t="s">
        <v>225</v>
      </c>
      <c r="C905" s="222"/>
      <c r="D905" s="218"/>
    </row>
    <row r="906" spans="1:4" s="57" customFormat="1" ht="14.15" customHeight="1" x14ac:dyDescent="0.25">
      <c r="A906" s="3" t="str">
        <f>IF(C906="","",(VLOOKUP($C906,KEY!$B$5:$D$74,3,FALSE)))</f>
        <v/>
      </c>
      <c r="B906" s="221" t="s">
        <v>225</v>
      </c>
      <c r="C906" s="222"/>
      <c r="D906" s="218"/>
    </row>
    <row r="907" spans="1:4" s="57" customFormat="1" ht="14.15" customHeight="1" x14ac:dyDescent="0.25">
      <c r="A907" s="3" t="str">
        <f>IF(C907="","",(VLOOKUP($C907,KEY!$B$5:$D$74,3,FALSE)))</f>
        <v/>
      </c>
      <c r="B907" s="221" t="s">
        <v>225</v>
      </c>
      <c r="C907" s="222"/>
      <c r="D907" s="218"/>
    </row>
    <row r="908" spans="1:4" s="57" customFormat="1" ht="14.15" customHeight="1" x14ac:dyDescent="0.25">
      <c r="A908" s="3" t="str">
        <f>IF(C908="","",(VLOOKUP($C908,KEY!$B$5:$D$74,3,FALSE)))</f>
        <v/>
      </c>
      <c r="B908" s="221" t="s">
        <v>225</v>
      </c>
      <c r="C908" s="222"/>
      <c r="D908" s="218"/>
    </row>
    <row r="909" spans="1:4" s="57" customFormat="1" ht="14.15" customHeight="1" x14ac:dyDescent="0.25">
      <c r="A909" s="3" t="str">
        <f>IF(C909="","",(VLOOKUP($C909,KEY!$B$5:$D$74,3,FALSE)))</f>
        <v/>
      </c>
      <c r="B909" s="221" t="s">
        <v>225</v>
      </c>
      <c r="C909" s="222"/>
      <c r="D909" s="218"/>
    </row>
    <row r="910" spans="1:4" s="57" customFormat="1" ht="14.15" customHeight="1" x14ac:dyDescent="0.25">
      <c r="A910" s="3" t="str">
        <f>IF(C910="","",(VLOOKUP($C910,KEY!$B$5:$D$74,3,FALSE)))</f>
        <v/>
      </c>
      <c r="B910" s="221" t="s">
        <v>225</v>
      </c>
      <c r="C910" s="222"/>
      <c r="D910" s="218"/>
    </row>
    <row r="911" spans="1:4" s="57" customFormat="1" ht="14.15" customHeight="1" x14ac:dyDescent="0.25">
      <c r="A911" s="3" t="str">
        <f>IF(C911="","",(VLOOKUP($C911,KEY!$B$5:$D$74,3,FALSE)))</f>
        <v/>
      </c>
      <c r="B911" s="221" t="s">
        <v>225</v>
      </c>
      <c r="C911" s="222"/>
      <c r="D911" s="218"/>
    </row>
    <row r="912" spans="1:4" s="57" customFormat="1" ht="14.15" customHeight="1" x14ac:dyDescent="0.25">
      <c r="A912" s="3" t="str">
        <f>IF(C912="","",(VLOOKUP($C912,KEY!$B$5:$D$74,3,FALSE)))</f>
        <v/>
      </c>
      <c r="B912" s="221" t="s">
        <v>225</v>
      </c>
      <c r="C912" s="222"/>
      <c r="D912" s="218"/>
    </row>
    <row r="913" spans="1:4" s="57" customFormat="1" ht="14.15" customHeight="1" x14ac:dyDescent="0.25">
      <c r="A913" s="3" t="str">
        <f>IF(C913="","",(VLOOKUP($C913,KEY!$B$5:$D$74,3,FALSE)))</f>
        <v/>
      </c>
      <c r="B913" s="221" t="s">
        <v>225</v>
      </c>
      <c r="C913" s="222"/>
      <c r="D913" s="218"/>
    </row>
    <row r="914" spans="1:4" s="57" customFormat="1" ht="14.15" customHeight="1" x14ac:dyDescent="0.25">
      <c r="A914" s="3" t="str">
        <f>IF(C914="","",(VLOOKUP($C914,KEY!$B$5:$D$74,3,FALSE)))</f>
        <v/>
      </c>
      <c r="B914" s="402" t="s">
        <v>225</v>
      </c>
      <c r="C914" s="403"/>
      <c r="D914" s="404"/>
    </row>
    <row r="915" spans="1:4" s="57" customFormat="1" ht="14.15" customHeight="1" x14ac:dyDescent="0.25">
      <c r="A915" s="3" t="str">
        <f>IF(C915="","",(VLOOKUP($C915,KEY!$B$5:$D$74,3,FALSE)))</f>
        <v/>
      </c>
      <c r="B915" s="221"/>
      <c r="C915" s="222"/>
      <c r="D915" s="218"/>
    </row>
    <row r="916" spans="1:4" s="57" customFormat="1" ht="14.15" hidden="1" customHeight="1" x14ac:dyDescent="0.25">
      <c r="A916" s="3" t="str">
        <f>IF(C916="","",(VLOOKUP($C916,KEY!$B$5:$D$74,3,FALSE)))</f>
        <v/>
      </c>
      <c r="B916" s="221"/>
      <c r="C916" s="222"/>
      <c r="D916" s="218"/>
    </row>
    <row r="917" spans="1:4" s="57" customFormat="1" ht="14.15" hidden="1" customHeight="1" x14ac:dyDescent="0.25">
      <c r="A917" s="3" t="str">
        <f>IF(C917="","",(VLOOKUP($C917,KEY!$B$5:$D$74,3,FALSE)))</f>
        <v/>
      </c>
      <c r="B917" s="221"/>
      <c r="C917" s="222"/>
      <c r="D917" s="218"/>
    </row>
    <row r="918" spans="1:4" s="57" customFormat="1" ht="14.15" hidden="1" customHeight="1" x14ac:dyDescent="0.25">
      <c r="A918" s="3" t="str">
        <f>IF(C918="","",(VLOOKUP($C918,KEY!$B$5:$D$74,3,FALSE)))</f>
        <v/>
      </c>
      <c r="B918" s="221"/>
      <c r="C918" s="222"/>
      <c r="D918" s="218"/>
    </row>
    <row r="919" spans="1:4" s="57" customFormat="1" ht="14.15" hidden="1" customHeight="1" x14ac:dyDescent="0.25">
      <c r="A919" s="3" t="str">
        <f>IF(C919="","",(VLOOKUP($C919,KEY!$B$5:$D$74,3,FALSE)))</f>
        <v/>
      </c>
      <c r="B919" s="221"/>
      <c r="C919" s="222"/>
      <c r="D919" s="218"/>
    </row>
    <row r="920" spans="1:4" s="57" customFormat="1" ht="14.15" hidden="1" customHeight="1" x14ac:dyDescent="0.25">
      <c r="A920" s="3" t="str">
        <f>IF(C920="","",(VLOOKUP($C920,KEY!$B$5:$D$74,3,FALSE)))</f>
        <v/>
      </c>
      <c r="B920" s="221"/>
      <c r="C920" s="222"/>
      <c r="D920" s="218"/>
    </row>
    <row r="921" spans="1:4" s="57" customFormat="1" ht="14.15" hidden="1" customHeight="1" x14ac:dyDescent="0.25">
      <c r="A921" s="3" t="str">
        <f>IF(C921="","",(VLOOKUP($C921,KEY!$B$5:$D$74,3,FALSE)))</f>
        <v/>
      </c>
      <c r="B921" s="221"/>
      <c r="C921" s="222"/>
      <c r="D921" s="218"/>
    </row>
    <row r="922" spans="1:4" s="57" customFormat="1" ht="14.15" hidden="1" customHeight="1" x14ac:dyDescent="0.25">
      <c r="A922" s="3" t="str">
        <f>IF(C922="","",(VLOOKUP($C922,KEY!$B$5:$D$74,3,FALSE)))</f>
        <v/>
      </c>
      <c r="B922" s="221"/>
      <c r="C922" s="222"/>
      <c r="D922" s="218"/>
    </row>
    <row r="923" spans="1:4" s="57" customFormat="1" ht="14.15" hidden="1" customHeight="1" x14ac:dyDescent="0.25">
      <c r="A923" s="3" t="str">
        <f>IF(C923="","",(VLOOKUP($C923,KEY!$B$5:$D$74,3,FALSE)))</f>
        <v/>
      </c>
      <c r="B923" s="221"/>
      <c r="C923" s="222"/>
      <c r="D923" s="218"/>
    </row>
    <row r="924" spans="1:4" s="57" customFormat="1" ht="14.15" hidden="1" customHeight="1" x14ac:dyDescent="0.25">
      <c r="A924" s="3" t="str">
        <f>IF(C924="","",(VLOOKUP($C924,KEY!$B$5:$D$74,3,FALSE)))</f>
        <v/>
      </c>
      <c r="B924" s="221"/>
      <c r="C924" s="222"/>
      <c r="D924" s="218"/>
    </row>
    <row r="925" spans="1:4" s="57" customFormat="1" ht="14.15" hidden="1" customHeight="1" x14ac:dyDescent="0.25">
      <c r="A925" s="3" t="str">
        <f>IF(C925="","",(VLOOKUP($C925,KEY!$B$5:$D$74,3,FALSE)))</f>
        <v/>
      </c>
      <c r="B925" s="221"/>
      <c r="C925" s="222"/>
      <c r="D925" s="218"/>
    </row>
    <row r="926" spans="1:4" ht="14.15" hidden="1" customHeight="1" x14ac:dyDescent="0.35">
      <c r="A926" s="3" t="str">
        <f>IF(C926="","",(VLOOKUP($C926,KEY!$B$5:$D$74,3,FALSE)))</f>
        <v/>
      </c>
      <c r="B926" s="221"/>
      <c r="C926" s="222"/>
      <c r="D926" s="218"/>
    </row>
    <row r="927" spans="1:4" ht="14.15" hidden="1" customHeight="1" x14ac:dyDescent="0.35">
      <c r="A927" s="3" t="str">
        <f>IF(C927="","",(VLOOKUP($C927,KEY!$B$5:$D$74,3,FALSE)))</f>
        <v/>
      </c>
      <c r="B927" s="221"/>
      <c r="C927" s="222"/>
      <c r="D927" s="218"/>
    </row>
    <row r="928" spans="1:4" ht="14.15" hidden="1" customHeight="1" x14ac:dyDescent="0.35">
      <c r="A928" s="3" t="str">
        <f>IF(C928="","",(VLOOKUP($C928,KEY!$B$5:$D$74,3,FALSE)))</f>
        <v/>
      </c>
      <c r="B928" s="221"/>
      <c r="C928" s="222"/>
      <c r="D928" s="218"/>
    </row>
    <row r="929" spans="1:4" ht="14.15" hidden="1" customHeight="1" x14ac:dyDescent="0.35">
      <c r="A929" s="3" t="str">
        <f>IF(C929="","",(VLOOKUP($C929,KEY!$B$5:$D$74,3,FALSE)))</f>
        <v/>
      </c>
      <c r="B929" s="221"/>
      <c r="C929" s="222"/>
      <c r="D929" s="218"/>
    </row>
    <row r="930" spans="1:4" ht="14.15" hidden="1" customHeight="1" x14ac:dyDescent="0.35">
      <c r="A930" s="3" t="str">
        <f>IF(C930="","",(VLOOKUP($C930,KEY!$B$5:$D$74,3,FALSE)))</f>
        <v/>
      </c>
      <c r="B930" s="221"/>
      <c r="C930" s="222"/>
      <c r="D930" s="218"/>
    </row>
    <row r="931" spans="1:4" ht="14.15" hidden="1" customHeight="1" x14ac:dyDescent="0.35">
      <c r="A931" s="3" t="str">
        <f>IF(C931="","",(VLOOKUP($C931,KEY!$B$5:$D$74,3,FALSE)))</f>
        <v/>
      </c>
      <c r="B931" s="221"/>
      <c r="C931" s="222"/>
      <c r="D931" s="218"/>
    </row>
    <row r="932" spans="1:4" hidden="1" x14ac:dyDescent="0.35">
      <c r="A932" s="3" t="str">
        <f>IF(C932="","",(VLOOKUP($C932,KEY!$B$5:$D$74,3,FALSE)))</f>
        <v/>
      </c>
      <c r="B932" s="221"/>
      <c r="C932" s="222"/>
      <c r="D932" s="218"/>
    </row>
    <row r="933" spans="1:4" hidden="1" x14ac:dyDescent="0.35">
      <c r="B933" s="221" t="s">
        <v>213</v>
      </c>
      <c r="C933" s="222" t="s">
        <v>16</v>
      </c>
      <c r="D933" s="218">
        <f>SUMIFS($D$5:$D$932,$B$5:$B$932,$B933,$A$5:$A$932,$C933)</f>
        <v>167</v>
      </c>
    </row>
    <row r="934" spans="1:4" hidden="1" x14ac:dyDescent="0.35">
      <c r="B934" s="221" t="s">
        <v>213</v>
      </c>
      <c r="C934" s="222" t="s">
        <v>104</v>
      </c>
      <c r="D934" s="218">
        <f t="shared" ref="D934:D997" si="0">SUMIFS($D$5:$D$932,$B$5:$B$932,$B934,$A$5:$A$932,$C934)</f>
        <v>0</v>
      </c>
    </row>
    <row r="935" spans="1:4" hidden="1" x14ac:dyDescent="0.35">
      <c r="B935" s="221" t="s">
        <v>213</v>
      </c>
      <c r="C935" s="222" t="s">
        <v>105</v>
      </c>
      <c r="D935" s="218">
        <f t="shared" si="0"/>
        <v>0</v>
      </c>
    </row>
    <row r="936" spans="1:4" hidden="1" x14ac:dyDescent="0.35">
      <c r="B936" s="221" t="s">
        <v>213</v>
      </c>
      <c r="C936" s="222" t="s">
        <v>105</v>
      </c>
      <c r="D936" s="218">
        <f t="shared" si="0"/>
        <v>0</v>
      </c>
    </row>
    <row r="937" spans="1:4" hidden="1" x14ac:dyDescent="0.35">
      <c r="B937" s="221" t="s">
        <v>213</v>
      </c>
      <c r="C937" s="222" t="s">
        <v>106</v>
      </c>
      <c r="D937" s="218">
        <f t="shared" si="0"/>
        <v>52</v>
      </c>
    </row>
    <row r="938" spans="1:4" hidden="1" x14ac:dyDescent="0.35">
      <c r="B938" s="221" t="s">
        <v>213</v>
      </c>
      <c r="C938" s="222" t="s">
        <v>107</v>
      </c>
      <c r="D938" s="218">
        <f t="shared" si="0"/>
        <v>181</v>
      </c>
    </row>
    <row r="939" spans="1:4" hidden="1" x14ac:dyDescent="0.35">
      <c r="B939" s="221" t="s">
        <v>213</v>
      </c>
      <c r="C939" s="222" t="s">
        <v>108</v>
      </c>
      <c r="D939" s="218">
        <f t="shared" si="0"/>
        <v>89</v>
      </c>
    </row>
    <row r="940" spans="1:4" hidden="1" x14ac:dyDescent="0.35">
      <c r="B940" s="221" t="s">
        <v>213</v>
      </c>
      <c r="C940" s="222" t="s">
        <v>109</v>
      </c>
      <c r="D940" s="218">
        <f t="shared" si="0"/>
        <v>102</v>
      </c>
    </row>
    <row r="941" spans="1:4" hidden="1" x14ac:dyDescent="0.35">
      <c r="B941" s="221" t="s">
        <v>213</v>
      </c>
      <c r="C941" s="222" t="s">
        <v>110</v>
      </c>
      <c r="D941" s="218">
        <f t="shared" si="0"/>
        <v>0</v>
      </c>
    </row>
    <row r="942" spans="1:4" hidden="1" x14ac:dyDescent="0.35">
      <c r="B942" s="221" t="s">
        <v>214</v>
      </c>
      <c r="C942" s="222" t="s">
        <v>16</v>
      </c>
      <c r="D942" s="218">
        <f t="shared" si="0"/>
        <v>316</v>
      </c>
    </row>
    <row r="943" spans="1:4" hidden="1" x14ac:dyDescent="0.35">
      <c r="B943" s="221" t="s">
        <v>214</v>
      </c>
      <c r="C943" s="222" t="s">
        <v>104</v>
      </c>
      <c r="D943" s="218">
        <f t="shared" si="0"/>
        <v>0</v>
      </c>
    </row>
    <row r="944" spans="1:4" hidden="1" x14ac:dyDescent="0.35">
      <c r="B944" s="221" t="s">
        <v>214</v>
      </c>
      <c r="C944" s="222" t="s">
        <v>105</v>
      </c>
      <c r="D944" s="218">
        <f t="shared" si="0"/>
        <v>0</v>
      </c>
    </row>
    <row r="945" spans="2:4" hidden="1" x14ac:dyDescent="0.35">
      <c r="B945" s="221" t="s">
        <v>214</v>
      </c>
      <c r="C945" s="222" t="s">
        <v>105</v>
      </c>
      <c r="D945" s="218">
        <f t="shared" si="0"/>
        <v>0</v>
      </c>
    </row>
    <row r="946" spans="2:4" hidden="1" x14ac:dyDescent="0.35">
      <c r="B946" s="221" t="s">
        <v>214</v>
      </c>
      <c r="C946" s="222" t="s">
        <v>106</v>
      </c>
      <c r="D946" s="218">
        <f t="shared" si="0"/>
        <v>180</v>
      </c>
    </row>
    <row r="947" spans="2:4" hidden="1" x14ac:dyDescent="0.35">
      <c r="B947" s="221" t="s">
        <v>214</v>
      </c>
      <c r="C947" s="222" t="s">
        <v>107</v>
      </c>
      <c r="D947" s="218">
        <f t="shared" si="0"/>
        <v>151</v>
      </c>
    </row>
    <row r="948" spans="2:4" hidden="1" x14ac:dyDescent="0.35">
      <c r="B948" s="221" t="s">
        <v>214</v>
      </c>
      <c r="C948" s="222" t="s">
        <v>108</v>
      </c>
      <c r="D948" s="218">
        <f t="shared" si="0"/>
        <v>129</v>
      </c>
    </row>
    <row r="949" spans="2:4" hidden="1" x14ac:dyDescent="0.35">
      <c r="B949" s="221" t="s">
        <v>214</v>
      </c>
      <c r="C949" s="222" t="s">
        <v>109</v>
      </c>
      <c r="D949" s="218">
        <f t="shared" si="0"/>
        <v>150</v>
      </c>
    </row>
    <row r="950" spans="2:4" hidden="1" x14ac:dyDescent="0.35">
      <c r="B950" s="221" t="s">
        <v>214</v>
      </c>
      <c r="C950" s="222" t="s">
        <v>110</v>
      </c>
      <c r="D950" s="218">
        <f t="shared" si="0"/>
        <v>0</v>
      </c>
    </row>
    <row r="951" spans="2:4" hidden="1" x14ac:dyDescent="0.35">
      <c r="B951" s="221" t="s">
        <v>215</v>
      </c>
      <c r="C951" s="222" t="s">
        <v>16</v>
      </c>
      <c r="D951" s="218">
        <f t="shared" si="0"/>
        <v>252</v>
      </c>
    </row>
    <row r="952" spans="2:4" hidden="1" x14ac:dyDescent="0.35">
      <c r="B952" s="221" t="s">
        <v>215</v>
      </c>
      <c r="C952" s="222" t="s">
        <v>104</v>
      </c>
      <c r="D952" s="218">
        <f t="shared" si="0"/>
        <v>0</v>
      </c>
    </row>
    <row r="953" spans="2:4" hidden="1" x14ac:dyDescent="0.35">
      <c r="B953" s="221" t="s">
        <v>215</v>
      </c>
      <c r="C953" s="222" t="s">
        <v>105</v>
      </c>
      <c r="D953" s="218">
        <f t="shared" si="0"/>
        <v>0</v>
      </c>
    </row>
    <row r="954" spans="2:4" hidden="1" x14ac:dyDescent="0.35">
      <c r="B954" s="221" t="s">
        <v>215</v>
      </c>
      <c r="C954" s="222" t="s">
        <v>105</v>
      </c>
      <c r="D954" s="218">
        <f t="shared" si="0"/>
        <v>0</v>
      </c>
    </row>
    <row r="955" spans="2:4" hidden="1" x14ac:dyDescent="0.35">
      <c r="B955" s="221" t="s">
        <v>215</v>
      </c>
      <c r="C955" s="222" t="s">
        <v>106</v>
      </c>
      <c r="D955" s="218">
        <f t="shared" si="0"/>
        <v>155</v>
      </c>
    </row>
    <row r="956" spans="2:4" hidden="1" x14ac:dyDescent="0.35">
      <c r="B956" s="221" t="s">
        <v>215</v>
      </c>
      <c r="C956" s="222" t="s">
        <v>107</v>
      </c>
      <c r="D956" s="218">
        <f t="shared" si="0"/>
        <v>205</v>
      </c>
    </row>
    <row r="957" spans="2:4" hidden="1" x14ac:dyDescent="0.35">
      <c r="B957" s="221" t="s">
        <v>215</v>
      </c>
      <c r="C957" s="222" t="s">
        <v>108</v>
      </c>
      <c r="D957" s="218">
        <f t="shared" si="0"/>
        <v>130</v>
      </c>
    </row>
    <row r="958" spans="2:4" hidden="1" x14ac:dyDescent="0.35">
      <c r="B958" s="221" t="s">
        <v>215</v>
      </c>
      <c r="C958" s="222" t="s">
        <v>109</v>
      </c>
      <c r="D958" s="218">
        <f t="shared" si="0"/>
        <v>173</v>
      </c>
    </row>
    <row r="959" spans="2:4" hidden="1" x14ac:dyDescent="0.35">
      <c r="B959" s="221" t="s">
        <v>215</v>
      </c>
      <c r="C959" s="222" t="s">
        <v>110</v>
      </c>
      <c r="D959" s="218">
        <f t="shared" si="0"/>
        <v>0</v>
      </c>
    </row>
    <row r="960" spans="2:4" hidden="1" x14ac:dyDescent="0.35">
      <c r="B960" s="221" t="s">
        <v>216</v>
      </c>
      <c r="C960" s="222" t="s">
        <v>16</v>
      </c>
      <c r="D960" s="218">
        <f t="shared" si="0"/>
        <v>396</v>
      </c>
    </row>
    <row r="961" spans="2:4" hidden="1" x14ac:dyDescent="0.35">
      <c r="B961" s="221" t="s">
        <v>216</v>
      </c>
      <c r="C961" s="222" t="s">
        <v>104</v>
      </c>
      <c r="D961" s="218">
        <f t="shared" si="0"/>
        <v>0</v>
      </c>
    </row>
    <row r="962" spans="2:4" hidden="1" x14ac:dyDescent="0.35">
      <c r="B962" s="221" t="s">
        <v>216</v>
      </c>
      <c r="C962" s="222" t="s">
        <v>105</v>
      </c>
      <c r="D962" s="218">
        <f t="shared" si="0"/>
        <v>0</v>
      </c>
    </row>
    <row r="963" spans="2:4" hidden="1" x14ac:dyDescent="0.35">
      <c r="B963" s="221" t="s">
        <v>216</v>
      </c>
      <c r="C963" s="222" t="s">
        <v>105</v>
      </c>
      <c r="D963" s="218">
        <f t="shared" si="0"/>
        <v>0</v>
      </c>
    </row>
    <row r="964" spans="2:4" hidden="1" x14ac:dyDescent="0.35">
      <c r="B964" s="221" t="s">
        <v>216</v>
      </c>
      <c r="C964" s="222" t="s">
        <v>106</v>
      </c>
      <c r="D964" s="218">
        <f t="shared" si="0"/>
        <v>182</v>
      </c>
    </row>
    <row r="965" spans="2:4" hidden="1" x14ac:dyDescent="0.35">
      <c r="B965" s="221" t="s">
        <v>216</v>
      </c>
      <c r="C965" s="222" t="s">
        <v>107</v>
      </c>
      <c r="D965" s="218">
        <f t="shared" si="0"/>
        <v>178</v>
      </c>
    </row>
    <row r="966" spans="2:4" hidden="1" x14ac:dyDescent="0.35">
      <c r="B966" s="221" t="s">
        <v>216</v>
      </c>
      <c r="C966" s="222" t="s">
        <v>108</v>
      </c>
      <c r="D966" s="218">
        <f t="shared" si="0"/>
        <v>189</v>
      </c>
    </row>
    <row r="967" spans="2:4" hidden="1" x14ac:dyDescent="0.35">
      <c r="B967" s="221" t="s">
        <v>216</v>
      </c>
      <c r="C967" s="222" t="s">
        <v>109</v>
      </c>
      <c r="D967" s="218">
        <f t="shared" si="0"/>
        <v>231</v>
      </c>
    </row>
    <row r="968" spans="2:4" hidden="1" x14ac:dyDescent="0.35">
      <c r="B968" s="221" t="s">
        <v>216</v>
      </c>
      <c r="C968" s="222" t="s">
        <v>110</v>
      </c>
      <c r="D968" s="218">
        <f t="shared" si="0"/>
        <v>0</v>
      </c>
    </row>
    <row r="969" spans="2:4" hidden="1" x14ac:dyDescent="0.35">
      <c r="B969" s="221" t="s">
        <v>217</v>
      </c>
      <c r="C969" s="222" t="s">
        <v>16</v>
      </c>
      <c r="D969" s="218">
        <f t="shared" si="0"/>
        <v>230</v>
      </c>
    </row>
    <row r="970" spans="2:4" hidden="1" x14ac:dyDescent="0.35">
      <c r="B970" s="221" t="s">
        <v>217</v>
      </c>
      <c r="C970" s="222" t="s">
        <v>104</v>
      </c>
      <c r="D970" s="218">
        <f t="shared" si="0"/>
        <v>0</v>
      </c>
    </row>
    <row r="971" spans="2:4" hidden="1" x14ac:dyDescent="0.35">
      <c r="B971" s="221" t="s">
        <v>217</v>
      </c>
      <c r="C971" s="222" t="s">
        <v>105</v>
      </c>
      <c r="D971" s="218">
        <f t="shared" si="0"/>
        <v>0</v>
      </c>
    </row>
    <row r="972" spans="2:4" hidden="1" x14ac:dyDescent="0.35">
      <c r="B972" s="221" t="s">
        <v>217</v>
      </c>
      <c r="C972" s="222" t="s">
        <v>105</v>
      </c>
      <c r="D972" s="218">
        <f t="shared" si="0"/>
        <v>0</v>
      </c>
    </row>
    <row r="973" spans="2:4" hidden="1" x14ac:dyDescent="0.35">
      <c r="B973" s="221" t="s">
        <v>217</v>
      </c>
      <c r="C973" s="222" t="s">
        <v>106</v>
      </c>
      <c r="D973" s="218">
        <f t="shared" si="0"/>
        <v>111</v>
      </c>
    </row>
    <row r="974" spans="2:4" hidden="1" x14ac:dyDescent="0.35">
      <c r="B974" s="221" t="s">
        <v>217</v>
      </c>
      <c r="C974" s="222" t="s">
        <v>107</v>
      </c>
      <c r="D974" s="218">
        <f t="shared" si="0"/>
        <v>148</v>
      </c>
    </row>
    <row r="975" spans="2:4" hidden="1" x14ac:dyDescent="0.35">
      <c r="B975" s="221" t="s">
        <v>217</v>
      </c>
      <c r="C975" s="222" t="s">
        <v>108</v>
      </c>
      <c r="D975" s="218">
        <f t="shared" si="0"/>
        <v>182</v>
      </c>
    </row>
    <row r="976" spans="2:4" hidden="1" x14ac:dyDescent="0.35">
      <c r="B976" s="221" t="s">
        <v>217</v>
      </c>
      <c r="C976" s="222" t="s">
        <v>109</v>
      </c>
      <c r="D976" s="218">
        <f t="shared" si="0"/>
        <v>142</v>
      </c>
    </row>
    <row r="977" spans="2:4" hidden="1" x14ac:dyDescent="0.35">
      <c r="B977" s="221" t="s">
        <v>217</v>
      </c>
      <c r="C977" s="222" t="s">
        <v>110</v>
      </c>
      <c r="D977" s="218">
        <f t="shared" si="0"/>
        <v>0</v>
      </c>
    </row>
    <row r="978" spans="2:4" hidden="1" x14ac:dyDescent="0.35">
      <c r="B978" s="221" t="s">
        <v>218</v>
      </c>
      <c r="C978" s="222" t="s">
        <v>16</v>
      </c>
      <c r="D978" s="218">
        <f t="shared" si="0"/>
        <v>319</v>
      </c>
    </row>
    <row r="979" spans="2:4" hidden="1" x14ac:dyDescent="0.35">
      <c r="B979" s="221" t="s">
        <v>218</v>
      </c>
      <c r="C979" s="222" t="s">
        <v>104</v>
      </c>
      <c r="D979" s="218">
        <f t="shared" si="0"/>
        <v>0</v>
      </c>
    </row>
    <row r="980" spans="2:4" hidden="1" x14ac:dyDescent="0.35">
      <c r="B980" s="221" t="s">
        <v>218</v>
      </c>
      <c r="C980" s="222" t="s">
        <v>105</v>
      </c>
      <c r="D980" s="218">
        <f t="shared" si="0"/>
        <v>0</v>
      </c>
    </row>
    <row r="981" spans="2:4" hidden="1" x14ac:dyDescent="0.35">
      <c r="B981" s="221" t="s">
        <v>218</v>
      </c>
      <c r="C981" s="222" t="s">
        <v>105</v>
      </c>
      <c r="D981" s="218">
        <f t="shared" si="0"/>
        <v>0</v>
      </c>
    </row>
    <row r="982" spans="2:4" hidden="1" x14ac:dyDescent="0.35">
      <c r="B982" s="221" t="s">
        <v>218</v>
      </c>
      <c r="C982" s="222" t="s">
        <v>106</v>
      </c>
      <c r="D982" s="218">
        <f t="shared" si="0"/>
        <v>218</v>
      </c>
    </row>
    <row r="983" spans="2:4" hidden="1" x14ac:dyDescent="0.35">
      <c r="B983" s="221" t="s">
        <v>218</v>
      </c>
      <c r="C983" s="222" t="s">
        <v>107</v>
      </c>
      <c r="D983" s="218">
        <f t="shared" si="0"/>
        <v>192</v>
      </c>
    </row>
    <row r="984" spans="2:4" hidden="1" x14ac:dyDescent="0.35">
      <c r="B984" s="221" t="s">
        <v>218</v>
      </c>
      <c r="C984" s="222" t="s">
        <v>108</v>
      </c>
      <c r="D984" s="218">
        <f t="shared" si="0"/>
        <v>176</v>
      </c>
    </row>
    <row r="985" spans="2:4" hidden="1" x14ac:dyDescent="0.35">
      <c r="B985" s="221" t="s">
        <v>218</v>
      </c>
      <c r="C985" s="222" t="s">
        <v>109</v>
      </c>
      <c r="D985" s="218">
        <f t="shared" si="0"/>
        <v>227</v>
      </c>
    </row>
    <row r="986" spans="2:4" hidden="1" x14ac:dyDescent="0.35">
      <c r="B986" s="221" t="s">
        <v>218</v>
      </c>
      <c r="C986" s="222" t="s">
        <v>110</v>
      </c>
      <c r="D986" s="218">
        <f t="shared" si="0"/>
        <v>0</v>
      </c>
    </row>
    <row r="987" spans="2:4" hidden="1" x14ac:dyDescent="0.35">
      <c r="B987" s="221" t="s">
        <v>219</v>
      </c>
      <c r="C987" s="222" t="s">
        <v>16</v>
      </c>
      <c r="D987" s="218">
        <f t="shared" si="0"/>
        <v>253</v>
      </c>
    </row>
    <row r="988" spans="2:4" hidden="1" x14ac:dyDescent="0.35">
      <c r="B988" s="221" t="s">
        <v>219</v>
      </c>
      <c r="C988" s="222" t="s">
        <v>104</v>
      </c>
      <c r="D988" s="218">
        <f t="shared" si="0"/>
        <v>0</v>
      </c>
    </row>
    <row r="989" spans="2:4" hidden="1" x14ac:dyDescent="0.35">
      <c r="B989" s="221" t="s">
        <v>219</v>
      </c>
      <c r="C989" s="222" t="s">
        <v>105</v>
      </c>
      <c r="D989" s="218">
        <f t="shared" si="0"/>
        <v>0</v>
      </c>
    </row>
    <row r="990" spans="2:4" hidden="1" x14ac:dyDescent="0.35">
      <c r="B990" s="221" t="s">
        <v>219</v>
      </c>
      <c r="C990" s="222" t="s">
        <v>105</v>
      </c>
      <c r="D990" s="218">
        <f t="shared" si="0"/>
        <v>0</v>
      </c>
    </row>
    <row r="991" spans="2:4" hidden="1" x14ac:dyDescent="0.35">
      <c r="B991" s="221" t="s">
        <v>219</v>
      </c>
      <c r="C991" s="222" t="s">
        <v>106</v>
      </c>
      <c r="D991" s="218">
        <f t="shared" si="0"/>
        <v>148</v>
      </c>
    </row>
    <row r="992" spans="2:4" hidden="1" x14ac:dyDescent="0.35">
      <c r="B992" s="221" t="s">
        <v>219</v>
      </c>
      <c r="C992" s="222" t="s">
        <v>107</v>
      </c>
      <c r="D992" s="218">
        <f t="shared" si="0"/>
        <v>150</v>
      </c>
    </row>
    <row r="993" spans="2:4" hidden="1" x14ac:dyDescent="0.35">
      <c r="B993" s="221" t="s">
        <v>219</v>
      </c>
      <c r="C993" s="222" t="s">
        <v>108</v>
      </c>
      <c r="D993" s="218">
        <f t="shared" si="0"/>
        <v>138</v>
      </c>
    </row>
    <row r="994" spans="2:4" hidden="1" x14ac:dyDescent="0.35">
      <c r="B994" s="221" t="s">
        <v>219</v>
      </c>
      <c r="C994" s="222" t="s">
        <v>109</v>
      </c>
      <c r="D994" s="218">
        <f t="shared" si="0"/>
        <v>275</v>
      </c>
    </row>
    <row r="995" spans="2:4" hidden="1" x14ac:dyDescent="0.35">
      <c r="B995" s="221" t="s">
        <v>219</v>
      </c>
      <c r="C995" s="222" t="s">
        <v>110</v>
      </c>
      <c r="D995" s="218">
        <f t="shared" si="0"/>
        <v>0</v>
      </c>
    </row>
    <row r="996" spans="2:4" hidden="1" x14ac:dyDescent="0.35">
      <c r="B996" s="221" t="s">
        <v>220</v>
      </c>
      <c r="C996" s="222" t="s">
        <v>16</v>
      </c>
      <c r="D996" s="218">
        <f t="shared" si="0"/>
        <v>320</v>
      </c>
    </row>
    <row r="997" spans="2:4" hidden="1" x14ac:dyDescent="0.35">
      <c r="B997" s="221" t="s">
        <v>220</v>
      </c>
      <c r="C997" s="222" t="s">
        <v>104</v>
      </c>
      <c r="D997" s="218">
        <f t="shared" si="0"/>
        <v>0</v>
      </c>
    </row>
    <row r="998" spans="2:4" hidden="1" x14ac:dyDescent="0.35">
      <c r="B998" s="221" t="s">
        <v>220</v>
      </c>
      <c r="C998" s="222" t="s">
        <v>105</v>
      </c>
      <c r="D998" s="218">
        <f t="shared" ref="D998:D1049" si="1">SUMIFS($D$5:$D$932,$B$5:$B$932,$B998,$A$5:$A$932,$C998)</f>
        <v>0</v>
      </c>
    </row>
    <row r="999" spans="2:4" hidden="1" x14ac:dyDescent="0.35">
      <c r="B999" s="221" t="s">
        <v>220</v>
      </c>
      <c r="C999" s="222" t="s">
        <v>105</v>
      </c>
      <c r="D999" s="218">
        <f t="shared" si="1"/>
        <v>0</v>
      </c>
    </row>
    <row r="1000" spans="2:4" hidden="1" x14ac:dyDescent="0.35">
      <c r="B1000" s="221" t="s">
        <v>220</v>
      </c>
      <c r="C1000" s="222" t="s">
        <v>106</v>
      </c>
      <c r="D1000" s="218">
        <f t="shared" si="1"/>
        <v>206</v>
      </c>
    </row>
    <row r="1001" spans="2:4" hidden="1" x14ac:dyDescent="0.35">
      <c r="B1001" s="221" t="s">
        <v>220</v>
      </c>
      <c r="C1001" s="222" t="s">
        <v>107</v>
      </c>
      <c r="D1001" s="218">
        <f t="shared" si="1"/>
        <v>122</v>
      </c>
    </row>
    <row r="1002" spans="2:4" hidden="1" x14ac:dyDescent="0.35">
      <c r="B1002" s="221" t="s">
        <v>220</v>
      </c>
      <c r="C1002" s="222" t="s">
        <v>108</v>
      </c>
      <c r="D1002" s="218">
        <f t="shared" si="1"/>
        <v>172</v>
      </c>
    </row>
    <row r="1003" spans="2:4" hidden="1" x14ac:dyDescent="0.35">
      <c r="B1003" s="221" t="s">
        <v>220</v>
      </c>
      <c r="C1003" s="222" t="s">
        <v>109</v>
      </c>
      <c r="D1003" s="218">
        <f t="shared" si="1"/>
        <v>230</v>
      </c>
    </row>
    <row r="1004" spans="2:4" hidden="1" x14ac:dyDescent="0.35">
      <c r="B1004" s="221" t="s">
        <v>220</v>
      </c>
      <c r="C1004" s="222" t="s">
        <v>110</v>
      </c>
      <c r="D1004" s="218">
        <f t="shared" si="1"/>
        <v>0</v>
      </c>
    </row>
    <row r="1005" spans="2:4" hidden="1" x14ac:dyDescent="0.35">
      <c r="B1005" s="221" t="s">
        <v>221</v>
      </c>
      <c r="C1005" s="222" t="s">
        <v>16</v>
      </c>
      <c r="D1005" s="218">
        <f t="shared" si="1"/>
        <v>315</v>
      </c>
    </row>
    <row r="1006" spans="2:4" hidden="1" x14ac:dyDescent="0.35">
      <c r="B1006" s="221" t="s">
        <v>221</v>
      </c>
      <c r="C1006" s="222" t="s">
        <v>104</v>
      </c>
      <c r="D1006" s="218">
        <f t="shared" si="1"/>
        <v>0</v>
      </c>
    </row>
    <row r="1007" spans="2:4" hidden="1" x14ac:dyDescent="0.35">
      <c r="B1007" s="221" t="s">
        <v>221</v>
      </c>
      <c r="C1007" s="222" t="s">
        <v>105</v>
      </c>
      <c r="D1007" s="218">
        <f t="shared" si="1"/>
        <v>51</v>
      </c>
    </row>
    <row r="1008" spans="2:4" hidden="1" x14ac:dyDescent="0.35">
      <c r="B1008" s="221" t="s">
        <v>221</v>
      </c>
      <c r="C1008" s="222" t="s">
        <v>105</v>
      </c>
      <c r="D1008" s="218">
        <f t="shared" si="1"/>
        <v>51</v>
      </c>
    </row>
    <row r="1009" spans="2:4" hidden="1" x14ac:dyDescent="0.35">
      <c r="B1009" s="221" t="s">
        <v>221</v>
      </c>
      <c r="C1009" s="222" t="s">
        <v>106</v>
      </c>
      <c r="D1009" s="218">
        <f t="shared" si="1"/>
        <v>135</v>
      </c>
    </row>
    <row r="1010" spans="2:4" hidden="1" x14ac:dyDescent="0.35">
      <c r="B1010" s="221" t="s">
        <v>221</v>
      </c>
      <c r="C1010" s="222" t="s">
        <v>107</v>
      </c>
      <c r="D1010" s="218">
        <f t="shared" si="1"/>
        <v>153</v>
      </c>
    </row>
    <row r="1011" spans="2:4" hidden="1" x14ac:dyDescent="0.35">
      <c r="B1011" s="221" t="s">
        <v>221</v>
      </c>
      <c r="C1011" s="222" t="s">
        <v>108</v>
      </c>
      <c r="D1011" s="218">
        <f t="shared" si="1"/>
        <v>150</v>
      </c>
    </row>
    <row r="1012" spans="2:4" hidden="1" x14ac:dyDescent="0.35">
      <c r="B1012" s="221" t="s">
        <v>221</v>
      </c>
      <c r="C1012" s="222" t="s">
        <v>109</v>
      </c>
      <c r="D1012" s="218">
        <f t="shared" si="1"/>
        <v>230</v>
      </c>
    </row>
    <row r="1013" spans="2:4" hidden="1" x14ac:dyDescent="0.35">
      <c r="B1013" s="221" t="s">
        <v>221</v>
      </c>
      <c r="C1013" s="222" t="s">
        <v>110</v>
      </c>
      <c r="D1013" s="218">
        <f t="shared" si="1"/>
        <v>59</v>
      </c>
    </row>
    <row r="1014" spans="2:4" hidden="1" x14ac:dyDescent="0.35">
      <c r="B1014" s="221" t="s">
        <v>222</v>
      </c>
      <c r="C1014" s="222" t="s">
        <v>16</v>
      </c>
      <c r="D1014" s="218">
        <f t="shared" si="1"/>
        <v>414</v>
      </c>
    </row>
    <row r="1015" spans="2:4" hidden="1" x14ac:dyDescent="0.35">
      <c r="B1015" s="221" t="s">
        <v>222</v>
      </c>
      <c r="C1015" s="222" t="s">
        <v>104</v>
      </c>
      <c r="D1015" s="218">
        <f t="shared" si="1"/>
        <v>158</v>
      </c>
    </row>
    <row r="1016" spans="2:4" hidden="1" x14ac:dyDescent="0.35">
      <c r="B1016" s="221" t="s">
        <v>222</v>
      </c>
      <c r="C1016" s="222" t="s">
        <v>105</v>
      </c>
      <c r="D1016" s="218">
        <f t="shared" si="1"/>
        <v>115</v>
      </c>
    </row>
    <row r="1017" spans="2:4" hidden="1" x14ac:dyDescent="0.35">
      <c r="B1017" s="221" t="s">
        <v>222</v>
      </c>
      <c r="C1017" s="222" t="s">
        <v>105</v>
      </c>
      <c r="D1017" s="218">
        <f t="shared" si="1"/>
        <v>115</v>
      </c>
    </row>
    <row r="1018" spans="2:4" hidden="1" x14ac:dyDescent="0.35">
      <c r="B1018" s="221" t="s">
        <v>222</v>
      </c>
      <c r="C1018" s="222" t="s">
        <v>106</v>
      </c>
      <c r="D1018" s="218">
        <f t="shared" si="1"/>
        <v>202</v>
      </c>
    </row>
    <row r="1019" spans="2:4" hidden="1" x14ac:dyDescent="0.35">
      <c r="B1019" s="221" t="s">
        <v>222</v>
      </c>
      <c r="C1019" s="222" t="s">
        <v>107</v>
      </c>
      <c r="D1019" s="218">
        <f t="shared" si="1"/>
        <v>207</v>
      </c>
    </row>
    <row r="1020" spans="2:4" hidden="1" x14ac:dyDescent="0.35">
      <c r="B1020" s="221" t="s">
        <v>222</v>
      </c>
      <c r="C1020" s="222" t="s">
        <v>108</v>
      </c>
      <c r="D1020" s="218">
        <f t="shared" si="1"/>
        <v>159</v>
      </c>
    </row>
    <row r="1021" spans="2:4" hidden="1" x14ac:dyDescent="0.35">
      <c r="B1021" s="221" t="s">
        <v>222</v>
      </c>
      <c r="C1021" s="222" t="s">
        <v>109</v>
      </c>
      <c r="D1021" s="218">
        <f t="shared" si="1"/>
        <v>384</v>
      </c>
    </row>
    <row r="1022" spans="2:4" hidden="1" x14ac:dyDescent="0.35">
      <c r="B1022" s="221" t="s">
        <v>222</v>
      </c>
      <c r="C1022" s="222" t="s">
        <v>110</v>
      </c>
      <c r="D1022" s="218">
        <f t="shared" si="1"/>
        <v>55</v>
      </c>
    </row>
    <row r="1023" spans="2:4" hidden="1" x14ac:dyDescent="0.35">
      <c r="B1023" s="221" t="s">
        <v>223</v>
      </c>
      <c r="C1023" s="222" t="s">
        <v>16</v>
      </c>
      <c r="D1023" s="218">
        <f t="shared" si="1"/>
        <v>390</v>
      </c>
    </row>
    <row r="1024" spans="2:4" hidden="1" x14ac:dyDescent="0.35">
      <c r="B1024" s="221" t="s">
        <v>223</v>
      </c>
      <c r="C1024" s="222" t="s">
        <v>104</v>
      </c>
      <c r="D1024" s="218">
        <f t="shared" si="1"/>
        <v>82</v>
      </c>
    </row>
    <row r="1025" spans="2:4" hidden="1" x14ac:dyDescent="0.35">
      <c r="B1025" s="221" t="s">
        <v>223</v>
      </c>
      <c r="C1025" s="222" t="s">
        <v>105</v>
      </c>
      <c r="D1025" s="218">
        <f t="shared" si="1"/>
        <v>37</v>
      </c>
    </row>
    <row r="1026" spans="2:4" hidden="1" x14ac:dyDescent="0.35">
      <c r="B1026" s="221" t="s">
        <v>223</v>
      </c>
      <c r="C1026" s="222" t="s">
        <v>105</v>
      </c>
      <c r="D1026" s="218">
        <f t="shared" si="1"/>
        <v>37</v>
      </c>
    </row>
    <row r="1027" spans="2:4" hidden="1" x14ac:dyDescent="0.35">
      <c r="B1027" s="221" t="s">
        <v>223</v>
      </c>
      <c r="C1027" s="222" t="s">
        <v>106</v>
      </c>
      <c r="D1027" s="218">
        <f t="shared" si="1"/>
        <v>209</v>
      </c>
    </row>
    <row r="1028" spans="2:4" hidden="1" x14ac:dyDescent="0.35">
      <c r="B1028" s="221" t="s">
        <v>223</v>
      </c>
      <c r="C1028" s="222" t="s">
        <v>107</v>
      </c>
      <c r="D1028" s="218">
        <f t="shared" si="1"/>
        <v>159</v>
      </c>
    </row>
    <row r="1029" spans="2:4" hidden="1" x14ac:dyDescent="0.35">
      <c r="B1029" s="221" t="s">
        <v>223</v>
      </c>
      <c r="C1029" s="222" t="s">
        <v>108</v>
      </c>
      <c r="D1029" s="218">
        <f t="shared" si="1"/>
        <v>152</v>
      </c>
    </row>
    <row r="1030" spans="2:4" hidden="1" x14ac:dyDescent="0.35">
      <c r="B1030" s="221" t="s">
        <v>223</v>
      </c>
      <c r="C1030" s="222" t="s">
        <v>109</v>
      </c>
      <c r="D1030" s="218">
        <f t="shared" si="1"/>
        <v>209</v>
      </c>
    </row>
    <row r="1031" spans="2:4" hidden="1" x14ac:dyDescent="0.35">
      <c r="B1031" s="221" t="s">
        <v>223</v>
      </c>
      <c r="C1031" s="222" t="s">
        <v>110</v>
      </c>
      <c r="D1031" s="218">
        <f t="shared" si="1"/>
        <v>46</v>
      </c>
    </row>
    <row r="1032" spans="2:4" hidden="1" x14ac:dyDescent="0.35">
      <c r="B1032" s="221" t="s">
        <v>224</v>
      </c>
      <c r="C1032" s="222" t="s">
        <v>16</v>
      </c>
      <c r="D1032" s="218">
        <f t="shared" si="1"/>
        <v>414</v>
      </c>
    </row>
    <row r="1033" spans="2:4" hidden="1" x14ac:dyDescent="0.35">
      <c r="B1033" s="221" t="s">
        <v>224</v>
      </c>
      <c r="C1033" s="222" t="s">
        <v>104</v>
      </c>
      <c r="D1033" s="218">
        <f t="shared" si="1"/>
        <v>25</v>
      </c>
    </row>
    <row r="1034" spans="2:4" hidden="1" x14ac:dyDescent="0.35">
      <c r="B1034" s="221" t="s">
        <v>224</v>
      </c>
      <c r="C1034" s="222" t="s">
        <v>105</v>
      </c>
      <c r="D1034" s="218">
        <f t="shared" si="1"/>
        <v>138</v>
      </c>
    </row>
    <row r="1035" spans="2:4" hidden="1" x14ac:dyDescent="0.35">
      <c r="B1035" s="221" t="s">
        <v>224</v>
      </c>
      <c r="C1035" s="222" t="s">
        <v>105</v>
      </c>
      <c r="D1035" s="218">
        <f t="shared" si="1"/>
        <v>138</v>
      </c>
    </row>
    <row r="1036" spans="2:4" hidden="1" x14ac:dyDescent="0.35">
      <c r="B1036" s="221" t="s">
        <v>224</v>
      </c>
      <c r="C1036" s="222" t="s">
        <v>106</v>
      </c>
      <c r="D1036" s="218">
        <f t="shared" si="1"/>
        <v>125</v>
      </c>
    </row>
    <row r="1037" spans="2:4" hidden="1" x14ac:dyDescent="0.35">
      <c r="B1037" s="221" t="s">
        <v>224</v>
      </c>
      <c r="C1037" s="222" t="s">
        <v>107</v>
      </c>
      <c r="D1037" s="218">
        <f t="shared" si="1"/>
        <v>180</v>
      </c>
    </row>
    <row r="1038" spans="2:4" hidden="1" x14ac:dyDescent="0.35">
      <c r="B1038" s="221" t="s">
        <v>224</v>
      </c>
      <c r="C1038" s="222" t="s">
        <v>108</v>
      </c>
      <c r="D1038" s="218">
        <f t="shared" si="1"/>
        <v>219</v>
      </c>
    </row>
    <row r="1039" spans="2:4" hidden="1" x14ac:dyDescent="0.35">
      <c r="B1039" s="221" t="s">
        <v>224</v>
      </c>
      <c r="C1039" s="222" t="s">
        <v>109</v>
      </c>
      <c r="D1039" s="218">
        <f t="shared" si="1"/>
        <v>195</v>
      </c>
    </row>
    <row r="1040" spans="2:4" hidden="1" x14ac:dyDescent="0.35">
      <c r="B1040" s="221" t="s">
        <v>224</v>
      </c>
      <c r="C1040" s="222" t="s">
        <v>110</v>
      </c>
      <c r="D1040" s="218">
        <f t="shared" si="1"/>
        <v>33</v>
      </c>
    </row>
    <row r="1041" spans="2:4" hidden="1" x14ac:dyDescent="0.35">
      <c r="B1041" s="221" t="s">
        <v>225</v>
      </c>
      <c r="C1041" s="222" t="s">
        <v>16</v>
      </c>
      <c r="D1041" s="218">
        <f t="shared" si="1"/>
        <v>0</v>
      </c>
    </row>
    <row r="1042" spans="2:4" hidden="1" x14ac:dyDescent="0.35">
      <c r="B1042" s="221" t="s">
        <v>225</v>
      </c>
      <c r="C1042" s="222" t="s">
        <v>104</v>
      </c>
      <c r="D1042" s="218">
        <f t="shared" si="1"/>
        <v>0</v>
      </c>
    </row>
    <row r="1043" spans="2:4" hidden="1" x14ac:dyDescent="0.35">
      <c r="B1043" s="221" t="s">
        <v>225</v>
      </c>
      <c r="C1043" s="222" t="s">
        <v>105</v>
      </c>
      <c r="D1043" s="218">
        <f t="shared" si="1"/>
        <v>0</v>
      </c>
    </row>
    <row r="1044" spans="2:4" hidden="1" x14ac:dyDescent="0.35">
      <c r="B1044" s="221" t="s">
        <v>225</v>
      </c>
      <c r="C1044" s="222" t="s">
        <v>105</v>
      </c>
      <c r="D1044" s="218">
        <f t="shared" si="1"/>
        <v>0</v>
      </c>
    </row>
    <row r="1045" spans="2:4" hidden="1" x14ac:dyDescent="0.35">
      <c r="B1045" s="221" t="s">
        <v>225</v>
      </c>
      <c r="C1045" s="222" t="s">
        <v>106</v>
      </c>
      <c r="D1045" s="218">
        <f t="shared" si="1"/>
        <v>0</v>
      </c>
    </row>
    <row r="1046" spans="2:4" hidden="1" x14ac:dyDescent="0.35">
      <c r="B1046" s="221" t="s">
        <v>225</v>
      </c>
      <c r="C1046" s="222" t="s">
        <v>107</v>
      </c>
      <c r="D1046" s="218">
        <f t="shared" si="1"/>
        <v>0</v>
      </c>
    </row>
    <row r="1047" spans="2:4" hidden="1" x14ac:dyDescent="0.35">
      <c r="B1047" s="221" t="s">
        <v>225</v>
      </c>
      <c r="C1047" s="222" t="s">
        <v>108</v>
      </c>
      <c r="D1047" s="218">
        <f t="shared" si="1"/>
        <v>0</v>
      </c>
    </row>
    <row r="1048" spans="2:4" hidden="1" x14ac:dyDescent="0.35">
      <c r="B1048" s="221" t="s">
        <v>225</v>
      </c>
      <c r="C1048" s="222" t="s">
        <v>109</v>
      </c>
      <c r="D1048" s="218">
        <f t="shared" si="1"/>
        <v>0</v>
      </c>
    </row>
    <row r="1049" spans="2:4" hidden="1" x14ac:dyDescent="0.35">
      <c r="B1049" s="221" t="s">
        <v>225</v>
      </c>
      <c r="C1049" s="222" t="s">
        <v>110</v>
      </c>
      <c r="D1049" s="218">
        <f t="shared" si="1"/>
        <v>0</v>
      </c>
    </row>
    <row r="1050" spans="2:4" hidden="1" x14ac:dyDescent="0.35">
      <c r="B1050" s="221"/>
      <c r="C1050" s="222"/>
      <c r="D1050" s="218"/>
    </row>
    <row r="1051" spans="2:4" hidden="1" x14ac:dyDescent="0.35">
      <c r="B1051" s="221"/>
      <c r="C1051" s="222"/>
      <c r="D1051" s="218"/>
    </row>
  </sheetData>
  <autoFilter ref="B4:D2414" xr:uid="{F2AC47FB-0DD1-6640-8534-080947EBDE7F}"/>
  <sortState xmlns:xlrd2="http://schemas.microsoft.com/office/spreadsheetml/2017/richdata2" ref="H775:I839">
    <sortCondition ref="H775:H839"/>
  </sortState>
  <phoneticPr fontId="29" type="noConversion"/>
  <pageMargins left="0.7" right="0.7" top="0.75" bottom="0.75" header="0.3" footer="0.3"/>
  <pageSetup orientation="portrait" r:id="rId1"/>
  <ignoredErrors>
    <ignoredError sqref="D933:D105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C4DF-FCF0-43B2-8A54-827549B2D60D}">
  <dimension ref="A2:B67"/>
  <sheetViews>
    <sheetView topLeftCell="A19" workbookViewId="0">
      <selection activeCell="A2" sqref="A2:B67"/>
    </sheetView>
  </sheetViews>
  <sheetFormatPr defaultRowHeight="15.5" x14ac:dyDescent="0.35"/>
  <sheetData>
    <row r="2" spans="1:2" x14ac:dyDescent="0.35">
      <c r="A2" t="s">
        <v>111</v>
      </c>
      <c r="B2">
        <v>17</v>
      </c>
    </row>
    <row r="3" spans="1:2" x14ac:dyDescent="0.35">
      <c r="A3" t="s">
        <v>112</v>
      </c>
      <c r="B3">
        <v>7</v>
      </c>
    </row>
    <row r="4" spans="1:2" x14ac:dyDescent="0.35">
      <c r="A4" t="s">
        <v>113</v>
      </c>
      <c r="B4">
        <v>17</v>
      </c>
    </row>
    <row r="5" spans="1:2" x14ac:dyDescent="0.35">
      <c r="A5" t="s">
        <v>114</v>
      </c>
      <c r="B5">
        <v>13</v>
      </c>
    </row>
    <row r="6" spans="1:2" x14ac:dyDescent="0.35">
      <c r="A6" t="s">
        <v>115</v>
      </c>
      <c r="B6">
        <v>13</v>
      </c>
    </row>
    <row r="7" spans="1:2" x14ac:dyDescent="0.35">
      <c r="A7" t="s">
        <v>116</v>
      </c>
      <c r="B7">
        <v>10</v>
      </c>
    </row>
    <row r="8" spans="1:2" x14ac:dyDescent="0.35">
      <c r="A8" t="s">
        <v>118</v>
      </c>
      <c r="B8">
        <v>15</v>
      </c>
    </row>
    <row r="9" spans="1:2" x14ac:dyDescent="0.35">
      <c r="A9" t="s">
        <v>117</v>
      </c>
      <c r="B9">
        <v>20</v>
      </c>
    </row>
    <row r="10" spans="1:2" x14ac:dyDescent="0.35">
      <c r="A10" t="s">
        <v>119</v>
      </c>
      <c r="B10">
        <v>4</v>
      </c>
    </row>
    <row r="11" spans="1:2" x14ac:dyDescent="0.35">
      <c r="A11" t="s">
        <v>199</v>
      </c>
      <c r="B11">
        <v>0</v>
      </c>
    </row>
    <row r="12" spans="1:2" x14ac:dyDescent="0.35">
      <c r="A12" t="s">
        <v>120</v>
      </c>
      <c r="B12">
        <v>12</v>
      </c>
    </row>
    <row r="13" spans="1:2" x14ac:dyDescent="0.35">
      <c r="A13" t="s">
        <v>121</v>
      </c>
      <c r="B13">
        <v>20</v>
      </c>
    </row>
    <row r="14" spans="1:2" x14ac:dyDescent="0.35">
      <c r="A14" t="s">
        <v>200</v>
      </c>
      <c r="B14">
        <v>56</v>
      </c>
    </row>
    <row r="15" spans="1:2" x14ac:dyDescent="0.35">
      <c r="A15" t="s">
        <v>123</v>
      </c>
      <c r="B15">
        <v>31</v>
      </c>
    </row>
    <row r="16" spans="1:2" x14ac:dyDescent="0.35">
      <c r="A16" t="s">
        <v>124</v>
      </c>
      <c r="B16">
        <v>39</v>
      </c>
    </row>
    <row r="17" spans="1:2" x14ac:dyDescent="0.35">
      <c r="A17" t="s">
        <v>122</v>
      </c>
      <c r="B17">
        <v>7</v>
      </c>
    </row>
    <row r="18" spans="1:2" x14ac:dyDescent="0.35">
      <c r="A18" t="s">
        <v>195</v>
      </c>
      <c r="B18">
        <v>11</v>
      </c>
    </row>
    <row r="19" spans="1:2" x14ac:dyDescent="0.35">
      <c r="A19" t="s">
        <v>125</v>
      </c>
      <c r="B19">
        <v>15</v>
      </c>
    </row>
    <row r="20" spans="1:2" x14ac:dyDescent="0.35">
      <c r="A20" t="s">
        <v>126</v>
      </c>
      <c r="B20">
        <v>45</v>
      </c>
    </row>
    <row r="21" spans="1:2" x14ac:dyDescent="0.35">
      <c r="A21" t="s">
        <v>127</v>
      </c>
      <c r="B21">
        <v>15</v>
      </c>
    </row>
    <row r="22" spans="1:2" x14ac:dyDescent="0.35">
      <c r="A22" t="s">
        <v>201</v>
      </c>
      <c r="B22">
        <v>33</v>
      </c>
    </row>
    <row r="23" spans="1:2" x14ac:dyDescent="0.35">
      <c r="A23" t="s">
        <v>202</v>
      </c>
      <c r="B23">
        <v>5</v>
      </c>
    </row>
    <row r="24" spans="1:2" x14ac:dyDescent="0.35">
      <c r="A24" t="s">
        <v>198</v>
      </c>
      <c r="B24">
        <v>0</v>
      </c>
    </row>
    <row r="25" spans="1:2" x14ac:dyDescent="0.35">
      <c r="A25" t="s">
        <v>128</v>
      </c>
      <c r="B25">
        <v>41</v>
      </c>
    </row>
    <row r="26" spans="1:2" x14ac:dyDescent="0.35">
      <c r="A26" t="s">
        <v>129</v>
      </c>
      <c r="B26">
        <v>0</v>
      </c>
    </row>
    <row r="27" spans="1:2" x14ac:dyDescent="0.35">
      <c r="A27" t="s">
        <v>130</v>
      </c>
      <c r="B27">
        <v>1</v>
      </c>
    </row>
    <row r="28" spans="1:2" x14ac:dyDescent="0.35">
      <c r="A28" t="s">
        <v>210</v>
      </c>
      <c r="B28">
        <v>9</v>
      </c>
    </row>
    <row r="29" spans="1:2" x14ac:dyDescent="0.35">
      <c r="A29" t="s">
        <v>203</v>
      </c>
      <c r="B29">
        <v>24</v>
      </c>
    </row>
    <row r="30" spans="1:2" x14ac:dyDescent="0.35">
      <c r="A30" t="s">
        <v>131</v>
      </c>
      <c r="B30">
        <v>16</v>
      </c>
    </row>
    <row r="31" spans="1:2" x14ac:dyDescent="0.35">
      <c r="A31" t="s">
        <v>134</v>
      </c>
      <c r="B31">
        <v>0</v>
      </c>
    </row>
    <row r="32" spans="1:2" x14ac:dyDescent="0.35">
      <c r="A32" t="s">
        <v>135</v>
      </c>
      <c r="B32">
        <v>1</v>
      </c>
    </row>
    <row r="33" spans="1:2" x14ac:dyDescent="0.35">
      <c r="A33" t="s">
        <v>204</v>
      </c>
      <c r="B33">
        <v>6</v>
      </c>
    </row>
    <row r="34" spans="1:2" x14ac:dyDescent="0.35">
      <c r="A34" t="s">
        <v>196</v>
      </c>
      <c r="B34">
        <v>8</v>
      </c>
    </row>
    <row r="35" spans="1:2" x14ac:dyDescent="0.35">
      <c r="A35" t="s">
        <v>197</v>
      </c>
      <c r="B35">
        <v>18</v>
      </c>
    </row>
    <row r="36" spans="1:2" x14ac:dyDescent="0.35">
      <c r="A36" t="s">
        <v>136</v>
      </c>
      <c r="B36">
        <v>11</v>
      </c>
    </row>
    <row r="37" spans="1:2" x14ac:dyDescent="0.35">
      <c r="A37" t="s">
        <v>137</v>
      </c>
      <c r="B37">
        <v>26</v>
      </c>
    </row>
    <row r="38" spans="1:2" x14ac:dyDescent="0.35">
      <c r="A38" t="s">
        <v>138</v>
      </c>
      <c r="B38">
        <v>16</v>
      </c>
    </row>
    <row r="39" spans="1:2" x14ac:dyDescent="0.35">
      <c r="A39" t="s">
        <v>139</v>
      </c>
      <c r="B39">
        <v>39</v>
      </c>
    </row>
    <row r="40" spans="1:2" x14ac:dyDescent="0.35">
      <c r="A40" t="s">
        <v>140</v>
      </c>
      <c r="B40">
        <v>12</v>
      </c>
    </row>
    <row r="41" spans="1:2" x14ac:dyDescent="0.35">
      <c r="A41" t="s">
        <v>142</v>
      </c>
      <c r="B41">
        <v>8</v>
      </c>
    </row>
    <row r="42" spans="1:2" x14ac:dyDescent="0.35">
      <c r="A42" t="s">
        <v>143</v>
      </c>
      <c r="B42">
        <v>24</v>
      </c>
    </row>
    <row r="43" spans="1:2" x14ac:dyDescent="0.35">
      <c r="A43" t="s">
        <v>144</v>
      </c>
      <c r="B43">
        <v>64</v>
      </c>
    </row>
    <row r="44" spans="1:2" x14ac:dyDescent="0.35">
      <c r="A44" t="s">
        <v>145</v>
      </c>
      <c r="B44">
        <v>80</v>
      </c>
    </row>
    <row r="45" spans="1:2" x14ac:dyDescent="0.35">
      <c r="A45" t="s">
        <v>146</v>
      </c>
      <c r="B45">
        <v>45</v>
      </c>
    </row>
    <row r="46" spans="1:2" x14ac:dyDescent="0.35">
      <c r="A46" t="s">
        <v>147</v>
      </c>
      <c r="B46">
        <v>11</v>
      </c>
    </row>
    <row r="47" spans="1:2" x14ac:dyDescent="0.35">
      <c r="A47" t="s">
        <v>227</v>
      </c>
      <c r="B47">
        <v>19</v>
      </c>
    </row>
    <row r="48" spans="1:2" x14ac:dyDescent="0.35">
      <c r="A48" t="s">
        <v>149</v>
      </c>
      <c r="B48">
        <v>9</v>
      </c>
    </row>
    <row r="49" spans="1:2" x14ac:dyDescent="0.35">
      <c r="A49" t="s">
        <v>150</v>
      </c>
      <c r="B49">
        <v>24</v>
      </c>
    </row>
    <row r="50" spans="1:2" x14ac:dyDescent="0.35">
      <c r="A50" t="s">
        <v>151</v>
      </c>
      <c r="B50">
        <v>32</v>
      </c>
    </row>
    <row r="51" spans="1:2" x14ac:dyDescent="0.35">
      <c r="A51" t="s">
        <v>206</v>
      </c>
      <c r="B51">
        <v>50</v>
      </c>
    </row>
    <row r="52" spans="1:2" x14ac:dyDescent="0.35">
      <c r="A52" t="s">
        <v>207</v>
      </c>
      <c r="B52">
        <v>32</v>
      </c>
    </row>
    <row r="53" spans="1:2" x14ac:dyDescent="0.35">
      <c r="A53" t="s">
        <v>208</v>
      </c>
      <c r="B53">
        <v>18</v>
      </c>
    </row>
    <row r="54" spans="1:2" x14ac:dyDescent="0.35">
      <c r="A54" t="s">
        <v>209</v>
      </c>
      <c r="B54">
        <v>7</v>
      </c>
    </row>
    <row r="55" spans="1:2" x14ac:dyDescent="0.35">
      <c r="A55" t="s">
        <v>152</v>
      </c>
      <c r="B55">
        <v>24</v>
      </c>
    </row>
    <row r="56" spans="1:2" x14ac:dyDescent="0.35">
      <c r="A56" t="s">
        <v>153</v>
      </c>
      <c r="B56">
        <v>39</v>
      </c>
    </row>
    <row r="57" spans="1:2" x14ac:dyDescent="0.35">
      <c r="A57" t="s">
        <v>154</v>
      </c>
      <c r="B57">
        <v>18</v>
      </c>
    </row>
    <row r="58" spans="1:2" x14ac:dyDescent="0.35">
      <c r="A58" t="s">
        <v>155</v>
      </c>
      <c r="B58">
        <v>44</v>
      </c>
    </row>
    <row r="59" spans="1:2" x14ac:dyDescent="0.35">
      <c r="A59" t="s">
        <v>156</v>
      </c>
      <c r="B59">
        <v>13</v>
      </c>
    </row>
    <row r="60" spans="1:2" x14ac:dyDescent="0.35">
      <c r="A60" t="s">
        <v>157</v>
      </c>
      <c r="B60">
        <v>30</v>
      </c>
    </row>
    <row r="61" spans="1:2" x14ac:dyDescent="0.35">
      <c r="A61" t="s">
        <v>158</v>
      </c>
      <c r="B61">
        <v>6</v>
      </c>
    </row>
    <row r="62" spans="1:2" x14ac:dyDescent="0.35">
      <c r="A62" t="s">
        <v>159</v>
      </c>
      <c r="B62">
        <v>21</v>
      </c>
    </row>
    <row r="63" spans="1:2" x14ac:dyDescent="0.35">
      <c r="A63" t="s">
        <v>160</v>
      </c>
      <c r="B63">
        <v>19</v>
      </c>
    </row>
    <row r="64" spans="1:2" x14ac:dyDescent="0.35">
      <c r="A64" t="s">
        <v>161</v>
      </c>
      <c r="B64">
        <v>23</v>
      </c>
    </row>
    <row r="65" spans="1:2" x14ac:dyDescent="0.35">
      <c r="A65" t="s">
        <v>163</v>
      </c>
      <c r="B65">
        <v>56</v>
      </c>
    </row>
    <row r="66" spans="1:2" x14ac:dyDescent="0.35">
      <c r="A66" t="s">
        <v>164</v>
      </c>
      <c r="B66">
        <v>11</v>
      </c>
    </row>
    <row r="67" spans="1:2" x14ac:dyDescent="0.35">
      <c r="A67" t="s">
        <v>165</v>
      </c>
      <c r="B67">
        <v>14</v>
      </c>
    </row>
  </sheetData>
  <sortState xmlns:xlrd2="http://schemas.microsoft.com/office/spreadsheetml/2017/richdata2" ref="A2:B67">
    <sortCondition ref="A2:A6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713-4E50-924C-95B3-2008E731F6F4}">
  <sheetPr codeName="Sheet9">
    <tabColor rgb="FFFFFF00"/>
  </sheetPr>
  <dimension ref="A4:I985"/>
  <sheetViews>
    <sheetView showGridLines="0" zoomScale="90" zoomScaleNormal="90" workbookViewId="0">
      <pane ySplit="4" topLeftCell="A715" activePane="bottomLeft" state="frozen"/>
      <selection activeCell="C1" sqref="A1:C1048576"/>
      <selection pane="bottomLeft" sqref="A1:A1048576"/>
    </sheetView>
  </sheetViews>
  <sheetFormatPr defaultColWidth="10.58203125" defaultRowHeight="15.5" x14ac:dyDescent="0.35"/>
  <cols>
    <col min="1" max="1" width="16" style="3" hidden="1" customWidth="1"/>
    <col min="2" max="2" width="10.83203125" style="163" customWidth="1"/>
    <col min="3" max="3" width="36" customWidth="1"/>
    <col min="4" max="4" width="15.83203125" style="57" customWidth="1"/>
    <col min="5" max="6" width="10.83203125" style="57" customWidth="1"/>
    <col min="7" max="7" width="25.08203125" customWidth="1"/>
    <col min="8" max="9" width="10.58203125" style="473"/>
  </cols>
  <sheetData>
    <row r="4" spans="1:4" ht="32.15" customHeight="1" thickBot="1" x14ac:dyDescent="0.4">
      <c r="B4" s="223" t="s">
        <v>193</v>
      </c>
      <c r="C4" s="232" t="s">
        <v>1</v>
      </c>
      <c r="D4" s="233" t="s">
        <v>177</v>
      </c>
    </row>
    <row r="5" spans="1:4" x14ac:dyDescent="0.35">
      <c r="A5" s="3" t="str">
        <f>IF(C5="","",(VLOOKUP($C5,KEY!$B$5:$D$74,3,FALSE)))</f>
        <v>Arizona</v>
      </c>
      <c r="B5" s="221" t="s">
        <v>213</v>
      </c>
      <c r="C5" s="222" t="s">
        <v>111</v>
      </c>
      <c r="D5" s="99">
        <v>0.8</v>
      </c>
    </row>
    <row r="6" spans="1:4" x14ac:dyDescent="0.35">
      <c r="A6" s="3" t="str">
        <f>IF(C6="","",(VLOOKUP($C6,KEY!$B$5:$D$74,3,FALSE)))</f>
        <v>Southern California</v>
      </c>
      <c r="B6" s="221" t="s">
        <v>213</v>
      </c>
      <c r="C6" s="222" t="s">
        <v>112</v>
      </c>
      <c r="D6" s="99">
        <v>1.1000000000000001</v>
      </c>
    </row>
    <row r="7" spans="1:4" x14ac:dyDescent="0.35">
      <c r="A7" s="3" t="str">
        <f>IF(C7="","",(VLOOKUP($C7,KEY!$B$5:$D$74,3,FALSE)))</f>
        <v>Arizona</v>
      </c>
      <c r="B7" s="221" t="s">
        <v>213</v>
      </c>
      <c r="C7" s="222" t="s">
        <v>113</v>
      </c>
      <c r="D7" s="99">
        <v>0.85</v>
      </c>
    </row>
    <row r="8" spans="1:4" x14ac:dyDescent="0.35">
      <c r="A8" s="3" t="str">
        <f>IF(C8="","",(VLOOKUP($C8,KEY!$B$5:$D$74,3,FALSE)))</f>
        <v>Southern California</v>
      </c>
      <c r="B8" s="221" t="s">
        <v>213</v>
      </c>
      <c r="C8" s="222" t="s">
        <v>114</v>
      </c>
      <c r="D8" s="99">
        <v>1.1000000000000001</v>
      </c>
    </row>
    <row r="9" spans="1:4" x14ac:dyDescent="0.35">
      <c r="A9" s="3" t="str">
        <f>IF(C9="","",(VLOOKUP($C9,KEY!$B$5:$D$74,3,FALSE)))</f>
        <v>Orange County</v>
      </c>
      <c r="B9" s="221" t="s">
        <v>213</v>
      </c>
      <c r="C9" s="222" t="s">
        <v>115</v>
      </c>
      <c r="D9" s="99" t="s">
        <v>194</v>
      </c>
    </row>
    <row r="10" spans="1:4" x14ac:dyDescent="0.35">
      <c r="A10" s="3" t="str">
        <f>IF(C10="","",(VLOOKUP($C10,KEY!$B$5:$D$74,3,FALSE)))</f>
        <v>Arizona</v>
      </c>
      <c r="B10" s="221" t="s">
        <v>213</v>
      </c>
      <c r="C10" s="222" t="s">
        <v>116</v>
      </c>
      <c r="D10" s="99">
        <v>1.05</v>
      </c>
    </row>
    <row r="11" spans="1:4" x14ac:dyDescent="0.35">
      <c r="A11" s="3" t="str">
        <f>IF(C11="","",(VLOOKUP($C11,KEY!$B$5:$D$74,3,FALSE)))</f>
        <v>Orange County</v>
      </c>
      <c r="B11" s="221" t="s">
        <v>213</v>
      </c>
      <c r="C11" s="222" t="s">
        <v>117</v>
      </c>
      <c r="D11" s="99">
        <v>1</v>
      </c>
    </row>
    <row r="12" spans="1:4" x14ac:dyDescent="0.35">
      <c r="A12" s="3" t="str">
        <f>IF(C12="","",(VLOOKUP($C12,KEY!$B$5:$D$74,3,FALSE)))</f>
        <v>Northern California</v>
      </c>
      <c r="B12" s="221" t="s">
        <v>213</v>
      </c>
      <c r="C12" s="222" t="s">
        <v>118</v>
      </c>
      <c r="D12" s="99">
        <v>0.75</v>
      </c>
    </row>
    <row r="13" spans="1:4" x14ac:dyDescent="0.35">
      <c r="A13" s="3" t="str">
        <f>IF(C13="","",(VLOOKUP($C13,KEY!$B$5:$D$74,3,FALSE)))</f>
        <v>Arizona</v>
      </c>
      <c r="B13" s="221" t="s">
        <v>213</v>
      </c>
      <c r="C13" s="222" t="s">
        <v>119</v>
      </c>
      <c r="D13" s="99">
        <v>0.85</v>
      </c>
    </row>
    <row r="14" spans="1:4" x14ac:dyDescent="0.35">
      <c r="A14" s="3" t="str">
        <f>IF(C14="","",(VLOOKUP($C14,KEY!$B$5:$D$74,3,FALSE)))</f>
        <v>Arizona</v>
      </c>
      <c r="B14" s="221" t="s">
        <v>213</v>
      </c>
      <c r="C14" s="222" t="s">
        <v>120</v>
      </c>
      <c r="D14" s="99">
        <v>1.1000000000000001</v>
      </c>
    </row>
    <row r="15" spans="1:4" x14ac:dyDescent="0.35">
      <c r="A15" s="3" t="str">
        <f>IF(C15="","",(VLOOKUP($C15,KEY!$B$5:$D$74,3,FALSE)))</f>
        <v>Texas</v>
      </c>
      <c r="B15" s="221" t="s">
        <v>213</v>
      </c>
      <c r="C15" s="222" t="s">
        <v>121</v>
      </c>
      <c r="D15" s="99">
        <v>0.6</v>
      </c>
    </row>
    <row r="16" spans="1:4" x14ac:dyDescent="0.35">
      <c r="A16" s="3" t="str">
        <f>IF(C16="","",(VLOOKUP($C16,KEY!$B$5:$D$74,3,FALSE)))</f>
        <v>Southern California</v>
      </c>
      <c r="B16" s="221" t="s">
        <v>213</v>
      </c>
      <c r="C16" s="222" t="s">
        <v>122</v>
      </c>
      <c r="D16" s="99">
        <v>0.75</v>
      </c>
    </row>
    <row r="17" spans="1:4" x14ac:dyDescent="0.35">
      <c r="A17" s="3" t="str">
        <f>IF(C17="","",(VLOOKUP($C17,KEY!$B$5:$D$74,3,FALSE)))</f>
        <v>Orange County</v>
      </c>
      <c r="B17" s="221" t="s">
        <v>213</v>
      </c>
      <c r="C17" s="222" t="s">
        <v>123</v>
      </c>
      <c r="D17" s="99">
        <v>0.7</v>
      </c>
    </row>
    <row r="18" spans="1:4" x14ac:dyDescent="0.35">
      <c r="A18" s="3" t="str">
        <f>IF(C18="","",(VLOOKUP($C18,KEY!$B$5:$D$74,3,FALSE)))</f>
        <v>Southern California</v>
      </c>
      <c r="B18" s="221" t="s">
        <v>213</v>
      </c>
      <c r="C18" s="222" t="s">
        <v>124</v>
      </c>
      <c r="D18" s="99">
        <v>0.95</v>
      </c>
    </row>
    <row r="19" spans="1:4" x14ac:dyDescent="0.35">
      <c r="A19" s="3" t="str">
        <f>IF(C19="","",(VLOOKUP($C19,KEY!$B$5:$D$74,3,FALSE)))</f>
        <v>Northern California</v>
      </c>
      <c r="B19" s="221" t="s">
        <v>213</v>
      </c>
      <c r="C19" s="222" t="s">
        <v>195</v>
      </c>
      <c r="D19" s="99">
        <v>1.05</v>
      </c>
    </row>
    <row r="20" spans="1:4" x14ac:dyDescent="0.35">
      <c r="A20" s="3" t="str">
        <f>IF(C20="","",(VLOOKUP($C20,KEY!$B$5:$D$74,3,FALSE)))</f>
        <v>Northern California</v>
      </c>
      <c r="B20" s="221" t="s">
        <v>213</v>
      </c>
      <c r="C20" s="222" t="s">
        <v>125</v>
      </c>
      <c r="D20" s="99">
        <v>1.05</v>
      </c>
    </row>
    <row r="21" spans="1:4" x14ac:dyDescent="0.35">
      <c r="A21" s="3" t="str">
        <f>IF(C21="","",(VLOOKUP($C21,KEY!$B$5:$D$74,3,FALSE)))</f>
        <v>Orange County</v>
      </c>
      <c r="B21" s="221" t="s">
        <v>213</v>
      </c>
      <c r="C21" s="222" t="s">
        <v>126</v>
      </c>
      <c r="D21" s="99">
        <v>1</v>
      </c>
    </row>
    <row r="22" spans="1:4" x14ac:dyDescent="0.35">
      <c r="A22" s="3" t="str">
        <f>IF(C22="","",(VLOOKUP($C22,KEY!$B$5:$D$74,3,FALSE)))</f>
        <v>Orange County</v>
      </c>
      <c r="B22" s="221" t="s">
        <v>213</v>
      </c>
      <c r="C22" s="222" t="s">
        <v>127</v>
      </c>
      <c r="D22" s="99">
        <v>0.85</v>
      </c>
    </row>
    <row r="23" spans="1:4" x14ac:dyDescent="0.35">
      <c r="A23" s="3" t="str">
        <f>IF(C23="","",(VLOOKUP($C23,KEY!$B$5:$D$74,3,FALSE)))</f>
        <v>Texas</v>
      </c>
      <c r="B23" s="221" t="s">
        <v>213</v>
      </c>
      <c r="C23" s="222" t="s">
        <v>128</v>
      </c>
      <c r="D23" s="99">
        <v>1</v>
      </c>
    </row>
    <row r="24" spans="1:4" x14ac:dyDescent="0.35">
      <c r="A24" s="3" t="str">
        <f>IF(C24="","",(VLOOKUP($C24,KEY!$B$5:$D$74,3,FALSE)))</f>
        <v>Northern California</v>
      </c>
      <c r="B24" s="221" t="s">
        <v>213</v>
      </c>
      <c r="C24" s="222" t="s">
        <v>129</v>
      </c>
      <c r="D24" s="99">
        <v>1.05</v>
      </c>
    </row>
    <row r="25" spans="1:4" x14ac:dyDescent="0.35">
      <c r="A25" s="3" t="str">
        <f>IF(C25="","",(VLOOKUP($C25,KEY!$B$5:$D$74,3,FALSE)))</f>
        <v>Southern California</v>
      </c>
      <c r="B25" s="221" t="s">
        <v>213</v>
      </c>
      <c r="C25" s="222" t="s">
        <v>130</v>
      </c>
      <c r="D25" s="99">
        <v>0.95</v>
      </c>
    </row>
    <row r="26" spans="1:4" x14ac:dyDescent="0.35">
      <c r="A26" s="3">
        <f>IF(C26="","",(VLOOKUP($C26,KEY!$B$5:$D$74,3,FALSE)))</f>
        <v>0</v>
      </c>
      <c r="B26" s="221" t="s">
        <v>213</v>
      </c>
      <c r="C26" s="222" t="s">
        <v>131</v>
      </c>
      <c r="D26" s="99">
        <v>0.75</v>
      </c>
    </row>
    <row r="27" spans="1:4" x14ac:dyDescent="0.35">
      <c r="A27" s="3" t="e">
        <f>IF(C27="","",(VLOOKUP($C27,KEY!$B$5:$D$74,3,FALSE)))</f>
        <v>#N/A</v>
      </c>
      <c r="B27" s="221" t="s">
        <v>213</v>
      </c>
      <c r="C27" s="222" t="s">
        <v>134</v>
      </c>
      <c r="D27" s="99">
        <v>1</v>
      </c>
    </row>
    <row r="28" spans="1:4" x14ac:dyDescent="0.35">
      <c r="A28" s="3" t="str">
        <f>IF(C28="","",(VLOOKUP($C28,KEY!$B$5:$D$74,3,FALSE)))</f>
        <v>Southern California</v>
      </c>
      <c r="B28" s="221" t="s">
        <v>213</v>
      </c>
      <c r="C28" s="222" t="s">
        <v>135</v>
      </c>
      <c r="D28" s="99">
        <v>0.7</v>
      </c>
    </row>
    <row r="29" spans="1:4" x14ac:dyDescent="0.35">
      <c r="A29" s="3" t="str">
        <f>IF(C29="","",(VLOOKUP($C29,KEY!$B$5:$D$74,3,FALSE)))</f>
        <v>Arizona</v>
      </c>
      <c r="B29" s="221" t="s">
        <v>213</v>
      </c>
      <c r="C29" s="222" t="s">
        <v>196</v>
      </c>
      <c r="D29" s="99">
        <v>0.95</v>
      </c>
    </row>
    <row r="30" spans="1:4" x14ac:dyDescent="0.35">
      <c r="A30" s="3" t="str">
        <f>IF(C30="","",(VLOOKUP($C30,KEY!$B$5:$D$74,3,FALSE)))</f>
        <v>Arizona</v>
      </c>
      <c r="B30" s="221" t="s">
        <v>213</v>
      </c>
      <c r="C30" s="222" t="s">
        <v>197</v>
      </c>
      <c r="D30" s="99">
        <v>1.05</v>
      </c>
    </row>
    <row r="31" spans="1:4" x14ac:dyDescent="0.35">
      <c r="A31" s="3" t="str">
        <f>IF(C31="","",(VLOOKUP($C31,KEY!$B$5:$D$74,3,FALSE)))</f>
        <v>Texas</v>
      </c>
      <c r="B31" s="221" t="s">
        <v>213</v>
      </c>
      <c r="C31" s="222" t="s">
        <v>136</v>
      </c>
      <c r="D31" s="99">
        <v>0.5</v>
      </c>
    </row>
    <row r="32" spans="1:4" x14ac:dyDescent="0.35">
      <c r="A32" s="3" t="str">
        <f>IF(C32="","",(VLOOKUP($C32,KEY!$B$5:$D$74,3,FALSE)))</f>
        <v>Arizona</v>
      </c>
      <c r="B32" s="221" t="s">
        <v>213</v>
      </c>
      <c r="C32" s="222" t="s">
        <v>137</v>
      </c>
      <c r="D32" s="99">
        <v>0.75</v>
      </c>
    </row>
    <row r="33" spans="1:4" x14ac:dyDescent="0.35">
      <c r="A33" s="3" t="str">
        <f>IF(C33="","",(VLOOKUP($C33,KEY!$B$5:$D$74,3,FALSE)))</f>
        <v>Texas</v>
      </c>
      <c r="B33" s="221" t="s">
        <v>213</v>
      </c>
      <c r="C33" s="222" t="s">
        <v>138</v>
      </c>
      <c r="D33" s="99">
        <v>0.9</v>
      </c>
    </row>
    <row r="34" spans="1:4" x14ac:dyDescent="0.35">
      <c r="A34" s="3" t="str">
        <f>IF(C34="","",(VLOOKUP($C34,KEY!$B$5:$D$74,3,FALSE)))</f>
        <v>Southern California</v>
      </c>
      <c r="B34" s="221" t="s">
        <v>213</v>
      </c>
      <c r="C34" s="222" t="s">
        <v>139</v>
      </c>
      <c r="D34" s="99">
        <v>0.45</v>
      </c>
    </row>
    <row r="35" spans="1:4" x14ac:dyDescent="0.35">
      <c r="A35" s="3" t="str">
        <f>IF(C35="","",(VLOOKUP($C35,KEY!$B$5:$D$74,3,FALSE)))</f>
        <v>Orange County</v>
      </c>
      <c r="B35" s="221" t="s">
        <v>213</v>
      </c>
      <c r="C35" s="222" t="s">
        <v>140</v>
      </c>
      <c r="D35" s="99">
        <v>0.8</v>
      </c>
    </row>
    <row r="36" spans="1:4" x14ac:dyDescent="0.35">
      <c r="A36" s="3" t="str">
        <f>IF(C36="","",(VLOOKUP($C36,KEY!$B$5:$D$74,3,FALSE)))</f>
        <v>Southern California</v>
      </c>
      <c r="B36" s="221" t="s">
        <v>213</v>
      </c>
      <c r="C36" s="222" t="s">
        <v>142</v>
      </c>
      <c r="D36" s="99">
        <v>0.85</v>
      </c>
    </row>
    <row r="37" spans="1:4" x14ac:dyDescent="0.35">
      <c r="A37" s="3" t="str">
        <f>IF(C37="","",(VLOOKUP($C37,KEY!$B$5:$D$74,3,FALSE)))</f>
        <v>Arizona</v>
      </c>
      <c r="B37" s="221" t="s">
        <v>213</v>
      </c>
      <c r="C37" s="222" t="s">
        <v>143</v>
      </c>
      <c r="D37" s="99">
        <v>1.1000000000000001</v>
      </c>
    </row>
    <row r="38" spans="1:4" x14ac:dyDescent="0.35">
      <c r="A38" s="3" t="str">
        <f>IF(C38="","",(VLOOKUP($C38,KEY!$B$5:$D$74,3,FALSE)))</f>
        <v>Arizona</v>
      </c>
      <c r="B38" s="221" t="s">
        <v>213</v>
      </c>
      <c r="C38" s="222" t="s">
        <v>144</v>
      </c>
      <c r="D38" s="99">
        <v>0.6</v>
      </c>
    </row>
    <row r="39" spans="1:4" x14ac:dyDescent="0.35">
      <c r="A39" s="3" t="str">
        <f>IF(C39="","",(VLOOKUP($C39,KEY!$B$5:$D$74,3,FALSE)))</f>
        <v>Southern California</v>
      </c>
      <c r="B39" s="221" t="s">
        <v>213</v>
      </c>
      <c r="C39" s="222" t="s">
        <v>145</v>
      </c>
      <c r="D39" s="99">
        <v>0.85</v>
      </c>
    </row>
    <row r="40" spans="1:4" x14ac:dyDescent="0.35">
      <c r="A40" s="3" t="str">
        <f>IF(C40="","",(VLOOKUP($C40,KEY!$B$5:$D$74,3,FALSE)))</f>
        <v>Arizona</v>
      </c>
      <c r="B40" s="221" t="s">
        <v>213</v>
      </c>
      <c r="C40" s="222" t="s">
        <v>146</v>
      </c>
      <c r="D40" s="99">
        <v>1.1000000000000001</v>
      </c>
    </row>
    <row r="41" spans="1:4" x14ac:dyDescent="0.35">
      <c r="A41" s="3" t="str">
        <f>IF(C41="","",(VLOOKUP($C41,KEY!$B$5:$D$74,3,FALSE)))</f>
        <v>Texas</v>
      </c>
      <c r="B41" s="221" t="s">
        <v>213</v>
      </c>
      <c r="C41" s="222" t="s">
        <v>147</v>
      </c>
      <c r="D41" s="99">
        <v>0.9</v>
      </c>
    </row>
    <row r="42" spans="1:4" x14ac:dyDescent="0.35">
      <c r="A42" s="3" t="str">
        <f>IF(C42="","",(VLOOKUP($C42,KEY!$B$5:$D$74,3,FALSE)))</f>
        <v>Northern California</v>
      </c>
      <c r="B42" s="221" t="s">
        <v>213</v>
      </c>
      <c r="C42" s="222" t="s">
        <v>148</v>
      </c>
      <c r="D42" s="99">
        <v>0.75</v>
      </c>
    </row>
    <row r="43" spans="1:4" x14ac:dyDescent="0.35">
      <c r="A43" s="3" t="str">
        <f>IF(C43="","",(VLOOKUP($C43,KEY!$B$5:$D$74,3,FALSE)))</f>
        <v>Orange County</v>
      </c>
      <c r="B43" s="221" t="s">
        <v>213</v>
      </c>
      <c r="C43" s="222" t="s">
        <v>149</v>
      </c>
      <c r="D43" s="99">
        <v>1.05</v>
      </c>
    </row>
    <row r="44" spans="1:4" x14ac:dyDescent="0.35">
      <c r="A44" s="3" t="str">
        <f>IF(C44="","",(VLOOKUP($C44,KEY!$B$5:$D$74,3,FALSE)))</f>
        <v>Southern California</v>
      </c>
      <c r="B44" s="221" t="s">
        <v>213</v>
      </c>
      <c r="C44" s="222" t="s">
        <v>150</v>
      </c>
      <c r="D44" s="99">
        <v>1.1000000000000001</v>
      </c>
    </row>
    <row r="45" spans="1:4" x14ac:dyDescent="0.35">
      <c r="A45" s="3" t="str">
        <f>IF(C45="","",(VLOOKUP($C45,KEY!$B$5:$D$74,3,FALSE)))</f>
        <v>Arizona</v>
      </c>
      <c r="B45" s="221" t="s">
        <v>213</v>
      </c>
      <c r="C45" s="222" t="s">
        <v>151</v>
      </c>
      <c r="D45" s="99">
        <v>0.9</v>
      </c>
    </row>
    <row r="46" spans="1:4" x14ac:dyDescent="0.35">
      <c r="A46" s="3" t="str">
        <f>IF(C46="","",(VLOOKUP($C46,KEY!$B$5:$D$74,3,FALSE)))</f>
        <v>Northern California</v>
      </c>
      <c r="B46" s="221" t="s">
        <v>213</v>
      </c>
      <c r="C46" s="222" t="s">
        <v>152</v>
      </c>
      <c r="D46" s="99">
        <v>0.55000000000000004</v>
      </c>
    </row>
    <row r="47" spans="1:4" x14ac:dyDescent="0.35">
      <c r="A47" s="3" t="str">
        <f>IF(C47="","",(VLOOKUP($C47,KEY!$B$5:$D$74,3,FALSE)))</f>
        <v>Arizona</v>
      </c>
      <c r="B47" s="221" t="s">
        <v>213</v>
      </c>
      <c r="C47" s="222" t="s">
        <v>153</v>
      </c>
      <c r="D47" s="99">
        <v>0.7</v>
      </c>
    </row>
    <row r="48" spans="1:4" x14ac:dyDescent="0.35">
      <c r="A48" s="3" t="str">
        <f>IF(C48="","",(VLOOKUP($C48,KEY!$B$5:$D$74,3,FALSE)))</f>
        <v>Northern California</v>
      </c>
      <c r="B48" s="221" t="s">
        <v>213</v>
      </c>
      <c r="C48" s="222" t="s">
        <v>154</v>
      </c>
      <c r="D48" s="99">
        <v>0.9</v>
      </c>
    </row>
    <row r="49" spans="1:4" x14ac:dyDescent="0.35">
      <c r="A49" s="3" t="str">
        <f>IF(C49="","",(VLOOKUP($C49,KEY!$B$5:$D$74,3,FALSE)))</f>
        <v>Texas</v>
      </c>
      <c r="B49" s="221" t="s">
        <v>213</v>
      </c>
      <c r="C49" s="222" t="s">
        <v>155</v>
      </c>
      <c r="D49" s="99">
        <v>0.75</v>
      </c>
    </row>
    <row r="50" spans="1:4" x14ac:dyDescent="0.35">
      <c r="A50" s="3" t="str">
        <f>IF(C50="","",(VLOOKUP($C50,KEY!$B$5:$D$74,3,FALSE)))</f>
        <v>Texas</v>
      </c>
      <c r="B50" s="221" t="s">
        <v>213</v>
      </c>
      <c r="C50" s="222" t="s">
        <v>156</v>
      </c>
      <c r="D50" s="99">
        <v>0.75</v>
      </c>
    </row>
    <row r="51" spans="1:4" x14ac:dyDescent="0.35">
      <c r="A51" s="3" t="str">
        <f>IF(C51="","",(VLOOKUP($C51,KEY!$B$5:$D$74,3,FALSE)))</f>
        <v>Texas</v>
      </c>
      <c r="B51" s="221" t="s">
        <v>213</v>
      </c>
      <c r="C51" s="222" t="s">
        <v>157</v>
      </c>
      <c r="D51" s="99">
        <v>0.85</v>
      </c>
    </row>
    <row r="52" spans="1:4" x14ac:dyDescent="0.35">
      <c r="A52" s="3" t="str">
        <f>IF(C52="","",(VLOOKUP($C52,KEY!$B$5:$D$74,3,FALSE)))</f>
        <v>Arizona</v>
      </c>
      <c r="B52" s="221" t="s">
        <v>213</v>
      </c>
      <c r="C52" s="222" t="s">
        <v>158</v>
      </c>
      <c r="D52" s="99">
        <v>0.9</v>
      </c>
    </row>
    <row r="53" spans="1:4" x14ac:dyDescent="0.35">
      <c r="A53" s="3" t="str">
        <f>IF(C53="","",(VLOOKUP($C53,KEY!$B$5:$D$74,3,FALSE)))</f>
        <v>Orange County</v>
      </c>
      <c r="B53" s="221" t="s">
        <v>213</v>
      </c>
      <c r="C53" s="222" t="s">
        <v>159</v>
      </c>
      <c r="D53" s="99">
        <v>0.7</v>
      </c>
    </row>
    <row r="54" spans="1:4" x14ac:dyDescent="0.35">
      <c r="A54" s="3" t="str">
        <f>IF(C54="","",(VLOOKUP($C54,KEY!$B$5:$D$74,3,FALSE)))</f>
        <v>Arizona</v>
      </c>
      <c r="B54" s="221" t="s">
        <v>213</v>
      </c>
      <c r="C54" s="222" t="s">
        <v>160</v>
      </c>
      <c r="D54" s="99">
        <v>0.95</v>
      </c>
    </row>
    <row r="55" spans="1:4" x14ac:dyDescent="0.35">
      <c r="A55" s="3" t="str">
        <f>IF(C55="","",(VLOOKUP($C55,KEY!$B$5:$D$74,3,FALSE)))</f>
        <v>Northern California</v>
      </c>
      <c r="B55" s="221" t="s">
        <v>213</v>
      </c>
      <c r="C55" s="222" t="s">
        <v>161</v>
      </c>
      <c r="D55" s="99">
        <v>1.05</v>
      </c>
    </row>
    <row r="56" spans="1:4" x14ac:dyDescent="0.35">
      <c r="A56" s="3" t="e">
        <f>IF(C56="","",(VLOOKUP($C56,KEY!$B$5:$D$74,3,FALSE)))</f>
        <v>#N/A</v>
      </c>
      <c r="B56" s="221" t="s">
        <v>213</v>
      </c>
      <c r="C56" s="222" t="s">
        <v>162</v>
      </c>
      <c r="D56" s="99">
        <v>0.95</v>
      </c>
    </row>
    <row r="57" spans="1:4" x14ac:dyDescent="0.35">
      <c r="A57" s="3" t="str">
        <f>IF(C57="","",(VLOOKUP($C57,KEY!$B$5:$D$74,3,FALSE)))</f>
        <v>Arizona</v>
      </c>
      <c r="B57" s="221" t="s">
        <v>213</v>
      </c>
      <c r="C57" s="222" t="s">
        <v>163</v>
      </c>
      <c r="D57" s="99">
        <v>0.4</v>
      </c>
    </row>
    <row r="58" spans="1:4" x14ac:dyDescent="0.35">
      <c r="A58" s="3" t="str">
        <f>IF(C58="","",(VLOOKUP($C58,KEY!$B$5:$D$74,3,FALSE)))</f>
        <v>Arizona</v>
      </c>
      <c r="B58" s="221" t="s">
        <v>213</v>
      </c>
      <c r="C58" s="222" t="s">
        <v>164</v>
      </c>
      <c r="D58" s="99">
        <v>1</v>
      </c>
    </row>
    <row r="59" spans="1:4" x14ac:dyDescent="0.35">
      <c r="A59" s="3" t="str">
        <f>IF(C59="","",(VLOOKUP($C59,KEY!$B$5:$D$74,3,FALSE)))</f>
        <v>Orange County</v>
      </c>
      <c r="B59" s="221" t="s">
        <v>213</v>
      </c>
      <c r="C59" s="222" t="s">
        <v>165</v>
      </c>
      <c r="D59" s="99">
        <v>0.85</v>
      </c>
    </row>
    <row r="60" spans="1:4" x14ac:dyDescent="0.35">
      <c r="A60" s="3" t="str">
        <f>IF(C60="","",(VLOOKUP($C60,KEY!$B$5:$D$74,3,FALSE)))</f>
        <v>Arizona</v>
      </c>
      <c r="B60" s="221" t="s">
        <v>214</v>
      </c>
      <c r="C60" s="222" t="s">
        <v>111</v>
      </c>
      <c r="D60" s="99">
        <v>0.8</v>
      </c>
    </row>
    <row r="61" spans="1:4" x14ac:dyDescent="0.35">
      <c r="A61" s="3" t="str">
        <f>IF(C61="","",(VLOOKUP($C61,KEY!$B$5:$D$74,3,FALSE)))</f>
        <v>Southern California</v>
      </c>
      <c r="B61" s="221" t="s">
        <v>214</v>
      </c>
      <c r="C61" s="222" t="s">
        <v>112</v>
      </c>
      <c r="D61" s="99">
        <v>1</v>
      </c>
    </row>
    <row r="62" spans="1:4" x14ac:dyDescent="0.35">
      <c r="A62" s="3" t="str">
        <f>IF(C62="","",(VLOOKUP($C62,KEY!$B$5:$D$74,3,FALSE)))</f>
        <v>Arizona</v>
      </c>
      <c r="B62" s="221" t="s">
        <v>214</v>
      </c>
      <c r="C62" s="222" t="s">
        <v>113</v>
      </c>
      <c r="D62" s="99">
        <v>0.85</v>
      </c>
    </row>
    <row r="63" spans="1:4" x14ac:dyDescent="0.35">
      <c r="A63" s="3" t="str">
        <f>IF(C63="","",(VLOOKUP($C63,KEY!$B$5:$D$74,3,FALSE)))</f>
        <v>Southern California</v>
      </c>
      <c r="B63" s="221" t="s">
        <v>214</v>
      </c>
      <c r="C63" s="222" t="s">
        <v>114</v>
      </c>
      <c r="D63" s="99">
        <v>0.55000000000000004</v>
      </c>
    </row>
    <row r="64" spans="1:4" x14ac:dyDescent="0.35">
      <c r="A64" s="3" t="str">
        <f>IF(C64="","",(VLOOKUP($C64,KEY!$B$5:$D$74,3,FALSE)))</f>
        <v>Orange County</v>
      </c>
      <c r="B64" s="221" t="s">
        <v>214</v>
      </c>
      <c r="C64" s="222" t="s">
        <v>115</v>
      </c>
      <c r="D64" s="99">
        <v>0.45</v>
      </c>
    </row>
    <row r="65" spans="1:4" x14ac:dyDescent="0.35">
      <c r="A65" s="3" t="str">
        <f>IF(C65="","",(VLOOKUP($C65,KEY!$B$5:$D$74,3,FALSE)))</f>
        <v>Arizona</v>
      </c>
      <c r="B65" s="221" t="s">
        <v>214</v>
      </c>
      <c r="C65" s="222" t="s">
        <v>116</v>
      </c>
      <c r="D65" s="99">
        <v>0.8</v>
      </c>
    </row>
    <row r="66" spans="1:4" x14ac:dyDescent="0.35">
      <c r="A66" s="3" t="str">
        <f>IF(C66="","",(VLOOKUP($C66,KEY!$B$5:$D$74,3,FALSE)))</f>
        <v>Orange County</v>
      </c>
      <c r="B66" s="221" t="s">
        <v>214</v>
      </c>
      <c r="C66" s="222" t="s">
        <v>117</v>
      </c>
      <c r="D66" s="99">
        <v>0.9</v>
      </c>
    </row>
    <row r="67" spans="1:4" x14ac:dyDescent="0.35">
      <c r="A67" s="3" t="str">
        <f>IF(C67="","",(VLOOKUP($C67,KEY!$B$5:$D$74,3,FALSE)))</f>
        <v>Northern California</v>
      </c>
      <c r="B67" s="221" t="s">
        <v>214</v>
      </c>
      <c r="C67" s="222" t="s">
        <v>118</v>
      </c>
      <c r="D67" s="99">
        <v>0.95</v>
      </c>
    </row>
    <row r="68" spans="1:4" x14ac:dyDescent="0.35">
      <c r="A68" s="3" t="str">
        <f>IF(C68="","",(VLOOKUP($C68,KEY!$B$5:$D$74,3,FALSE)))</f>
        <v>Arizona</v>
      </c>
      <c r="B68" s="221" t="s">
        <v>214</v>
      </c>
      <c r="C68" s="222" t="s">
        <v>119</v>
      </c>
      <c r="D68" s="99">
        <v>0.75</v>
      </c>
    </row>
    <row r="69" spans="1:4" x14ac:dyDescent="0.35">
      <c r="A69" s="3" t="str">
        <f>IF(C69="","",(VLOOKUP($C69,KEY!$B$5:$D$74,3,FALSE)))</f>
        <v>Arizona</v>
      </c>
      <c r="B69" s="221" t="s">
        <v>214</v>
      </c>
      <c r="C69" s="222" t="s">
        <v>120</v>
      </c>
      <c r="D69" s="99">
        <v>1</v>
      </c>
    </row>
    <row r="70" spans="1:4" x14ac:dyDescent="0.35">
      <c r="A70" s="3" t="str">
        <f>IF(C70="","",(VLOOKUP($C70,KEY!$B$5:$D$74,3,FALSE)))</f>
        <v>Texas</v>
      </c>
      <c r="B70" s="221" t="s">
        <v>214</v>
      </c>
      <c r="C70" s="222" t="s">
        <v>121</v>
      </c>
      <c r="D70" s="99">
        <v>0.55000000000000004</v>
      </c>
    </row>
    <row r="71" spans="1:4" x14ac:dyDescent="0.35">
      <c r="A71" s="3" t="str">
        <f>IF(C71="","",(VLOOKUP($C71,KEY!$B$5:$D$74,3,FALSE)))</f>
        <v>Southern California</v>
      </c>
      <c r="B71" s="221" t="s">
        <v>214</v>
      </c>
      <c r="C71" s="222" t="s">
        <v>122</v>
      </c>
      <c r="D71" s="99">
        <v>0.95</v>
      </c>
    </row>
    <row r="72" spans="1:4" x14ac:dyDescent="0.35">
      <c r="A72" s="3" t="str">
        <f>IF(C72="","",(VLOOKUP($C72,KEY!$B$5:$D$74,3,FALSE)))</f>
        <v>Orange County</v>
      </c>
      <c r="B72" s="221" t="s">
        <v>214</v>
      </c>
      <c r="C72" s="222" t="s">
        <v>123</v>
      </c>
      <c r="D72" s="99">
        <v>0.5</v>
      </c>
    </row>
    <row r="73" spans="1:4" x14ac:dyDescent="0.35">
      <c r="A73" s="3" t="str">
        <f>IF(C73="","",(VLOOKUP($C73,KEY!$B$5:$D$74,3,FALSE)))</f>
        <v>Southern California</v>
      </c>
      <c r="B73" s="221" t="s">
        <v>214</v>
      </c>
      <c r="C73" s="222" t="s">
        <v>124</v>
      </c>
      <c r="D73" s="99">
        <v>0.7</v>
      </c>
    </row>
    <row r="74" spans="1:4" x14ac:dyDescent="0.35">
      <c r="A74" s="3" t="str">
        <f>IF(C74="","",(VLOOKUP($C74,KEY!$B$5:$D$74,3,FALSE)))</f>
        <v>Northern California</v>
      </c>
      <c r="B74" s="221" t="s">
        <v>214</v>
      </c>
      <c r="C74" s="222" t="s">
        <v>195</v>
      </c>
      <c r="D74" s="99">
        <v>1</v>
      </c>
    </row>
    <row r="75" spans="1:4" x14ac:dyDescent="0.35">
      <c r="A75" s="3" t="str">
        <f>IF(C75="","",(VLOOKUP($C75,KEY!$B$5:$D$74,3,FALSE)))</f>
        <v>Northern California</v>
      </c>
      <c r="B75" s="221" t="s">
        <v>214</v>
      </c>
      <c r="C75" s="222" t="s">
        <v>125</v>
      </c>
      <c r="D75" s="99">
        <v>0.9</v>
      </c>
    </row>
    <row r="76" spans="1:4" x14ac:dyDescent="0.35">
      <c r="A76" s="3" t="str">
        <f>IF(C76="","",(VLOOKUP($C76,KEY!$B$5:$D$74,3,FALSE)))</f>
        <v>Orange County</v>
      </c>
      <c r="B76" s="221" t="s">
        <v>214</v>
      </c>
      <c r="C76" s="222" t="s">
        <v>126</v>
      </c>
      <c r="D76" s="99">
        <v>0.9</v>
      </c>
    </row>
    <row r="77" spans="1:4" x14ac:dyDescent="0.35">
      <c r="A77" s="3" t="str">
        <f>IF(C77="","",(VLOOKUP($C77,KEY!$B$5:$D$74,3,FALSE)))</f>
        <v>Orange County</v>
      </c>
      <c r="B77" s="221" t="s">
        <v>214</v>
      </c>
      <c r="C77" s="222" t="s">
        <v>127</v>
      </c>
      <c r="D77" s="99">
        <v>0.8</v>
      </c>
    </row>
    <row r="78" spans="1:4" x14ac:dyDescent="0.35">
      <c r="A78" s="3" t="str">
        <f>IF(C78="","",(VLOOKUP($C78,KEY!$B$5:$D$74,3,FALSE)))</f>
        <v>Texas</v>
      </c>
      <c r="B78" s="221" t="s">
        <v>214</v>
      </c>
      <c r="C78" s="222" t="s">
        <v>128</v>
      </c>
      <c r="D78" s="99">
        <v>0.9</v>
      </c>
    </row>
    <row r="79" spans="1:4" x14ac:dyDescent="0.35">
      <c r="A79" s="3" t="str">
        <f>IF(C79="","",(VLOOKUP($C79,KEY!$B$5:$D$74,3,FALSE)))</f>
        <v>Northern California</v>
      </c>
      <c r="B79" s="221" t="s">
        <v>214</v>
      </c>
      <c r="C79" s="222" t="s">
        <v>129</v>
      </c>
      <c r="D79" s="99">
        <v>1</v>
      </c>
    </row>
    <row r="80" spans="1:4" x14ac:dyDescent="0.35">
      <c r="A80" s="3" t="str">
        <f>IF(C80="","",(VLOOKUP($C80,KEY!$B$5:$D$74,3,FALSE)))</f>
        <v>Southern California</v>
      </c>
      <c r="B80" s="221" t="s">
        <v>214</v>
      </c>
      <c r="C80" s="222" t="s">
        <v>130</v>
      </c>
      <c r="D80" s="99">
        <v>0.45</v>
      </c>
    </row>
    <row r="81" spans="1:4" x14ac:dyDescent="0.35">
      <c r="A81" s="3">
        <f>IF(C81="","",(VLOOKUP($C81,KEY!$B$5:$D$74,3,FALSE)))</f>
        <v>0</v>
      </c>
      <c r="B81" s="221" t="s">
        <v>214</v>
      </c>
      <c r="C81" s="222" t="s">
        <v>131</v>
      </c>
      <c r="D81" s="99">
        <v>0.8</v>
      </c>
    </row>
    <row r="82" spans="1:4" x14ac:dyDescent="0.35">
      <c r="A82" s="3" t="e">
        <f>IF(C82="","",(VLOOKUP($C82,KEY!$B$5:$D$74,3,FALSE)))</f>
        <v>#N/A</v>
      </c>
      <c r="B82" s="221" t="s">
        <v>214</v>
      </c>
      <c r="C82" s="222" t="s">
        <v>134</v>
      </c>
      <c r="D82" s="99">
        <v>0.9</v>
      </c>
    </row>
    <row r="83" spans="1:4" x14ac:dyDescent="0.35">
      <c r="A83" s="3" t="str">
        <f>IF(C83="","",(VLOOKUP($C83,KEY!$B$5:$D$74,3,FALSE)))</f>
        <v>Southern California</v>
      </c>
      <c r="B83" s="221" t="s">
        <v>214</v>
      </c>
      <c r="C83" s="222" t="s">
        <v>135</v>
      </c>
      <c r="D83" s="99">
        <v>0.9</v>
      </c>
    </row>
    <row r="84" spans="1:4" x14ac:dyDescent="0.35">
      <c r="A84" s="3" t="str">
        <f>IF(C84="","",(VLOOKUP($C84,KEY!$B$5:$D$74,3,FALSE)))</f>
        <v>Arizona</v>
      </c>
      <c r="B84" s="221" t="s">
        <v>214</v>
      </c>
      <c r="C84" s="222" t="s">
        <v>196</v>
      </c>
      <c r="D84" s="99">
        <v>0.75</v>
      </c>
    </row>
    <row r="85" spans="1:4" x14ac:dyDescent="0.35">
      <c r="A85" s="3" t="str">
        <f>IF(C85="","",(VLOOKUP($C85,KEY!$B$5:$D$74,3,FALSE)))</f>
        <v>Arizona</v>
      </c>
      <c r="B85" s="221" t="s">
        <v>214</v>
      </c>
      <c r="C85" s="222" t="s">
        <v>197</v>
      </c>
      <c r="D85" s="99">
        <v>0.9</v>
      </c>
    </row>
    <row r="86" spans="1:4" x14ac:dyDescent="0.35">
      <c r="A86" s="3" t="str">
        <f>IF(C86="","",(VLOOKUP($C86,KEY!$B$5:$D$74,3,FALSE)))</f>
        <v>Texas</v>
      </c>
      <c r="B86" s="221" t="s">
        <v>214</v>
      </c>
      <c r="C86" s="222" t="s">
        <v>136</v>
      </c>
      <c r="D86" s="99">
        <v>0.6</v>
      </c>
    </row>
    <row r="87" spans="1:4" x14ac:dyDescent="0.35">
      <c r="A87" s="3" t="str">
        <f>IF(C87="","",(VLOOKUP($C87,KEY!$B$5:$D$74,3,FALSE)))</f>
        <v>Arizona</v>
      </c>
      <c r="B87" s="221" t="s">
        <v>214</v>
      </c>
      <c r="C87" s="222" t="s">
        <v>137</v>
      </c>
      <c r="D87" s="99">
        <v>0.8</v>
      </c>
    </row>
    <row r="88" spans="1:4" x14ac:dyDescent="0.35">
      <c r="A88" s="3" t="str">
        <f>IF(C88="","",(VLOOKUP($C88,KEY!$B$5:$D$74,3,FALSE)))</f>
        <v>Texas</v>
      </c>
      <c r="B88" s="221" t="s">
        <v>214</v>
      </c>
      <c r="C88" s="222" t="s">
        <v>138</v>
      </c>
      <c r="D88" s="99">
        <v>0.75</v>
      </c>
    </row>
    <row r="89" spans="1:4" x14ac:dyDescent="0.35">
      <c r="A89" s="3" t="str">
        <f>IF(C89="","",(VLOOKUP($C89,KEY!$B$5:$D$74,3,FALSE)))</f>
        <v>Southern California</v>
      </c>
      <c r="B89" s="221" t="s">
        <v>214</v>
      </c>
      <c r="C89" s="222" t="s">
        <v>139</v>
      </c>
      <c r="D89" s="99">
        <v>0.55000000000000004</v>
      </c>
    </row>
    <row r="90" spans="1:4" x14ac:dyDescent="0.35">
      <c r="A90" s="3" t="str">
        <f>IF(C90="","",(VLOOKUP($C90,KEY!$B$5:$D$74,3,FALSE)))</f>
        <v>Orange County</v>
      </c>
      <c r="B90" s="221" t="s">
        <v>214</v>
      </c>
      <c r="C90" s="222" t="s">
        <v>140</v>
      </c>
      <c r="D90" s="99">
        <v>0.75</v>
      </c>
    </row>
    <row r="91" spans="1:4" x14ac:dyDescent="0.35">
      <c r="A91" s="3" t="str">
        <f>IF(C91="","",(VLOOKUP($C91,KEY!$B$5:$D$74,3,FALSE)))</f>
        <v>Southern California</v>
      </c>
      <c r="B91" s="221" t="s">
        <v>214</v>
      </c>
      <c r="C91" s="222" t="s">
        <v>142</v>
      </c>
      <c r="D91" s="99">
        <v>0.6</v>
      </c>
    </row>
    <row r="92" spans="1:4" x14ac:dyDescent="0.35">
      <c r="A92" s="3" t="str">
        <f>IF(C92="","",(VLOOKUP($C92,KEY!$B$5:$D$74,3,FALSE)))</f>
        <v>Arizona</v>
      </c>
      <c r="B92" s="221" t="s">
        <v>214</v>
      </c>
      <c r="C92" s="222" t="s">
        <v>143</v>
      </c>
      <c r="D92" s="99">
        <v>1</v>
      </c>
    </row>
    <row r="93" spans="1:4" x14ac:dyDescent="0.35">
      <c r="A93" s="3" t="str">
        <f>IF(C93="","",(VLOOKUP($C93,KEY!$B$5:$D$74,3,FALSE)))</f>
        <v>Arizona</v>
      </c>
      <c r="B93" s="221" t="s">
        <v>214</v>
      </c>
      <c r="C93" s="222" t="s">
        <v>144</v>
      </c>
      <c r="D93" s="99">
        <v>0.65</v>
      </c>
    </row>
    <row r="94" spans="1:4" x14ac:dyDescent="0.35">
      <c r="A94" s="3" t="str">
        <f>IF(C94="","",(VLOOKUP($C94,KEY!$B$5:$D$74,3,FALSE)))</f>
        <v>Southern California</v>
      </c>
      <c r="B94" s="221" t="s">
        <v>214</v>
      </c>
      <c r="C94" s="222" t="s">
        <v>145</v>
      </c>
      <c r="D94" s="99">
        <v>0.8</v>
      </c>
    </row>
    <row r="95" spans="1:4" x14ac:dyDescent="0.35">
      <c r="A95" s="3" t="str">
        <f>IF(C95="","",(VLOOKUP($C95,KEY!$B$5:$D$74,3,FALSE)))</f>
        <v>Arizona</v>
      </c>
      <c r="B95" s="221" t="s">
        <v>214</v>
      </c>
      <c r="C95" s="222" t="s">
        <v>146</v>
      </c>
      <c r="D95" s="99">
        <v>1</v>
      </c>
    </row>
    <row r="96" spans="1:4" x14ac:dyDescent="0.35">
      <c r="A96" s="3" t="str">
        <f>IF(C96="","",(VLOOKUP($C96,KEY!$B$5:$D$74,3,FALSE)))</f>
        <v>Texas</v>
      </c>
      <c r="B96" s="221" t="s">
        <v>214</v>
      </c>
      <c r="C96" s="222" t="s">
        <v>147</v>
      </c>
      <c r="D96" s="99">
        <v>0.85</v>
      </c>
    </row>
    <row r="97" spans="1:4" x14ac:dyDescent="0.35">
      <c r="A97" s="3" t="str">
        <f>IF(C97="","",(VLOOKUP($C97,KEY!$B$5:$D$74,3,FALSE)))</f>
        <v>Northern California</v>
      </c>
      <c r="B97" s="221" t="s">
        <v>214</v>
      </c>
      <c r="C97" s="222" t="s">
        <v>148</v>
      </c>
      <c r="D97" s="99">
        <v>0.85</v>
      </c>
    </row>
    <row r="98" spans="1:4" x14ac:dyDescent="0.35">
      <c r="A98" s="3" t="str">
        <f>IF(C98="","",(VLOOKUP($C98,KEY!$B$5:$D$74,3,FALSE)))</f>
        <v>Orange County</v>
      </c>
      <c r="B98" s="221" t="s">
        <v>214</v>
      </c>
      <c r="C98" s="222" t="s">
        <v>149</v>
      </c>
      <c r="D98" s="99">
        <v>0.75</v>
      </c>
    </row>
    <row r="99" spans="1:4" x14ac:dyDescent="0.35">
      <c r="A99" s="3" t="str">
        <f>IF(C99="","",(VLOOKUP($C99,KEY!$B$5:$D$74,3,FALSE)))</f>
        <v>Southern California</v>
      </c>
      <c r="B99" s="221" t="s">
        <v>214</v>
      </c>
      <c r="C99" s="222" t="s">
        <v>150</v>
      </c>
      <c r="D99" s="99">
        <v>0.9</v>
      </c>
    </row>
    <row r="100" spans="1:4" x14ac:dyDescent="0.35">
      <c r="A100" s="3" t="str">
        <f>IF(C100="","",(VLOOKUP($C100,KEY!$B$5:$D$74,3,FALSE)))</f>
        <v>Arizona</v>
      </c>
      <c r="B100" s="221" t="s">
        <v>214</v>
      </c>
      <c r="C100" s="222" t="s">
        <v>151</v>
      </c>
      <c r="D100" s="99">
        <v>0.7</v>
      </c>
    </row>
    <row r="101" spans="1:4" x14ac:dyDescent="0.35">
      <c r="A101" s="3" t="str">
        <f>IF(C101="","",(VLOOKUP($C101,KEY!$B$5:$D$74,3,FALSE)))</f>
        <v>Northern California</v>
      </c>
      <c r="B101" s="221" t="s">
        <v>214</v>
      </c>
      <c r="C101" s="222" t="s">
        <v>152</v>
      </c>
      <c r="D101" s="99">
        <v>0.9</v>
      </c>
    </row>
    <row r="102" spans="1:4" x14ac:dyDescent="0.35">
      <c r="A102" s="3" t="str">
        <f>IF(C102="","",(VLOOKUP($C102,KEY!$B$5:$D$74,3,FALSE)))</f>
        <v>Arizona</v>
      </c>
      <c r="B102" s="221" t="s">
        <v>214</v>
      </c>
      <c r="C102" s="222" t="s">
        <v>153</v>
      </c>
      <c r="D102" s="99">
        <v>0.6</v>
      </c>
    </row>
    <row r="103" spans="1:4" x14ac:dyDescent="0.35">
      <c r="A103" s="3" t="str">
        <f>IF(C103="","",(VLOOKUP($C103,KEY!$B$5:$D$74,3,FALSE)))</f>
        <v>Northern California</v>
      </c>
      <c r="B103" s="221" t="s">
        <v>214</v>
      </c>
      <c r="C103" s="222" t="s">
        <v>154</v>
      </c>
      <c r="D103" s="99">
        <v>0.95</v>
      </c>
    </row>
    <row r="104" spans="1:4" x14ac:dyDescent="0.35">
      <c r="A104" s="3" t="str">
        <f>IF(C104="","",(VLOOKUP($C104,KEY!$B$5:$D$74,3,FALSE)))</f>
        <v>Texas</v>
      </c>
      <c r="B104" s="221" t="s">
        <v>214</v>
      </c>
      <c r="C104" s="222" t="s">
        <v>155</v>
      </c>
      <c r="D104" s="99">
        <v>0.8</v>
      </c>
    </row>
    <row r="105" spans="1:4" x14ac:dyDescent="0.35">
      <c r="A105" s="3" t="str">
        <f>IF(C105="","",(VLOOKUP($C105,KEY!$B$5:$D$74,3,FALSE)))</f>
        <v>Texas</v>
      </c>
      <c r="B105" s="221" t="s">
        <v>214</v>
      </c>
      <c r="C105" s="222" t="s">
        <v>156</v>
      </c>
      <c r="D105" s="99">
        <v>0.3</v>
      </c>
    </row>
    <row r="106" spans="1:4" x14ac:dyDescent="0.35">
      <c r="A106" s="3" t="str">
        <f>IF(C106="","",(VLOOKUP($C106,KEY!$B$5:$D$74,3,FALSE)))</f>
        <v>Texas</v>
      </c>
      <c r="B106" s="221" t="s">
        <v>214</v>
      </c>
      <c r="C106" s="222" t="s">
        <v>157</v>
      </c>
      <c r="D106" s="99">
        <v>0.5</v>
      </c>
    </row>
    <row r="107" spans="1:4" x14ac:dyDescent="0.35">
      <c r="A107" s="3" t="str">
        <f>IF(C107="","",(VLOOKUP($C107,KEY!$B$5:$D$74,3,FALSE)))</f>
        <v>Arizona</v>
      </c>
      <c r="B107" s="221" t="s">
        <v>214</v>
      </c>
      <c r="C107" s="222" t="s">
        <v>158</v>
      </c>
      <c r="D107" s="99">
        <v>0.95</v>
      </c>
    </row>
    <row r="108" spans="1:4" x14ac:dyDescent="0.35">
      <c r="A108" s="3" t="str">
        <f>IF(C108="","",(VLOOKUP($C108,KEY!$B$5:$D$74,3,FALSE)))</f>
        <v>Orange County</v>
      </c>
      <c r="B108" s="221" t="s">
        <v>214</v>
      </c>
      <c r="C108" s="222" t="s">
        <v>159</v>
      </c>
      <c r="D108" s="99">
        <v>0.75</v>
      </c>
    </row>
    <row r="109" spans="1:4" x14ac:dyDescent="0.35">
      <c r="A109" s="3" t="str">
        <f>IF(C109="","",(VLOOKUP($C109,KEY!$B$5:$D$74,3,FALSE)))</f>
        <v>Arizona</v>
      </c>
      <c r="B109" s="221" t="s">
        <v>214</v>
      </c>
      <c r="C109" s="222" t="s">
        <v>160</v>
      </c>
      <c r="D109" s="99">
        <v>0.7</v>
      </c>
    </row>
    <row r="110" spans="1:4" x14ac:dyDescent="0.35">
      <c r="A110" s="3" t="str">
        <f>IF(C110="","",(VLOOKUP($C110,KEY!$B$5:$D$74,3,FALSE)))</f>
        <v>Northern California</v>
      </c>
      <c r="B110" s="221" t="s">
        <v>214</v>
      </c>
      <c r="C110" s="222" t="s">
        <v>161</v>
      </c>
      <c r="D110" s="99">
        <v>0.8</v>
      </c>
    </row>
    <row r="111" spans="1:4" x14ac:dyDescent="0.35">
      <c r="A111" s="3" t="e">
        <f>IF(C111="","",(VLOOKUP($C111,KEY!$B$5:$D$74,3,FALSE)))</f>
        <v>#N/A</v>
      </c>
      <c r="B111" s="221" t="s">
        <v>214</v>
      </c>
      <c r="C111" s="222" t="s">
        <v>162</v>
      </c>
      <c r="D111" s="99">
        <v>0.4</v>
      </c>
    </row>
    <row r="112" spans="1:4" x14ac:dyDescent="0.35">
      <c r="A112" s="3" t="str">
        <f>IF(C112="","",(VLOOKUP($C112,KEY!$B$5:$D$74,3,FALSE)))</f>
        <v>Arizona</v>
      </c>
      <c r="B112" s="221" t="s">
        <v>214</v>
      </c>
      <c r="C112" s="222" t="s">
        <v>163</v>
      </c>
      <c r="D112" s="99">
        <v>0.7</v>
      </c>
    </row>
    <row r="113" spans="1:4" x14ac:dyDescent="0.35">
      <c r="A113" s="3" t="str">
        <f>IF(C113="","",(VLOOKUP($C113,KEY!$B$5:$D$74,3,FALSE)))</f>
        <v>Arizona</v>
      </c>
      <c r="B113" s="221" t="s">
        <v>214</v>
      </c>
      <c r="C113" s="222" t="s">
        <v>164</v>
      </c>
      <c r="D113" s="99">
        <v>0.75</v>
      </c>
    </row>
    <row r="114" spans="1:4" x14ac:dyDescent="0.35">
      <c r="A114" s="3" t="str">
        <f>IF(C114="","",(VLOOKUP($C114,KEY!$B$5:$D$74,3,FALSE)))</f>
        <v>Orange County</v>
      </c>
      <c r="B114" s="221" t="s">
        <v>214</v>
      </c>
      <c r="C114" s="222" t="s">
        <v>165</v>
      </c>
      <c r="D114" s="99">
        <v>0.75</v>
      </c>
    </row>
    <row r="115" spans="1:4" x14ac:dyDescent="0.35">
      <c r="A115" s="3" t="str">
        <f>IF(C115="","",(VLOOKUP($C115,KEY!$B$5:$D$74,3,FALSE)))</f>
        <v>Arizona</v>
      </c>
      <c r="B115" s="221" t="s">
        <v>215</v>
      </c>
      <c r="C115" s="222" t="s">
        <v>111</v>
      </c>
      <c r="D115" s="99">
        <v>0.8</v>
      </c>
    </row>
    <row r="116" spans="1:4" x14ac:dyDescent="0.35">
      <c r="A116" s="3" t="str">
        <f>IF(C116="","",(VLOOKUP($C116,KEY!$B$5:$D$74,3,FALSE)))</f>
        <v>Southern California</v>
      </c>
      <c r="B116" s="221" t="s">
        <v>215</v>
      </c>
      <c r="C116" s="222" t="s">
        <v>112</v>
      </c>
      <c r="D116" s="99">
        <v>0.95</v>
      </c>
    </row>
    <row r="117" spans="1:4" x14ac:dyDescent="0.35">
      <c r="A117" s="3" t="str">
        <f>IF(C117="","",(VLOOKUP($C117,KEY!$B$5:$D$74,3,FALSE)))</f>
        <v>Arizona</v>
      </c>
      <c r="B117" s="221" t="s">
        <v>215</v>
      </c>
      <c r="C117" s="222" t="s">
        <v>113</v>
      </c>
      <c r="D117" s="99">
        <v>0.85</v>
      </c>
    </row>
    <row r="118" spans="1:4" x14ac:dyDescent="0.35">
      <c r="A118" s="3" t="str">
        <f>IF(C118="","",(VLOOKUP($C118,KEY!$B$5:$D$74,3,FALSE)))</f>
        <v>Southern California</v>
      </c>
      <c r="B118" s="221" t="s">
        <v>215</v>
      </c>
      <c r="C118" s="222" t="s">
        <v>114</v>
      </c>
      <c r="D118" s="99">
        <v>0.55000000000000004</v>
      </c>
    </row>
    <row r="119" spans="1:4" x14ac:dyDescent="0.35">
      <c r="A119" s="3" t="str">
        <f>IF(C119="","",(VLOOKUP($C119,KEY!$B$5:$D$74,3,FALSE)))</f>
        <v>Orange County</v>
      </c>
      <c r="B119" s="221" t="s">
        <v>215</v>
      </c>
      <c r="C119" s="222" t="s">
        <v>115</v>
      </c>
      <c r="D119" s="99">
        <v>0.95</v>
      </c>
    </row>
    <row r="120" spans="1:4" x14ac:dyDescent="0.35">
      <c r="A120" s="3" t="str">
        <f>IF(C120="","",(VLOOKUP($C120,KEY!$B$5:$D$74,3,FALSE)))</f>
        <v>Arizona</v>
      </c>
      <c r="B120" s="221" t="s">
        <v>215</v>
      </c>
      <c r="C120" s="222" t="s">
        <v>116</v>
      </c>
      <c r="D120" s="99">
        <v>1</v>
      </c>
    </row>
    <row r="121" spans="1:4" x14ac:dyDescent="0.35">
      <c r="A121" s="3" t="str">
        <f>IF(C121="","",(VLOOKUP($C121,KEY!$B$5:$D$74,3,FALSE)))</f>
        <v>Orange County</v>
      </c>
      <c r="B121" s="221" t="s">
        <v>215</v>
      </c>
      <c r="C121" s="222" t="s">
        <v>117</v>
      </c>
      <c r="D121" s="99">
        <v>0.85</v>
      </c>
    </row>
    <row r="122" spans="1:4" x14ac:dyDescent="0.35">
      <c r="A122" s="3" t="str">
        <f>IF(C122="","",(VLOOKUP($C122,KEY!$B$5:$D$74,3,FALSE)))</f>
        <v>Northern California</v>
      </c>
      <c r="B122" s="221" t="s">
        <v>215</v>
      </c>
      <c r="C122" s="222" t="s">
        <v>118</v>
      </c>
      <c r="D122" s="99">
        <v>0.95</v>
      </c>
    </row>
    <row r="123" spans="1:4" x14ac:dyDescent="0.35">
      <c r="A123" s="3" t="str">
        <f>IF(C123="","",(VLOOKUP($C123,KEY!$B$5:$D$74,3,FALSE)))</f>
        <v>Arizona</v>
      </c>
      <c r="B123" s="221" t="s">
        <v>215</v>
      </c>
      <c r="C123" s="222" t="s">
        <v>119</v>
      </c>
      <c r="D123" s="99">
        <v>0.85</v>
      </c>
    </row>
    <row r="124" spans="1:4" x14ac:dyDescent="0.35">
      <c r="A124" s="3" t="str">
        <f>IF(C124="","",(VLOOKUP($C124,KEY!$B$5:$D$74,3,FALSE)))</f>
        <v>Arizona</v>
      </c>
      <c r="B124" s="221" t="s">
        <v>215</v>
      </c>
      <c r="C124" s="222" t="s">
        <v>120</v>
      </c>
      <c r="D124" s="99">
        <v>1</v>
      </c>
    </row>
    <row r="125" spans="1:4" x14ac:dyDescent="0.35">
      <c r="A125" s="3" t="str">
        <f>IF(C125="","",(VLOOKUP($C125,KEY!$B$5:$D$74,3,FALSE)))</f>
        <v>Texas</v>
      </c>
      <c r="B125" s="221" t="s">
        <v>215</v>
      </c>
      <c r="C125" s="222" t="s">
        <v>121</v>
      </c>
      <c r="D125" s="99">
        <v>0.55000000000000004</v>
      </c>
    </row>
    <row r="126" spans="1:4" x14ac:dyDescent="0.35">
      <c r="A126" s="3" t="str">
        <f>IF(C126="","",(VLOOKUP($C126,KEY!$B$5:$D$74,3,FALSE)))</f>
        <v>Southern California</v>
      </c>
      <c r="B126" s="221" t="s">
        <v>215</v>
      </c>
      <c r="C126" s="222" t="s">
        <v>122</v>
      </c>
      <c r="D126" s="99">
        <v>0.45</v>
      </c>
    </row>
    <row r="127" spans="1:4" x14ac:dyDescent="0.35">
      <c r="A127" s="3" t="str">
        <f>IF(C127="","",(VLOOKUP($C127,KEY!$B$5:$D$74,3,FALSE)))</f>
        <v>Orange County</v>
      </c>
      <c r="B127" s="221" t="s">
        <v>215</v>
      </c>
      <c r="C127" s="222" t="s">
        <v>123</v>
      </c>
      <c r="D127" s="99">
        <v>0.6</v>
      </c>
    </row>
    <row r="128" spans="1:4" x14ac:dyDescent="0.35">
      <c r="A128" s="3" t="str">
        <f>IF(C128="","",(VLOOKUP($C128,KEY!$B$5:$D$74,3,FALSE)))</f>
        <v>Southern California</v>
      </c>
      <c r="B128" s="221" t="s">
        <v>215</v>
      </c>
      <c r="C128" s="222" t="s">
        <v>124</v>
      </c>
      <c r="D128" s="99">
        <v>0.85</v>
      </c>
    </row>
    <row r="129" spans="1:4" x14ac:dyDescent="0.35">
      <c r="A129" s="3" t="str">
        <f>IF(C129="","",(VLOOKUP($C129,KEY!$B$5:$D$74,3,FALSE)))</f>
        <v>Northern California</v>
      </c>
      <c r="B129" s="221" t="s">
        <v>215</v>
      </c>
      <c r="C129" s="222" t="s">
        <v>195</v>
      </c>
      <c r="D129" s="99">
        <v>1</v>
      </c>
    </row>
    <row r="130" spans="1:4" x14ac:dyDescent="0.35">
      <c r="A130" s="3" t="str">
        <f>IF(C130="","",(VLOOKUP($C130,KEY!$B$5:$D$74,3,FALSE)))</f>
        <v>Northern California</v>
      </c>
      <c r="B130" s="221" t="s">
        <v>215</v>
      </c>
      <c r="C130" s="222" t="s">
        <v>125</v>
      </c>
      <c r="D130" s="99">
        <v>1</v>
      </c>
    </row>
    <row r="131" spans="1:4" x14ac:dyDescent="0.35">
      <c r="A131" s="3" t="str">
        <f>IF(C131="","",(VLOOKUP($C131,KEY!$B$5:$D$74,3,FALSE)))</f>
        <v>Orange County</v>
      </c>
      <c r="B131" s="221" t="s">
        <v>215</v>
      </c>
      <c r="C131" s="222" t="s">
        <v>126</v>
      </c>
      <c r="D131" s="99">
        <v>1</v>
      </c>
    </row>
    <row r="132" spans="1:4" x14ac:dyDescent="0.35">
      <c r="A132" s="3" t="str">
        <f>IF(C132="","",(VLOOKUP($C132,KEY!$B$5:$D$74,3,FALSE)))</f>
        <v>Orange County</v>
      </c>
      <c r="B132" s="221" t="s">
        <v>215</v>
      </c>
      <c r="C132" s="222" t="s">
        <v>127</v>
      </c>
      <c r="D132" s="99">
        <v>0.9</v>
      </c>
    </row>
    <row r="133" spans="1:4" x14ac:dyDescent="0.35">
      <c r="A133" s="3" t="str">
        <f>IF(C133="","",(VLOOKUP($C133,KEY!$B$5:$D$74,3,FALSE)))</f>
        <v>Texas</v>
      </c>
      <c r="B133" s="221" t="s">
        <v>215</v>
      </c>
      <c r="C133" s="222" t="s">
        <v>128</v>
      </c>
      <c r="D133" s="99">
        <v>0.9</v>
      </c>
    </row>
    <row r="134" spans="1:4" x14ac:dyDescent="0.35">
      <c r="A134" s="3" t="str">
        <f>IF(C134="","",(VLOOKUP($C134,KEY!$B$5:$D$74,3,FALSE)))</f>
        <v>Northern California</v>
      </c>
      <c r="B134" s="221" t="s">
        <v>215</v>
      </c>
      <c r="C134" s="222" t="s">
        <v>129</v>
      </c>
      <c r="D134" s="99">
        <v>0.9</v>
      </c>
    </row>
    <row r="135" spans="1:4" x14ac:dyDescent="0.35">
      <c r="A135" s="3" t="str">
        <f>IF(C135="","",(VLOOKUP($C135,KEY!$B$5:$D$74,3,FALSE)))</f>
        <v>Southern California</v>
      </c>
      <c r="B135" s="221" t="s">
        <v>215</v>
      </c>
      <c r="C135" s="222" t="s">
        <v>130</v>
      </c>
      <c r="D135" s="99">
        <v>0.85</v>
      </c>
    </row>
    <row r="136" spans="1:4" x14ac:dyDescent="0.35">
      <c r="A136" s="3">
        <f>IF(C136="","",(VLOOKUP($C136,KEY!$B$5:$D$74,3,FALSE)))</f>
        <v>0</v>
      </c>
      <c r="B136" s="221" t="s">
        <v>215</v>
      </c>
      <c r="C136" s="222" t="s">
        <v>131</v>
      </c>
      <c r="D136" s="99">
        <v>0.6</v>
      </c>
    </row>
    <row r="137" spans="1:4" x14ac:dyDescent="0.35">
      <c r="A137" s="3" t="e">
        <f>IF(C137="","",(VLOOKUP($C137,KEY!$B$5:$D$74,3,FALSE)))</f>
        <v>#N/A</v>
      </c>
      <c r="B137" s="221" t="s">
        <v>215</v>
      </c>
      <c r="C137" s="222" t="s">
        <v>134</v>
      </c>
      <c r="D137" s="99">
        <v>0.9</v>
      </c>
    </row>
    <row r="138" spans="1:4" x14ac:dyDescent="0.35">
      <c r="A138" s="3" t="str">
        <f>IF(C138="","",(VLOOKUP($C138,KEY!$B$5:$D$74,3,FALSE)))</f>
        <v>Southern California</v>
      </c>
      <c r="B138" s="221" t="s">
        <v>215</v>
      </c>
      <c r="C138" s="222" t="s">
        <v>135</v>
      </c>
      <c r="D138" s="99">
        <v>0.9</v>
      </c>
    </row>
    <row r="139" spans="1:4" x14ac:dyDescent="0.35">
      <c r="A139" s="3" t="str">
        <f>IF(C139="","",(VLOOKUP($C139,KEY!$B$5:$D$74,3,FALSE)))</f>
        <v>Arizona</v>
      </c>
      <c r="B139" s="221" t="s">
        <v>215</v>
      </c>
      <c r="C139" s="222" t="s">
        <v>196</v>
      </c>
      <c r="D139" s="99">
        <v>1</v>
      </c>
    </row>
    <row r="140" spans="1:4" x14ac:dyDescent="0.35">
      <c r="A140" s="3" t="str">
        <f>IF(C140="","",(VLOOKUP($C140,KEY!$B$5:$D$74,3,FALSE)))</f>
        <v>Arizona</v>
      </c>
      <c r="B140" s="221" t="s">
        <v>215</v>
      </c>
      <c r="C140" s="222" t="s">
        <v>197</v>
      </c>
      <c r="D140" s="99">
        <v>0.9</v>
      </c>
    </row>
    <row r="141" spans="1:4" x14ac:dyDescent="0.35">
      <c r="A141" s="3" t="str">
        <f>IF(C141="","",(VLOOKUP($C141,KEY!$B$5:$D$74,3,FALSE)))</f>
        <v>Texas</v>
      </c>
      <c r="B141" s="221" t="s">
        <v>215</v>
      </c>
      <c r="C141" s="222" t="s">
        <v>136</v>
      </c>
      <c r="D141" s="99">
        <v>0.55000000000000004</v>
      </c>
    </row>
    <row r="142" spans="1:4" x14ac:dyDescent="0.35">
      <c r="A142" s="3" t="str">
        <f>IF(C142="","",(VLOOKUP($C142,KEY!$B$5:$D$74,3,FALSE)))</f>
        <v>Arizona</v>
      </c>
      <c r="B142" s="221" t="s">
        <v>215</v>
      </c>
      <c r="C142" s="222" t="s">
        <v>137</v>
      </c>
      <c r="D142" s="99">
        <v>1</v>
      </c>
    </row>
    <row r="143" spans="1:4" x14ac:dyDescent="0.35">
      <c r="A143" s="3" t="str">
        <f>IF(C143="","",(VLOOKUP($C143,KEY!$B$5:$D$74,3,FALSE)))</f>
        <v>Texas</v>
      </c>
      <c r="B143" s="221" t="s">
        <v>215</v>
      </c>
      <c r="C143" s="222" t="s">
        <v>138</v>
      </c>
      <c r="D143" s="99">
        <v>0.7</v>
      </c>
    </row>
    <row r="144" spans="1:4" x14ac:dyDescent="0.35">
      <c r="A144" s="3" t="str">
        <f>IF(C144="","",(VLOOKUP($C144,KEY!$B$5:$D$74,3,FALSE)))</f>
        <v>Southern California</v>
      </c>
      <c r="B144" s="221" t="s">
        <v>215</v>
      </c>
      <c r="C144" s="222" t="s">
        <v>139</v>
      </c>
      <c r="D144" s="99">
        <v>0.45</v>
      </c>
    </row>
    <row r="145" spans="1:4" x14ac:dyDescent="0.35">
      <c r="A145" s="3" t="str">
        <f>IF(C145="","",(VLOOKUP($C145,KEY!$B$5:$D$74,3,FALSE)))</f>
        <v>Orange County</v>
      </c>
      <c r="B145" s="221" t="s">
        <v>215</v>
      </c>
      <c r="C145" s="222" t="s">
        <v>140</v>
      </c>
      <c r="D145" s="99">
        <v>0.7</v>
      </c>
    </row>
    <row r="146" spans="1:4" x14ac:dyDescent="0.35">
      <c r="A146" s="3" t="str">
        <f>IF(C146="","",(VLOOKUP($C146,KEY!$B$5:$D$74,3,FALSE)))</f>
        <v>Southern California</v>
      </c>
      <c r="B146" s="221" t="s">
        <v>215</v>
      </c>
      <c r="C146" s="222" t="s">
        <v>142</v>
      </c>
      <c r="D146" s="99">
        <v>0.75</v>
      </c>
    </row>
    <row r="147" spans="1:4" x14ac:dyDescent="0.35">
      <c r="A147" s="3" t="str">
        <f>IF(C147="","",(VLOOKUP($C147,KEY!$B$5:$D$74,3,FALSE)))</f>
        <v>Arizona</v>
      </c>
      <c r="B147" s="221" t="s">
        <v>215</v>
      </c>
      <c r="C147" s="222" t="s">
        <v>143</v>
      </c>
      <c r="D147" s="99">
        <v>1</v>
      </c>
    </row>
    <row r="148" spans="1:4" x14ac:dyDescent="0.35">
      <c r="A148" s="3" t="str">
        <f>IF(C148="","",(VLOOKUP($C148,KEY!$B$5:$D$74,3,FALSE)))</f>
        <v>Arizona</v>
      </c>
      <c r="B148" s="221" t="s">
        <v>215</v>
      </c>
      <c r="C148" s="222" t="s">
        <v>144</v>
      </c>
      <c r="D148" s="99">
        <v>0.75</v>
      </c>
    </row>
    <row r="149" spans="1:4" x14ac:dyDescent="0.35">
      <c r="A149" s="3" t="str">
        <f>IF(C149="","",(VLOOKUP($C149,KEY!$B$5:$D$74,3,FALSE)))</f>
        <v>Southern California</v>
      </c>
      <c r="B149" s="221" t="s">
        <v>215</v>
      </c>
      <c r="C149" s="222" t="s">
        <v>145</v>
      </c>
      <c r="D149" s="99">
        <v>0.7</v>
      </c>
    </row>
    <row r="150" spans="1:4" x14ac:dyDescent="0.35">
      <c r="A150" s="3" t="str">
        <f>IF(C150="","",(VLOOKUP($C150,KEY!$B$5:$D$74,3,FALSE)))</f>
        <v>Arizona</v>
      </c>
      <c r="B150" s="221" t="s">
        <v>215</v>
      </c>
      <c r="C150" s="222" t="s">
        <v>146</v>
      </c>
      <c r="D150" s="99">
        <v>0.9</v>
      </c>
    </row>
    <row r="151" spans="1:4" x14ac:dyDescent="0.35">
      <c r="A151" s="3" t="str">
        <f>IF(C151="","",(VLOOKUP($C151,KEY!$B$5:$D$74,3,FALSE)))</f>
        <v>Texas</v>
      </c>
      <c r="B151" s="221" t="s">
        <v>215</v>
      </c>
      <c r="C151" s="222" t="s">
        <v>147</v>
      </c>
      <c r="D151" s="99">
        <v>0.9</v>
      </c>
    </row>
    <row r="152" spans="1:4" x14ac:dyDescent="0.35">
      <c r="A152" s="3" t="str">
        <f>IF(C152="","",(VLOOKUP($C152,KEY!$B$5:$D$74,3,FALSE)))</f>
        <v>Northern California</v>
      </c>
      <c r="B152" s="221" t="s">
        <v>215</v>
      </c>
      <c r="C152" s="222" t="s">
        <v>148</v>
      </c>
      <c r="D152" s="99">
        <v>0.9</v>
      </c>
    </row>
    <row r="153" spans="1:4" x14ac:dyDescent="0.35">
      <c r="A153" s="3" t="str">
        <f>IF(C153="","",(VLOOKUP($C153,KEY!$B$5:$D$74,3,FALSE)))</f>
        <v>Orange County</v>
      </c>
      <c r="B153" s="221" t="s">
        <v>215</v>
      </c>
      <c r="C153" s="222" t="s">
        <v>149</v>
      </c>
      <c r="D153" s="99">
        <v>0.85</v>
      </c>
    </row>
    <row r="154" spans="1:4" x14ac:dyDescent="0.35">
      <c r="A154" s="3" t="str">
        <f>IF(C154="","",(VLOOKUP($C154,KEY!$B$5:$D$74,3,FALSE)))</f>
        <v>Southern California</v>
      </c>
      <c r="B154" s="221" t="s">
        <v>215</v>
      </c>
      <c r="C154" s="222" t="s">
        <v>150</v>
      </c>
      <c r="D154" s="99">
        <v>0.65</v>
      </c>
    </row>
    <row r="155" spans="1:4" x14ac:dyDescent="0.35">
      <c r="A155" s="3" t="str">
        <f>IF(C155="","",(VLOOKUP($C155,KEY!$B$5:$D$74,3,FALSE)))</f>
        <v>Arizona</v>
      </c>
      <c r="B155" s="221" t="s">
        <v>215</v>
      </c>
      <c r="C155" s="222" t="s">
        <v>151</v>
      </c>
      <c r="D155" s="99">
        <v>0.95</v>
      </c>
    </row>
    <row r="156" spans="1:4" x14ac:dyDescent="0.35">
      <c r="A156" s="3" t="str">
        <f>IF(C156="","",(VLOOKUP($C156,KEY!$B$5:$D$74,3,FALSE)))</f>
        <v>Northern California</v>
      </c>
      <c r="B156" s="221" t="s">
        <v>215</v>
      </c>
      <c r="C156" s="222" t="s">
        <v>152</v>
      </c>
      <c r="D156" s="99">
        <v>0.95</v>
      </c>
    </row>
    <row r="157" spans="1:4" x14ac:dyDescent="0.35">
      <c r="A157" s="3" t="str">
        <f>IF(C157="","",(VLOOKUP($C157,KEY!$B$5:$D$74,3,FALSE)))</f>
        <v>Arizona</v>
      </c>
      <c r="B157" s="221" t="s">
        <v>215</v>
      </c>
      <c r="C157" s="222" t="s">
        <v>153</v>
      </c>
      <c r="D157" s="99">
        <v>1</v>
      </c>
    </row>
    <row r="158" spans="1:4" x14ac:dyDescent="0.35">
      <c r="A158" s="3" t="str">
        <f>IF(C158="","",(VLOOKUP($C158,KEY!$B$5:$D$74,3,FALSE)))</f>
        <v>Northern California</v>
      </c>
      <c r="B158" s="221" t="s">
        <v>215</v>
      </c>
      <c r="C158" s="222" t="s">
        <v>154</v>
      </c>
      <c r="D158" s="99">
        <v>1</v>
      </c>
    </row>
    <row r="159" spans="1:4" x14ac:dyDescent="0.35">
      <c r="A159" s="3" t="str">
        <f>IF(C159="","",(VLOOKUP($C159,KEY!$B$5:$D$74,3,FALSE)))</f>
        <v>Texas</v>
      </c>
      <c r="B159" s="221" t="s">
        <v>215</v>
      </c>
      <c r="C159" s="222" t="s">
        <v>155</v>
      </c>
      <c r="D159" s="99">
        <v>0.75</v>
      </c>
    </row>
    <row r="160" spans="1:4" x14ac:dyDescent="0.35">
      <c r="A160" s="3" t="str">
        <f>IF(C160="","",(VLOOKUP($C160,KEY!$B$5:$D$74,3,FALSE)))</f>
        <v>Texas</v>
      </c>
      <c r="B160" s="221" t="s">
        <v>215</v>
      </c>
      <c r="C160" s="222" t="s">
        <v>156</v>
      </c>
      <c r="D160" s="99">
        <v>0.65</v>
      </c>
    </row>
    <row r="161" spans="1:4" x14ac:dyDescent="0.35">
      <c r="A161" s="3" t="str">
        <f>IF(C161="","",(VLOOKUP($C161,KEY!$B$5:$D$74,3,FALSE)))</f>
        <v>Texas</v>
      </c>
      <c r="B161" s="221" t="s">
        <v>215</v>
      </c>
      <c r="C161" s="222" t="s">
        <v>157</v>
      </c>
      <c r="D161" s="99">
        <v>0.45</v>
      </c>
    </row>
    <row r="162" spans="1:4" x14ac:dyDescent="0.35">
      <c r="A162" s="3" t="str">
        <f>IF(C162="","",(VLOOKUP($C162,KEY!$B$5:$D$74,3,FALSE)))</f>
        <v>Arizona</v>
      </c>
      <c r="B162" s="221" t="s">
        <v>215</v>
      </c>
      <c r="C162" s="222" t="s">
        <v>158</v>
      </c>
      <c r="D162" s="99">
        <v>0.7</v>
      </c>
    </row>
    <row r="163" spans="1:4" x14ac:dyDescent="0.35">
      <c r="A163" s="3" t="str">
        <f>IF(C163="","",(VLOOKUP($C163,KEY!$B$5:$D$74,3,FALSE)))</f>
        <v>Orange County</v>
      </c>
      <c r="B163" s="221" t="s">
        <v>215</v>
      </c>
      <c r="C163" s="222" t="s">
        <v>159</v>
      </c>
      <c r="D163" s="99">
        <v>0.75</v>
      </c>
    </row>
    <row r="164" spans="1:4" x14ac:dyDescent="0.35">
      <c r="A164" s="3" t="str">
        <f>IF(C164="","",(VLOOKUP($C164,KEY!$B$5:$D$74,3,FALSE)))</f>
        <v>Arizona</v>
      </c>
      <c r="B164" s="221" t="s">
        <v>215</v>
      </c>
      <c r="C164" s="222" t="s">
        <v>160</v>
      </c>
      <c r="D164" s="99">
        <v>0.9</v>
      </c>
    </row>
    <row r="165" spans="1:4" x14ac:dyDescent="0.35">
      <c r="A165" s="3" t="str">
        <f>IF(C165="","",(VLOOKUP($C165,KEY!$B$5:$D$74,3,FALSE)))</f>
        <v>Northern California</v>
      </c>
      <c r="B165" s="221" t="s">
        <v>215</v>
      </c>
      <c r="C165" s="222" t="s">
        <v>161</v>
      </c>
      <c r="D165" s="99">
        <v>1</v>
      </c>
    </row>
    <row r="166" spans="1:4" x14ac:dyDescent="0.35">
      <c r="A166" s="3" t="e">
        <f>IF(C166="","",(VLOOKUP($C166,KEY!$B$5:$D$74,3,FALSE)))</f>
        <v>#N/A</v>
      </c>
      <c r="B166" s="221" t="s">
        <v>215</v>
      </c>
      <c r="C166" s="222" t="s">
        <v>162</v>
      </c>
      <c r="D166" s="99">
        <v>0.9</v>
      </c>
    </row>
    <row r="167" spans="1:4" x14ac:dyDescent="0.35">
      <c r="A167" s="3" t="str">
        <f>IF(C167="","",(VLOOKUP($C167,KEY!$B$5:$D$74,3,FALSE)))</f>
        <v>Arizona</v>
      </c>
      <c r="B167" s="221" t="s">
        <v>215</v>
      </c>
      <c r="C167" s="222" t="s">
        <v>163</v>
      </c>
      <c r="D167" s="99">
        <v>0.85</v>
      </c>
    </row>
    <row r="168" spans="1:4" x14ac:dyDescent="0.35">
      <c r="A168" s="3" t="str">
        <f>IF(C168="","",(VLOOKUP($C168,KEY!$B$5:$D$74,3,FALSE)))</f>
        <v>Arizona</v>
      </c>
      <c r="B168" s="221" t="s">
        <v>215</v>
      </c>
      <c r="C168" s="222" t="s">
        <v>164</v>
      </c>
      <c r="D168" s="99">
        <v>0.85</v>
      </c>
    </row>
    <row r="169" spans="1:4" x14ac:dyDescent="0.35">
      <c r="A169" s="3" t="str">
        <f>IF(C169="","",(VLOOKUP($C169,KEY!$B$5:$D$74,3,FALSE)))</f>
        <v>Orange County</v>
      </c>
      <c r="B169" s="221" t="s">
        <v>215</v>
      </c>
      <c r="C169" s="222" t="s">
        <v>165</v>
      </c>
      <c r="D169" s="99">
        <v>0.75</v>
      </c>
    </row>
    <row r="170" spans="1:4" x14ac:dyDescent="0.35">
      <c r="A170" s="3" t="str">
        <f>IF(C170="","",(VLOOKUP($C170,KEY!$B$5:$D$74,3,FALSE)))</f>
        <v>Arizona</v>
      </c>
      <c r="B170" s="221" t="s">
        <v>216</v>
      </c>
      <c r="C170" s="222" t="s">
        <v>111</v>
      </c>
      <c r="D170" s="99">
        <v>0.8</v>
      </c>
    </row>
    <row r="171" spans="1:4" x14ac:dyDescent="0.35">
      <c r="A171" s="3" t="str">
        <f>IF(C171="","",(VLOOKUP($C171,KEY!$B$5:$D$74,3,FALSE)))</f>
        <v>Southern California</v>
      </c>
      <c r="B171" s="221" t="s">
        <v>216</v>
      </c>
      <c r="C171" s="222" t="s">
        <v>112</v>
      </c>
      <c r="D171" s="99">
        <v>0.85</v>
      </c>
    </row>
    <row r="172" spans="1:4" x14ac:dyDescent="0.35">
      <c r="A172" s="3" t="str">
        <f>IF(C172="","",(VLOOKUP($C172,KEY!$B$5:$D$74,3,FALSE)))</f>
        <v>Arizona</v>
      </c>
      <c r="B172" s="221" t="s">
        <v>216</v>
      </c>
      <c r="C172" s="222" t="s">
        <v>113</v>
      </c>
      <c r="D172" s="99">
        <v>0.95</v>
      </c>
    </row>
    <row r="173" spans="1:4" x14ac:dyDescent="0.35">
      <c r="A173" s="3" t="str">
        <f>IF(C173="","",(VLOOKUP($C173,KEY!$B$5:$D$74,3,FALSE)))</f>
        <v>Southern California</v>
      </c>
      <c r="B173" s="221" t="s">
        <v>216</v>
      </c>
      <c r="C173" s="222" t="s">
        <v>114</v>
      </c>
      <c r="D173" s="99">
        <v>1</v>
      </c>
    </row>
    <row r="174" spans="1:4" x14ac:dyDescent="0.35">
      <c r="A174" s="3" t="str">
        <f>IF(C174="","",(VLOOKUP($C174,KEY!$B$5:$D$74,3,FALSE)))</f>
        <v>Orange County</v>
      </c>
      <c r="B174" s="221" t="s">
        <v>216</v>
      </c>
      <c r="C174" s="222" t="s">
        <v>115</v>
      </c>
      <c r="D174" s="99">
        <v>0.85</v>
      </c>
    </row>
    <row r="175" spans="1:4" x14ac:dyDescent="0.35">
      <c r="A175" s="3" t="str">
        <f>IF(C175="","",(VLOOKUP($C175,KEY!$B$5:$D$74,3,FALSE)))</f>
        <v>Arizona</v>
      </c>
      <c r="B175" s="221" t="s">
        <v>216</v>
      </c>
      <c r="C175" s="222" t="s">
        <v>116</v>
      </c>
      <c r="D175" s="99">
        <v>0.75</v>
      </c>
    </row>
    <row r="176" spans="1:4" x14ac:dyDescent="0.35">
      <c r="A176" s="3" t="str">
        <f>IF(C176="","",(VLOOKUP($C176,KEY!$B$5:$D$74,3,FALSE)))</f>
        <v>Orange County</v>
      </c>
      <c r="B176" s="221" t="s">
        <v>216</v>
      </c>
      <c r="C176" s="222" t="s">
        <v>117</v>
      </c>
      <c r="D176" s="99">
        <v>0.95</v>
      </c>
    </row>
    <row r="177" spans="1:4" x14ac:dyDescent="0.35">
      <c r="A177" s="3" t="str">
        <f>IF(C177="","",(VLOOKUP($C177,KEY!$B$5:$D$74,3,FALSE)))</f>
        <v>Northern California</v>
      </c>
      <c r="B177" s="221" t="s">
        <v>216</v>
      </c>
      <c r="C177" s="222" t="s">
        <v>118</v>
      </c>
      <c r="D177" s="99">
        <v>0.95</v>
      </c>
    </row>
    <row r="178" spans="1:4" x14ac:dyDescent="0.35">
      <c r="A178" s="3" t="str">
        <f>IF(C178="","",(VLOOKUP($C178,KEY!$B$5:$D$74,3,FALSE)))</f>
        <v>Arizona</v>
      </c>
      <c r="B178" s="221" t="s">
        <v>216</v>
      </c>
      <c r="C178" s="222" t="s">
        <v>119</v>
      </c>
      <c r="D178" s="99">
        <v>0.85</v>
      </c>
    </row>
    <row r="179" spans="1:4" x14ac:dyDescent="0.35">
      <c r="A179" s="3" t="str">
        <f>IF(C179="","",(VLOOKUP($C179,KEY!$B$5:$D$74,3,FALSE)))</f>
        <v>Arizona</v>
      </c>
      <c r="B179" s="221" t="s">
        <v>216</v>
      </c>
      <c r="C179" s="222" t="s">
        <v>120</v>
      </c>
      <c r="D179" s="99">
        <v>1</v>
      </c>
    </row>
    <row r="180" spans="1:4" x14ac:dyDescent="0.35">
      <c r="A180" s="3" t="str">
        <f>IF(C180="","",(VLOOKUP($C180,KEY!$B$5:$D$74,3,FALSE)))</f>
        <v>Texas</v>
      </c>
      <c r="B180" s="221" t="s">
        <v>216</v>
      </c>
      <c r="C180" s="222" t="s">
        <v>121</v>
      </c>
      <c r="D180" s="99">
        <v>0.7</v>
      </c>
    </row>
    <row r="181" spans="1:4" x14ac:dyDescent="0.35">
      <c r="A181" s="3" t="str">
        <f>IF(C181="","",(VLOOKUP($C181,KEY!$B$5:$D$74,3,FALSE)))</f>
        <v>Southern California</v>
      </c>
      <c r="B181" s="221" t="s">
        <v>216</v>
      </c>
      <c r="C181" s="222" t="s">
        <v>122</v>
      </c>
      <c r="D181" s="99">
        <v>0.95</v>
      </c>
    </row>
    <row r="182" spans="1:4" x14ac:dyDescent="0.35">
      <c r="A182" s="3" t="str">
        <f>IF(C182="","",(VLOOKUP($C182,KEY!$B$5:$D$74,3,FALSE)))</f>
        <v>Orange County</v>
      </c>
      <c r="B182" s="221" t="s">
        <v>216</v>
      </c>
      <c r="C182" s="222" t="s">
        <v>123</v>
      </c>
      <c r="D182" s="99">
        <v>1</v>
      </c>
    </row>
    <row r="183" spans="1:4" x14ac:dyDescent="0.35">
      <c r="A183" s="3" t="str">
        <f>IF(C183="","",(VLOOKUP($C183,KEY!$B$5:$D$74,3,FALSE)))</f>
        <v>Southern California</v>
      </c>
      <c r="B183" s="221" t="s">
        <v>216</v>
      </c>
      <c r="C183" s="222" t="s">
        <v>124</v>
      </c>
      <c r="D183" s="99">
        <v>0.85</v>
      </c>
    </row>
    <row r="184" spans="1:4" x14ac:dyDescent="0.35">
      <c r="A184" s="3" t="str">
        <f>IF(C184="","",(VLOOKUP($C184,KEY!$B$5:$D$74,3,FALSE)))</f>
        <v>Northern California</v>
      </c>
      <c r="B184" s="221" t="s">
        <v>216</v>
      </c>
      <c r="C184" s="222" t="s">
        <v>195</v>
      </c>
      <c r="D184" s="99">
        <v>0.95</v>
      </c>
    </row>
    <row r="185" spans="1:4" x14ac:dyDescent="0.35">
      <c r="A185" s="3" t="str">
        <f>IF(C185="","",(VLOOKUP($C185,KEY!$B$5:$D$74,3,FALSE)))</f>
        <v>Northern California</v>
      </c>
      <c r="B185" s="221" t="s">
        <v>216</v>
      </c>
      <c r="C185" s="222" t="s">
        <v>125</v>
      </c>
      <c r="D185" s="99">
        <v>1</v>
      </c>
    </row>
    <row r="186" spans="1:4" x14ac:dyDescent="0.35">
      <c r="A186" s="3" t="str">
        <f>IF(C186="","",(VLOOKUP($C186,KEY!$B$5:$D$74,3,FALSE)))</f>
        <v>Orange County</v>
      </c>
      <c r="B186" s="221" t="s">
        <v>216</v>
      </c>
      <c r="C186" s="222" t="s">
        <v>126</v>
      </c>
      <c r="D186" s="99">
        <v>0.9</v>
      </c>
    </row>
    <row r="187" spans="1:4" x14ac:dyDescent="0.35">
      <c r="A187" s="3" t="str">
        <f>IF(C187="","",(VLOOKUP($C187,KEY!$B$5:$D$74,3,FALSE)))</f>
        <v>Orange County</v>
      </c>
      <c r="B187" s="221" t="s">
        <v>216</v>
      </c>
      <c r="C187" s="222" t="s">
        <v>127</v>
      </c>
      <c r="D187" s="99">
        <v>0.85</v>
      </c>
    </row>
    <row r="188" spans="1:4" x14ac:dyDescent="0.35">
      <c r="A188" s="3" t="str">
        <f>IF(C188="","",(VLOOKUP($C188,KEY!$B$5:$D$74,3,FALSE)))</f>
        <v>Texas</v>
      </c>
      <c r="B188" s="221" t="s">
        <v>216</v>
      </c>
      <c r="C188" s="222" t="s">
        <v>128</v>
      </c>
      <c r="D188" s="99">
        <v>0.85</v>
      </c>
    </row>
    <row r="189" spans="1:4" x14ac:dyDescent="0.35">
      <c r="A189" s="3" t="str">
        <f>IF(C189="","",(VLOOKUP($C189,KEY!$B$5:$D$74,3,FALSE)))</f>
        <v>Northern California</v>
      </c>
      <c r="B189" s="221" t="s">
        <v>216</v>
      </c>
      <c r="C189" s="222" t="s">
        <v>129</v>
      </c>
      <c r="D189" s="99">
        <v>0.95</v>
      </c>
    </row>
    <row r="190" spans="1:4" x14ac:dyDescent="0.35">
      <c r="A190" s="3" t="str">
        <f>IF(C190="","",(VLOOKUP($C190,KEY!$B$5:$D$74,3,FALSE)))</f>
        <v>Southern California</v>
      </c>
      <c r="B190" s="221" t="s">
        <v>216</v>
      </c>
      <c r="C190" s="222" t="s">
        <v>130</v>
      </c>
      <c r="D190" s="99">
        <v>1</v>
      </c>
    </row>
    <row r="191" spans="1:4" x14ac:dyDescent="0.35">
      <c r="A191" s="3">
        <f>IF(C191="","",(VLOOKUP($C191,KEY!$B$5:$D$74,3,FALSE)))</f>
        <v>0</v>
      </c>
      <c r="B191" s="221" t="s">
        <v>216</v>
      </c>
      <c r="C191" s="222" t="s">
        <v>131</v>
      </c>
      <c r="D191" s="99">
        <v>0.65</v>
      </c>
    </row>
    <row r="192" spans="1:4" x14ac:dyDescent="0.35">
      <c r="A192" s="3" t="e">
        <f>IF(C192="","",(VLOOKUP($C192,KEY!$B$5:$D$74,3,FALSE)))</f>
        <v>#N/A</v>
      </c>
      <c r="B192" s="221" t="s">
        <v>216</v>
      </c>
      <c r="C192" s="222" t="s">
        <v>134</v>
      </c>
      <c r="D192" s="99">
        <v>1</v>
      </c>
    </row>
    <row r="193" spans="1:4" x14ac:dyDescent="0.35">
      <c r="A193" s="3" t="str">
        <f>IF(C193="","",(VLOOKUP($C193,KEY!$B$5:$D$74,3,FALSE)))</f>
        <v>Southern California</v>
      </c>
      <c r="B193" s="221" t="s">
        <v>216</v>
      </c>
      <c r="C193" s="222" t="s">
        <v>135</v>
      </c>
      <c r="D193" s="99">
        <v>1</v>
      </c>
    </row>
    <row r="194" spans="1:4" x14ac:dyDescent="0.35">
      <c r="A194" s="3" t="str">
        <f>IF(C194="","",(VLOOKUP($C194,KEY!$B$5:$D$74,3,FALSE)))</f>
        <v>Arizona</v>
      </c>
      <c r="B194" s="221" t="s">
        <v>216</v>
      </c>
      <c r="C194" s="222" t="s">
        <v>196</v>
      </c>
      <c r="D194" s="99">
        <v>0.95</v>
      </c>
    </row>
    <row r="195" spans="1:4" x14ac:dyDescent="0.35">
      <c r="A195" s="3" t="str">
        <f>IF(C195="","",(VLOOKUP($C195,KEY!$B$5:$D$74,3,FALSE)))</f>
        <v>Arizona</v>
      </c>
      <c r="B195" s="221" t="s">
        <v>216</v>
      </c>
      <c r="C195" s="222" t="s">
        <v>197</v>
      </c>
      <c r="D195" s="99">
        <v>1</v>
      </c>
    </row>
    <row r="196" spans="1:4" x14ac:dyDescent="0.35">
      <c r="A196" s="3" t="str">
        <f>IF(C196="","",(VLOOKUP($C196,KEY!$B$5:$D$74,3,FALSE)))</f>
        <v>Texas</v>
      </c>
      <c r="B196" s="221" t="s">
        <v>216</v>
      </c>
      <c r="C196" s="222" t="s">
        <v>136</v>
      </c>
      <c r="D196" s="99">
        <v>0.8</v>
      </c>
    </row>
    <row r="197" spans="1:4" x14ac:dyDescent="0.35">
      <c r="A197" s="3" t="str">
        <f>IF(C197="","",(VLOOKUP($C197,KEY!$B$5:$D$74,3,FALSE)))</f>
        <v>Arizona</v>
      </c>
      <c r="B197" s="221" t="s">
        <v>216</v>
      </c>
      <c r="C197" s="222" t="s">
        <v>137</v>
      </c>
      <c r="D197" s="99">
        <v>0.8</v>
      </c>
    </row>
    <row r="198" spans="1:4" x14ac:dyDescent="0.35">
      <c r="A198" s="3" t="str">
        <f>IF(C198="","",(VLOOKUP($C198,KEY!$B$5:$D$74,3,FALSE)))</f>
        <v>Texas</v>
      </c>
      <c r="B198" s="221" t="s">
        <v>216</v>
      </c>
      <c r="C198" s="222" t="s">
        <v>138</v>
      </c>
      <c r="D198" s="99">
        <v>0.9</v>
      </c>
    </row>
    <row r="199" spans="1:4" x14ac:dyDescent="0.35">
      <c r="A199" s="3" t="str">
        <f>IF(C199="","",(VLOOKUP($C199,KEY!$B$5:$D$74,3,FALSE)))</f>
        <v>Southern California</v>
      </c>
      <c r="B199" s="221" t="s">
        <v>216</v>
      </c>
      <c r="C199" s="222" t="s">
        <v>139</v>
      </c>
      <c r="D199" s="99">
        <v>1</v>
      </c>
    </row>
    <row r="200" spans="1:4" x14ac:dyDescent="0.35">
      <c r="A200" s="3" t="str">
        <f>IF(C200="","",(VLOOKUP($C200,KEY!$B$5:$D$74,3,FALSE)))</f>
        <v>Orange County</v>
      </c>
      <c r="B200" s="221" t="s">
        <v>216</v>
      </c>
      <c r="C200" s="222" t="s">
        <v>140</v>
      </c>
      <c r="D200" s="99">
        <v>1</v>
      </c>
    </row>
    <row r="201" spans="1:4" x14ac:dyDescent="0.35">
      <c r="A201" s="3" t="str">
        <f>IF(C201="","",(VLOOKUP($C201,KEY!$B$5:$D$74,3,FALSE)))</f>
        <v>Southern California</v>
      </c>
      <c r="B201" s="221" t="s">
        <v>216</v>
      </c>
      <c r="C201" s="222" t="s">
        <v>142</v>
      </c>
      <c r="D201" s="99">
        <v>1</v>
      </c>
    </row>
    <row r="202" spans="1:4" x14ac:dyDescent="0.35">
      <c r="A202" s="3" t="str">
        <f>IF(C202="","",(VLOOKUP($C202,KEY!$B$5:$D$74,3,FALSE)))</f>
        <v>Arizona</v>
      </c>
      <c r="B202" s="221" t="s">
        <v>216</v>
      </c>
      <c r="C202" s="222" t="s">
        <v>143</v>
      </c>
      <c r="D202" s="99">
        <v>1</v>
      </c>
    </row>
    <row r="203" spans="1:4" x14ac:dyDescent="0.35">
      <c r="A203" s="3" t="str">
        <f>IF(C203="","",(VLOOKUP($C203,KEY!$B$5:$D$74,3,FALSE)))</f>
        <v>Arizona</v>
      </c>
      <c r="B203" s="221" t="s">
        <v>216</v>
      </c>
      <c r="C203" s="222" t="s">
        <v>144</v>
      </c>
      <c r="D203" s="99">
        <v>1</v>
      </c>
    </row>
    <row r="204" spans="1:4" x14ac:dyDescent="0.35">
      <c r="A204" s="3" t="str">
        <f>IF(C204="","",(VLOOKUP($C204,KEY!$B$5:$D$74,3,FALSE)))</f>
        <v>Southern California</v>
      </c>
      <c r="B204" s="221" t="s">
        <v>216</v>
      </c>
      <c r="C204" s="222" t="s">
        <v>145</v>
      </c>
      <c r="D204" s="99">
        <v>0.9</v>
      </c>
    </row>
    <row r="205" spans="1:4" x14ac:dyDescent="0.35">
      <c r="A205" s="3" t="str">
        <f>IF(C205="","",(VLOOKUP($C205,KEY!$B$5:$D$74,3,FALSE)))</f>
        <v>Arizona</v>
      </c>
      <c r="B205" s="221" t="s">
        <v>216</v>
      </c>
      <c r="C205" s="222" t="s">
        <v>146</v>
      </c>
      <c r="D205" s="99">
        <v>1</v>
      </c>
    </row>
    <row r="206" spans="1:4" x14ac:dyDescent="0.35">
      <c r="A206" s="3" t="str">
        <f>IF(C206="","",(VLOOKUP($C206,KEY!$B$5:$D$74,3,FALSE)))</f>
        <v>Texas</v>
      </c>
      <c r="B206" s="221" t="s">
        <v>216</v>
      </c>
      <c r="C206" s="222" t="s">
        <v>147</v>
      </c>
      <c r="D206" s="99">
        <v>0.85</v>
      </c>
    </row>
    <row r="207" spans="1:4" x14ac:dyDescent="0.35">
      <c r="A207" s="3" t="str">
        <f>IF(C207="","",(VLOOKUP($C207,KEY!$B$5:$D$74,3,FALSE)))</f>
        <v>Northern California</v>
      </c>
      <c r="B207" s="221" t="s">
        <v>216</v>
      </c>
      <c r="C207" s="222" t="s">
        <v>148</v>
      </c>
      <c r="D207" s="99">
        <v>0.85</v>
      </c>
    </row>
    <row r="208" spans="1:4" x14ac:dyDescent="0.35">
      <c r="A208" s="3" t="str">
        <f>IF(C208="","",(VLOOKUP($C208,KEY!$B$5:$D$74,3,FALSE)))</f>
        <v>Orange County</v>
      </c>
      <c r="B208" s="221" t="s">
        <v>216</v>
      </c>
      <c r="C208" s="222" t="s">
        <v>149</v>
      </c>
      <c r="D208" s="99">
        <v>0.8</v>
      </c>
    </row>
    <row r="209" spans="1:4" x14ac:dyDescent="0.35">
      <c r="A209" s="3" t="str">
        <f>IF(C209="","",(VLOOKUP($C209,KEY!$B$5:$D$74,3,FALSE)))</f>
        <v>Southern California</v>
      </c>
      <c r="B209" s="221" t="s">
        <v>216</v>
      </c>
      <c r="C209" s="222" t="s">
        <v>150</v>
      </c>
      <c r="D209" s="99">
        <v>1</v>
      </c>
    </row>
    <row r="210" spans="1:4" x14ac:dyDescent="0.35">
      <c r="A210" s="3" t="str">
        <f>IF(C210="","",(VLOOKUP($C210,KEY!$B$5:$D$74,3,FALSE)))</f>
        <v>Arizona</v>
      </c>
      <c r="B210" s="221" t="s">
        <v>216</v>
      </c>
      <c r="C210" s="222" t="s">
        <v>151</v>
      </c>
      <c r="D210" s="99">
        <v>0.9</v>
      </c>
    </row>
    <row r="211" spans="1:4" x14ac:dyDescent="0.35">
      <c r="A211" s="3" t="str">
        <f>IF(C211="","",(VLOOKUP($C211,KEY!$B$5:$D$74,3,FALSE)))</f>
        <v>Northern California</v>
      </c>
      <c r="B211" s="221" t="s">
        <v>216</v>
      </c>
      <c r="C211" s="222" t="s">
        <v>152</v>
      </c>
      <c r="D211" s="99">
        <v>1</v>
      </c>
    </row>
    <row r="212" spans="1:4" x14ac:dyDescent="0.35">
      <c r="A212" s="3" t="str">
        <f>IF(C212="","",(VLOOKUP($C212,KEY!$B$5:$D$74,3,FALSE)))</f>
        <v>Arizona</v>
      </c>
      <c r="B212" s="221" t="s">
        <v>216</v>
      </c>
      <c r="C212" s="222" t="s">
        <v>153</v>
      </c>
      <c r="D212" s="99">
        <v>0.85</v>
      </c>
    </row>
    <row r="213" spans="1:4" x14ac:dyDescent="0.35">
      <c r="A213" s="3" t="str">
        <f>IF(C213="","",(VLOOKUP($C213,KEY!$B$5:$D$74,3,FALSE)))</f>
        <v>Northern California</v>
      </c>
      <c r="B213" s="221" t="s">
        <v>216</v>
      </c>
      <c r="C213" s="222" t="s">
        <v>154</v>
      </c>
      <c r="D213" s="99">
        <v>0.95</v>
      </c>
    </row>
    <row r="214" spans="1:4" x14ac:dyDescent="0.35">
      <c r="A214" s="3" t="str">
        <f>IF(C214="","",(VLOOKUP($C214,KEY!$B$5:$D$74,3,FALSE)))</f>
        <v>Texas</v>
      </c>
      <c r="B214" s="221" t="s">
        <v>216</v>
      </c>
      <c r="C214" s="222" t="s">
        <v>155</v>
      </c>
      <c r="D214" s="99">
        <v>0.8</v>
      </c>
    </row>
    <row r="215" spans="1:4" x14ac:dyDescent="0.35">
      <c r="A215" s="3" t="str">
        <f>IF(C215="","",(VLOOKUP($C215,KEY!$B$5:$D$74,3,FALSE)))</f>
        <v>Texas</v>
      </c>
      <c r="B215" s="221" t="s">
        <v>216</v>
      </c>
      <c r="C215" s="222" t="s">
        <v>156</v>
      </c>
      <c r="D215" s="99">
        <v>0.8</v>
      </c>
    </row>
    <row r="216" spans="1:4" x14ac:dyDescent="0.35">
      <c r="A216" s="3" t="str">
        <f>IF(C216="","",(VLOOKUP($C216,KEY!$B$5:$D$74,3,FALSE)))</f>
        <v>Texas</v>
      </c>
      <c r="B216" s="221" t="s">
        <v>216</v>
      </c>
      <c r="C216" s="222" t="s">
        <v>157</v>
      </c>
      <c r="D216" s="99">
        <v>0.75</v>
      </c>
    </row>
    <row r="217" spans="1:4" x14ac:dyDescent="0.35">
      <c r="A217" s="3" t="str">
        <f>IF(C217="","",(VLOOKUP($C217,KEY!$B$5:$D$74,3,FALSE)))</f>
        <v>Arizona</v>
      </c>
      <c r="B217" s="221" t="s">
        <v>216</v>
      </c>
      <c r="C217" s="222" t="s">
        <v>158</v>
      </c>
      <c r="D217" s="99">
        <v>0.9</v>
      </c>
    </row>
    <row r="218" spans="1:4" x14ac:dyDescent="0.35">
      <c r="A218" s="3" t="str">
        <f>IF(C218="","",(VLOOKUP($C218,KEY!$B$5:$D$74,3,FALSE)))</f>
        <v>Orange County</v>
      </c>
      <c r="B218" s="221" t="s">
        <v>216</v>
      </c>
      <c r="C218" s="222" t="s">
        <v>159</v>
      </c>
      <c r="D218" s="99">
        <v>0.9</v>
      </c>
    </row>
    <row r="219" spans="1:4" x14ac:dyDescent="0.35">
      <c r="A219" s="3" t="str">
        <f>IF(C219="","",(VLOOKUP($C219,KEY!$B$5:$D$74,3,FALSE)))</f>
        <v>Arizona</v>
      </c>
      <c r="B219" s="221" t="s">
        <v>216</v>
      </c>
      <c r="C219" s="222" t="s">
        <v>160</v>
      </c>
      <c r="D219" s="99">
        <v>0.8</v>
      </c>
    </row>
    <row r="220" spans="1:4" x14ac:dyDescent="0.35">
      <c r="A220" s="3" t="str">
        <f>IF(C220="","",(VLOOKUP($C220,KEY!$B$5:$D$74,3,FALSE)))</f>
        <v>Northern California</v>
      </c>
      <c r="B220" s="221" t="s">
        <v>216</v>
      </c>
      <c r="C220" s="222" t="s">
        <v>161</v>
      </c>
      <c r="D220" s="99">
        <v>1</v>
      </c>
    </row>
    <row r="221" spans="1:4" x14ac:dyDescent="0.35">
      <c r="A221" s="3" t="e">
        <f>IF(C221="","",(VLOOKUP($C221,KEY!$B$5:$D$74,3,FALSE)))</f>
        <v>#N/A</v>
      </c>
      <c r="B221" s="221" t="s">
        <v>216</v>
      </c>
      <c r="C221" s="222" t="s">
        <v>162</v>
      </c>
      <c r="D221" s="99">
        <v>1</v>
      </c>
    </row>
    <row r="222" spans="1:4" x14ac:dyDescent="0.35">
      <c r="A222" s="3" t="str">
        <f>IF(C222="","",(VLOOKUP($C222,KEY!$B$5:$D$74,3,FALSE)))</f>
        <v>Arizona</v>
      </c>
      <c r="B222" s="221" t="s">
        <v>216</v>
      </c>
      <c r="C222" s="222" t="s">
        <v>163</v>
      </c>
      <c r="D222" s="99">
        <v>0.9</v>
      </c>
    </row>
    <row r="223" spans="1:4" x14ac:dyDescent="0.35">
      <c r="A223" s="3" t="str">
        <f>IF(C223="","",(VLOOKUP($C223,KEY!$B$5:$D$74,3,FALSE)))</f>
        <v>Arizona</v>
      </c>
      <c r="B223" s="221" t="s">
        <v>216</v>
      </c>
      <c r="C223" s="222" t="s">
        <v>164</v>
      </c>
      <c r="D223" s="99">
        <v>0.85</v>
      </c>
    </row>
    <row r="224" spans="1:4" x14ac:dyDescent="0.35">
      <c r="A224" s="3" t="str">
        <f>IF(C224="","",(VLOOKUP($C224,KEY!$B$5:$D$74,3,FALSE)))</f>
        <v>Orange County</v>
      </c>
      <c r="B224" s="221" t="s">
        <v>216</v>
      </c>
      <c r="C224" s="222" t="s">
        <v>165</v>
      </c>
      <c r="D224" s="99">
        <v>0.8</v>
      </c>
    </row>
    <row r="225" spans="1:4" x14ac:dyDescent="0.35">
      <c r="A225" s="3" t="str">
        <f>IF(C225="","",(VLOOKUP($C225,KEY!$B$5:$D$74,3,FALSE)))</f>
        <v>Arizona</v>
      </c>
      <c r="B225" s="221" t="s">
        <v>217</v>
      </c>
      <c r="C225" s="222" t="s">
        <v>111</v>
      </c>
      <c r="D225" s="99">
        <v>0.9</v>
      </c>
    </row>
    <row r="226" spans="1:4" x14ac:dyDescent="0.35">
      <c r="A226" s="3" t="str">
        <f>IF(C226="","",(VLOOKUP($C226,KEY!$B$5:$D$74,3,FALSE)))</f>
        <v>Southern California</v>
      </c>
      <c r="B226" s="221" t="s">
        <v>217</v>
      </c>
      <c r="C226" s="222" t="s">
        <v>112</v>
      </c>
      <c r="D226" s="99">
        <v>0.9</v>
      </c>
    </row>
    <row r="227" spans="1:4" x14ac:dyDescent="0.35">
      <c r="A227" s="3" t="str">
        <f>IF(C227="","",(VLOOKUP($C227,KEY!$B$5:$D$74,3,FALSE)))</f>
        <v>Arizona</v>
      </c>
      <c r="B227" s="221" t="s">
        <v>217</v>
      </c>
      <c r="C227" s="222" t="s">
        <v>113</v>
      </c>
      <c r="D227" s="99">
        <v>0.95</v>
      </c>
    </row>
    <row r="228" spans="1:4" x14ac:dyDescent="0.35">
      <c r="A228" s="3" t="str">
        <f>IF(C228="","",(VLOOKUP($C228,KEY!$B$5:$D$74,3,FALSE)))</f>
        <v>Southern California</v>
      </c>
      <c r="B228" s="221" t="s">
        <v>217</v>
      </c>
      <c r="C228" s="222" t="s">
        <v>114</v>
      </c>
      <c r="D228" s="99">
        <v>0.9</v>
      </c>
    </row>
    <row r="229" spans="1:4" x14ac:dyDescent="0.35">
      <c r="A229" s="3" t="str">
        <f>IF(C229="","",(VLOOKUP($C229,KEY!$B$5:$D$74,3,FALSE)))</f>
        <v>Orange County</v>
      </c>
      <c r="B229" s="221" t="s">
        <v>217</v>
      </c>
      <c r="C229" s="222" t="s">
        <v>115</v>
      </c>
      <c r="D229" s="99">
        <v>0.95</v>
      </c>
    </row>
    <row r="230" spans="1:4" x14ac:dyDescent="0.35">
      <c r="A230" s="3" t="str">
        <f>IF(C230="","",(VLOOKUP($C230,KEY!$B$5:$D$74,3,FALSE)))</f>
        <v>Arizona</v>
      </c>
      <c r="B230" s="221" t="s">
        <v>217</v>
      </c>
      <c r="C230" s="222" t="s">
        <v>116</v>
      </c>
      <c r="D230" s="99">
        <v>0.95</v>
      </c>
    </row>
    <row r="231" spans="1:4" x14ac:dyDescent="0.35">
      <c r="A231" s="3" t="str">
        <f>IF(C231="","",(VLOOKUP($C231,KEY!$B$5:$D$74,3,FALSE)))</f>
        <v>Orange County</v>
      </c>
      <c r="B231" s="221" t="s">
        <v>217</v>
      </c>
      <c r="C231" s="222" t="s">
        <v>117</v>
      </c>
      <c r="D231" s="99">
        <v>1</v>
      </c>
    </row>
    <row r="232" spans="1:4" x14ac:dyDescent="0.35">
      <c r="A232" s="3" t="str">
        <f>IF(C232="","",(VLOOKUP($C232,KEY!$B$5:$D$74,3,FALSE)))</f>
        <v>Northern California</v>
      </c>
      <c r="B232" s="221" t="s">
        <v>217</v>
      </c>
      <c r="C232" s="222" t="s">
        <v>118</v>
      </c>
      <c r="D232" s="99">
        <v>0.85</v>
      </c>
    </row>
    <row r="233" spans="1:4" x14ac:dyDescent="0.35">
      <c r="A233" s="3" t="str">
        <f>IF(C233="","",(VLOOKUP($C233,KEY!$B$5:$D$74,3,FALSE)))</f>
        <v>Arizona</v>
      </c>
      <c r="B233" s="221" t="s">
        <v>217</v>
      </c>
      <c r="C233" s="222" t="s">
        <v>119</v>
      </c>
      <c r="D233" s="99">
        <v>1</v>
      </c>
    </row>
    <row r="234" spans="1:4" x14ac:dyDescent="0.35">
      <c r="A234" s="3" t="str">
        <f>IF(C234="","",(VLOOKUP($C234,KEY!$B$5:$D$74,3,FALSE)))</f>
        <v>Arizona</v>
      </c>
      <c r="B234" s="221" t="s">
        <v>217</v>
      </c>
      <c r="C234" s="222" t="s">
        <v>120</v>
      </c>
      <c r="D234" s="99">
        <v>0.95</v>
      </c>
    </row>
    <row r="235" spans="1:4" x14ac:dyDescent="0.35">
      <c r="A235" s="3" t="str">
        <f>IF(C235="","",(VLOOKUP($C235,KEY!$B$5:$D$74,3,FALSE)))</f>
        <v>Texas</v>
      </c>
      <c r="B235" s="221" t="s">
        <v>217</v>
      </c>
      <c r="C235" s="222" t="s">
        <v>121</v>
      </c>
      <c r="D235" s="99">
        <v>0.8</v>
      </c>
    </row>
    <row r="236" spans="1:4" x14ac:dyDescent="0.35">
      <c r="A236" s="3" t="str">
        <f>IF(C236="","",(VLOOKUP($C236,KEY!$B$5:$D$74,3,FALSE)))</f>
        <v>Southern California</v>
      </c>
      <c r="B236" s="221" t="s">
        <v>217</v>
      </c>
      <c r="C236" s="222" t="s">
        <v>122</v>
      </c>
      <c r="D236" s="99">
        <v>0.9</v>
      </c>
    </row>
    <row r="237" spans="1:4" x14ac:dyDescent="0.35">
      <c r="A237" s="3" t="str">
        <f>IF(C237="","",(VLOOKUP($C237,KEY!$B$5:$D$74,3,FALSE)))</f>
        <v>Orange County</v>
      </c>
      <c r="B237" s="221" t="s">
        <v>217</v>
      </c>
      <c r="C237" s="222" t="s">
        <v>123</v>
      </c>
      <c r="D237" s="99">
        <v>0.9</v>
      </c>
    </row>
    <row r="238" spans="1:4" x14ac:dyDescent="0.35">
      <c r="A238" s="3" t="str">
        <f>IF(C238="","",(VLOOKUP($C238,KEY!$B$5:$D$74,3,FALSE)))</f>
        <v>Southern California</v>
      </c>
      <c r="B238" s="221" t="s">
        <v>217</v>
      </c>
      <c r="C238" s="222" t="s">
        <v>124</v>
      </c>
      <c r="D238" s="99">
        <v>0.65</v>
      </c>
    </row>
    <row r="239" spans="1:4" x14ac:dyDescent="0.35">
      <c r="A239" s="3" t="str">
        <f>IF(C239="","",(VLOOKUP($C239,KEY!$B$5:$D$74,3,FALSE)))</f>
        <v>Northern California</v>
      </c>
      <c r="B239" s="221" t="s">
        <v>217</v>
      </c>
      <c r="C239" s="222" t="s">
        <v>195</v>
      </c>
      <c r="D239" s="99">
        <v>0.95</v>
      </c>
    </row>
    <row r="240" spans="1:4" x14ac:dyDescent="0.35">
      <c r="A240" s="3" t="str">
        <f>IF(C240="","",(VLOOKUP($C240,KEY!$B$5:$D$74,3,FALSE)))</f>
        <v>Northern California</v>
      </c>
      <c r="B240" s="221" t="s">
        <v>217</v>
      </c>
      <c r="C240" s="222" t="s">
        <v>125</v>
      </c>
      <c r="D240" s="99">
        <v>0.9</v>
      </c>
    </row>
    <row r="241" spans="1:4" x14ac:dyDescent="0.35">
      <c r="A241" s="3" t="str">
        <f>IF(C241="","",(VLOOKUP($C241,KEY!$B$5:$D$74,3,FALSE)))</f>
        <v>Orange County</v>
      </c>
      <c r="B241" s="221" t="s">
        <v>217</v>
      </c>
      <c r="C241" s="222" t="s">
        <v>126</v>
      </c>
      <c r="D241" s="99">
        <v>1</v>
      </c>
    </row>
    <row r="242" spans="1:4" x14ac:dyDescent="0.35">
      <c r="A242" s="3" t="str">
        <f>IF(C242="","",(VLOOKUP($C242,KEY!$B$5:$D$74,3,FALSE)))</f>
        <v>Orange County</v>
      </c>
      <c r="B242" s="221" t="s">
        <v>217</v>
      </c>
      <c r="C242" s="222" t="s">
        <v>127</v>
      </c>
      <c r="D242" s="99">
        <v>0.9</v>
      </c>
    </row>
    <row r="243" spans="1:4" x14ac:dyDescent="0.35">
      <c r="A243" s="3" t="str">
        <f>IF(C243="","",(VLOOKUP($C243,KEY!$B$5:$D$74,3,FALSE)))</f>
        <v>Texas</v>
      </c>
      <c r="B243" s="221" t="s">
        <v>217</v>
      </c>
      <c r="C243" s="222" t="s">
        <v>128</v>
      </c>
      <c r="D243" s="99">
        <v>1</v>
      </c>
    </row>
    <row r="244" spans="1:4" x14ac:dyDescent="0.35">
      <c r="A244" s="3" t="str">
        <f>IF(C244="","",(VLOOKUP($C244,KEY!$B$5:$D$74,3,FALSE)))</f>
        <v>Northern California</v>
      </c>
      <c r="B244" s="221" t="s">
        <v>217</v>
      </c>
      <c r="C244" s="222" t="s">
        <v>129</v>
      </c>
      <c r="D244" s="99">
        <v>0.9</v>
      </c>
    </row>
    <row r="245" spans="1:4" x14ac:dyDescent="0.35">
      <c r="A245" s="3" t="str">
        <f>IF(C245="","",(VLOOKUP($C245,KEY!$B$5:$D$74,3,FALSE)))</f>
        <v>Southern California</v>
      </c>
      <c r="B245" s="221" t="s">
        <v>217</v>
      </c>
      <c r="C245" s="222" t="s">
        <v>130</v>
      </c>
      <c r="D245" s="99">
        <v>0.75</v>
      </c>
    </row>
    <row r="246" spans="1:4" x14ac:dyDescent="0.35">
      <c r="A246" s="3">
        <f>IF(C246="","",(VLOOKUP($C246,KEY!$B$5:$D$74,3,FALSE)))</f>
        <v>0</v>
      </c>
      <c r="B246" s="221" t="s">
        <v>217</v>
      </c>
      <c r="C246" s="222" t="s">
        <v>131</v>
      </c>
      <c r="D246" s="99">
        <v>0.8</v>
      </c>
    </row>
    <row r="247" spans="1:4" x14ac:dyDescent="0.35">
      <c r="A247" s="3" t="e">
        <f>IF(C247="","",(VLOOKUP($C247,KEY!$B$5:$D$74,3,FALSE)))</f>
        <v>#N/A</v>
      </c>
      <c r="B247" s="221" t="s">
        <v>217</v>
      </c>
      <c r="C247" s="3" t="s">
        <v>134</v>
      </c>
      <c r="D247" s="99">
        <v>0.95</v>
      </c>
    </row>
    <row r="248" spans="1:4" x14ac:dyDescent="0.35">
      <c r="A248" s="3" t="str">
        <f>IF(C248="","",(VLOOKUP($C248,KEY!$B$5:$D$74,3,FALSE)))</f>
        <v>Southern California</v>
      </c>
      <c r="B248" s="221" t="s">
        <v>217</v>
      </c>
      <c r="C248" s="3" t="s">
        <v>135</v>
      </c>
      <c r="D248" s="99">
        <v>0.9</v>
      </c>
    </row>
    <row r="249" spans="1:4" x14ac:dyDescent="0.35">
      <c r="A249" s="3" t="str">
        <f>IF(C249="","",(VLOOKUP($C249,KEY!$B$5:$D$74,3,FALSE)))</f>
        <v>Arizona</v>
      </c>
      <c r="B249" s="221" t="s">
        <v>217</v>
      </c>
      <c r="C249" s="3" t="s">
        <v>196</v>
      </c>
      <c r="D249" s="99">
        <v>0.85</v>
      </c>
    </row>
    <row r="250" spans="1:4" x14ac:dyDescent="0.35">
      <c r="A250" s="3" t="str">
        <f>IF(C250="","",(VLOOKUP($C250,KEY!$B$5:$D$74,3,FALSE)))</f>
        <v>Arizona</v>
      </c>
      <c r="B250" s="221" t="s">
        <v>217</v>
      </c>
      <c r="C250" s="3" t="s">
        <v>197</v>
      </c>
      <c r="D250" s="99">
        <v>0.9</v>
      </c>
    </row>
    <row r="251" spans="1:4" x14ac:dyDescent="0.35">
      <c r="A251" s="3" t="str">
        <f>IF(C251="","",(VLOOKUP($C251,KEY!$B$5:$D$74,3,FALSE)))</f>
        <v>Texas</v>
      </c>
      <c r="B251" s="221" t="s">
        <v>217</v>
      </c>
      <c r="C251" s="222" t="s">
        <v>136</v>
      </c>
      <c r="D251" s="99">
        <v>0.7</v>
      </c>
    </row>
    <row r="252" spans="1:4" x14ac:dyDescent="0.35">
      <c r="A252" s="3" t="str">
        <f>IF(C252="","",(VLOOKUP($C252,KEY!$B$5:$D$74,3,FALSE)))</f>
        <v>Arizona</v>
      </c>
      <c r="B252" s="221" t="s">
        <v>217</v>
      </c>
      <c r="C252" s="222" t="s">
        <v>137</v>
      </c>
      <c r="D252" s="99">
        <v>1</v>
      </c>
    </row>
    <row r="253" spans="1:4" x14ac:dyDescent="0.35">
      <c r="A253" s="3" t="str">
        <f>IF(C253="","",(VLOOKUP($C253,KEY!$B$5:$D$74,3,FALSE)))</f>
        <v>Texas</v>
      </c>
      <c r="B253" s="221" t="s">
        <v>217</v>
      </c>
      <c r="C253" s="222" t="s">
        <v>138</v>
      </c>
      <c r="D253" s="99">
        <v>0.7</v>
      </c>
    </row>
    <row r="254" spans="1:4" x14ac:dyDescent="0.35">
      <c r="A254" s="3" t="str">
        <f>IF(C254="","",(VLOOKUP($C254,KEY!$B$5:$D$74,3,FALSE)))</f>
        <v>Southern California</v>
      </c>
      <c r="B254" s="221" t="s">
        <v>217</v>
      </c>
      <c r="C254" s="222" t="s">
        <v>139</v>
      </c>
      <c r="D254" s="99">
        <v>0.8</v>
      </c>
    </row>
    <row r="255" spans="1:4" x14ac:dyDescent="0.35">
      <c r="A255" s="3" t="str">
        <f>IF(C255="","",(VLOOKUP($C255,KEY!$B$5:$D$74,3,FALSE)))</f>
        <v>Orange County</v>
      </c>
      <c r="B255" s="221" t="s">
        <v>217</v>
      </c>
      <c r="C255" s="222" t="s">
        <v>140</v>
      </c>
      <c r="D255" s="99">
        <v>0.95</v>
      </c>
    </row>
    <row r="256" spans="1:4" x14ac:dyDescent="0.35">
      <c r="A256" s="3" t="str">
        <f>IF(C256="","",(VLOOKUP($C256,KEY!$B$5:$D$74,3,FALSE)))</f>
        <v>Southern California</v>
      </c>
      <c r="B256" s="221" t="s">
        <v>217</v>
      </c>
      <c r="C256" s="222" t="s">
        <v>142</v>
      </c>
      <c r="D256" s="99">
        <v>0.9</v>
      </c>
    </row>
    <row r="257" spans="1:4" x14ac:dyDescent="0.35">
      <c r="A257" s="3" t="str">
        <f>IF(C257="","",(VLOOKUP($C257,KEY!$B$5:$D$74,3,FALSE)))</f>
        <v>Arizona</v>
      </c>
      <c r="B257" s="221" t="s">
        <v>217</v>
      </c>
      <c r="C257" s="222" t="s">
        <v>143</v>
      </c>
      <c r="D257" s="99">
        <v>0.95</v>
      </c>
    </row>
    <row r="258" spans="1:4" x14ac:dyDescent="0.35">
      <c r="A258" s="3" t="str">
        <f>IF(C258="","",(VLOOKUP($C258,KEY!$B$5:$D$74,3,FALSE)))</f>
        <v>Arizona</v>
      </c>
      <c r="B258" s="221" t="s">
        <v>217</v>
      </c>
      <c r="C258" s="222" t="s">
        <v>144</v>
      </c>
      <c r="D258" s="99">
        <v>0.85</v>
      </c>
    </row>
    <row r="259" spans="1:4" x14ac:dyDescent="0.35">
      <c r="A259" s="3" t="str">
        <f>IF(C259="","",(VLOOKUP($C259,KEY!$B$5:$D$74,3,FALSE)))</f>
        <v>Southern California</v>
      </c>
      <c r="B259" s="221" t="s">
        <v>217</v>
      </c>
      <c r="C259" s="222" t="s">
        <v>145</v>
      </c>
      <c r="D259" s="99">
        <v>0.8</v>
      </c>
    </row>
    <row r="260" spans="1:4" x14ac:dyDescent="0.35">
      <c r="A260" s="3" t="str">
        <f>IF(C260="","",(VLOOKUP($C260,KEY!$B$5:$D$74,3,FALSE)))</f>
        <v>Arizona</v>
      </c>
      <c r="B260" s="221" t="s">
        <v>217</v>
      </c>
      <c r="C260" s="222" t="s">
        <v>146</v>
      </c>
      <c r="D260" s="99">
        <v>0.95</v>
      </c>
    </row>
    <row r="261" spans="1:4" x14ac:dyDescent="0.35">
      <c r="A261" s="3" t="str">
        <f>IF(C261="","",(VLOOKUP($C261,KEY!$B$5:$D$74,3,FALSE)))</f>
        <v>Texas</v>
      </c>
      <c r="B261" s="221" t="s">
        <v>217</v>
      </c>
      <c r="C261" s="222" t="s">
        <v>147</v>
      </c>
      <c r="D261" s="99">
        <v>0.75</v>
      </c>
    </row>
    <row r="262" spans="1:4" x14ac:dyDescent="0.35">
      <c r="A262" s="3" t="str">
        <f>IF(C262="","",(VLOOKUP($C262,KEY!$B$5:$D$74,3,FALSE)))</f>
        <v>Northern California</v>
      </c>
      <c r="B262" s="221" t="s">
        <v>217</v>
      </c>
      <c r="C262" s="222" t="s">
        <v>148</v>
      </c>
      <c r="D262" s="99">
        <v>0.8</v>
      </c>
    </row>
    <row r="263" spans="1:4" x14ac:dyDescent="0.35">
      <c r="A263" s="3" t="str">
        <f>IF(C263="","",(VLOOKUP($C263,KEY!$B$5:$D$74,3,FALSE)))</f>
        <v>Orange County</v>
      </c>
      <c r="B263" s="221" t="s">
        <v>217</v>
      </c>
      <c r="C263" s="222" t="s">
        <v>149</v>
      </c>
      <c r="D263" s="99">
        <v>0.9</v>
      </c>
    </row>
    <row r="264" spans="1:4" x14ac:dyDescent="0.35">
      <c r="A264" s="3" t="str">
        <f>IF(C264="","",(VLOOKUP($C264,KEY!$B$5:$D$74,3,FALSE)))</f>
        <v>Southern California</v>
      </c>
      <c r="B264" s="221" t="s">
        <v>217</v>
      </c>
      <c r="C264" s="222" t="s">
        <v>150</v>
      </c>
      <c r="D264" s="99">
        <v>0.75</v>
      </c>
    </row>
    <row r="265" spans="1:4" x14ac:dyDescent="0.35">
      <c r="A265" s="3" t="str">
        <f>IF(C265="","",(VLOOKUP($C265,KEY!$B$5:$D$74,3,FALSE)))</f>
        <v>Arizona</v>
      </c>
      <c r="B265" s="221" t="s">
        <v>217</v>
      </c>
      <c r="C265" s="222" t="s">
        <v>151</v>
      </c>
      <c r="D265" s="99">
        <v>0.8</v>
      </c>
    </row>
    <row r="266" spans="1:4" x14ac:dyDescent="0.35">
      <c r="A266" s="3" t="str">
        <f>IF(C266="","",(VLOOKUP($C266,KEY!$B$5:$D$74,3,FALSE)))</f>
        <v>Northern California</v>
      </c>
      <c r="B266" s="221" t="s">
        <v>217</v>
      </c>
      <c r="C266" s="222" t="s">
        <v>152</v>
      </c>
      <c r="D266" s="99">
        <v>0.75</v>
      </c>
    </row>
    <row r="267" spans="1:4" x14ac:dyDescent="0.35">
      <c r="A267" s="3" t="str">
        <f>IF(C267="","",(VLOOKUP($C267,KEY!$B$5:$D$74,3,FALSE)))</f>
        <v>Arizona</v>
      </c>
      <c r="B267" s="221" t="s">
        <v>217</v>
      </c>
      <c r="C267" s="222" t="s">
        <v>153</v>
      </c>
      <c r="D267" s="99">
        <v>0.7</v>
      </c>
    </row>
    <row r="268" spans="1:4" x14ac:dyDescent="0.35">
      <c r="A268" s="3" t="str">
        <f>IF(C268="","",(VLOOKUP($C268,KEY!$B$5:$D$74,3,FALSE)))</f>
        <v>Northern California</v>
      </c>
      <c r="B268" s="221" t="s">
        <v>217</v>
      </c>
      <c r="C268" s="222" t="s">
        <v>154</v>
      </c>
      <c r="D268" s="99">
        <v>0.9</v>
      </c>
    </row>
    <row r="269" spans="1:4" x14ac:dyDescent="0.35">
      <c r="A269" s="3" t="str">
        <f>IF(C269="","",(VLOOKUP($C269,KEY!$B$5:$D$74,3,FALSE)))</f>
        <v>Texas</v>
      </c>
      <c r="B269" s="221" t="s">
        <v>217</v>
      </c>
      <c r="C269" s="222" t="s">
        <v>155</v>
      </c>
      <c r="D269" s="99">
        <v>0.8</v>
      </c>
    </row>
    <row r="270" spans="1:4" x14ac:dyDescent="0.35">
      <c r="A270" s="3" t="str">
        <f>IF(C270="","",(VLOOKUP($C270,KEY!$B$5:$D$74,3,FALSE)))</f>
        <v>Texas</v>
      </c>
      <c r="B270" s="221" t="s">
        <v>217</v>
      </c>
      <c r="C270" s="222" t="s">
        <v>156</v>
      </c>
      <c r="D270" s="99">
        <v>0.85</v>
      </c>
    </row>
    <row r="271" spans="1:4" x14ac:dyDescent="0.35">
      <c r="A271" s="3" t="str">
        <f>IF(C271="","",(VLOOKUP($C271,KEY!$B$5:$D$74,3,FALSE)))</f>
        <v>Texas</v>
      </c>
      <c r="B271" s="221" t="s">
        <v>217</v>
      </c>
      <c r="C271" s="222" t="s">
        <v>157</v>
      </c>
      <c r="D271" s="99">
        <v>0.9</v>
      </c>
    </row>
    <row r="272" spans="1:4" x14ac:dyDescent="0.35">
      <c r="A272" s="3" t="str">
        <f>IF(C272="","",(VLOOKUP($C272,KEY!$B$5:$D$74,3,FALSE)))</f>
        <v>Arizona</v>
      </c>
      <c r="B272" s="221" t="s">
        <v>217</v>
      </c>
      <c r="C272" s="222" t="s">
        <v>158</v>
      </c>
      <c r="D272" s="99">
        <v>0.85</v>
      </c>
    </row>
    <row r="273" spans="1:4" x14ac:dyDescent="0.35">
      <c r="A273" s="3" t="str">
        <f>IF(C273="","",(VLOOKUP($C273,KEY!$B$5:$D$74,3,FALSE)))</f>
        <v>Orange County</v>
      </c>
      <c r="B273" s="221" t="s">
        <v>217</v>
      </c>
      <c r="C273" s="222" t="s">
        <v>159</v>
      </c>
      <c r="D273" s="99">
        <v>0.95</v>
      </c>
    </row>
    <row r="274" spans="1:4" x14ac:dyDescent="0.35">
      <c r="A274" s="3" t="str">
        <f>IF(C274="","",(VLOOKUP($C274,KEY!$B$5:$D$74,3,FALSE)))</f>
        <v>Arizona</v>
      </c>
      <c r="B274" s="221" t="s">
        <v>217</v>
      </c>
      <c r="C274" s="222" t="s">
        <v>160</v>
      </c>
      <c r="D274" s="99">
        <v>1</v>
      </c>
    </row>
    <row r="275" spans="1:4" x14ac:dyDescent="0.35">
      <c r="A275" s="3" t="str">
        <f>IF(C275="","",(VLOOKUP($C275,KEY!$B$5:$D$74,3,FALSE)))</f>
        <v>Northern California</v>
      </c>
      <c r="B275" s="221" t="s">
        <v>217</v>
      </c>
      <c r="C275" s="222" t="s">
        <v>161</v>
      </c>
      <c r="D275" s="99">
        <v>0.95</v>
      </c>
    </row>
    <row r="276" spans="1:4" x14ac:dyDescent="0.35">
      <c r="A276" s="3" t="e">
        <f>IF(C276="","",(VLOOKUP($C276,KEY!$B$5:$D$74,3,FALSE)))</f>
        <v>#N/A</v>
      </c>
      <c r="B276" s="221" t="s">
        <v>217</v>
      </c>
      <c r="C276" s="222" t="s">
        <v>162</v>
      </c>
      <c r="D276" s="99">
        <v>1</v>
      </c>
    </row>
    <row r="277" spans="1:4" x14ac:dyDescent="0.35">
      <c r="A277" s="3" t="str">
        <f>IF(C277="","",(VLOOKUP($C277,KEY!$B$5:$D$74,3,FALSE)))</f>
        <v>Arizona</v>
      </c>
      <c r="B277" s="221" t="s">
        <v>217</v>
      </c>
      <c r="C277" s="222" t="s">
        <v>163</v>
      </c>
      <c r="D277" s="99">
        <v>0.8</v>
      </c>
    </row>
    <row r="278" spans="1:4" x14ac:dyDescent="0.35">
      <c r="A278" s="3" t="str">
        <f>IF(C278="","",(VLOOKUP($C278,KEY!$B$5:$D$74,3,FALSE)))</f>
        <v>Arizona</v>
      </c>
      <c r="B278" s="221" t="s">
        <v>217</v>
      </c>
      <c r="C278" s="222" t="s">
        <v>164</v>
      </c>
      <c r="D278" s="99">
        <v>0.8</v>
      </c>
    </row>
    <row r="279" spans="1:4" x14ac:dyDescent="0.35">
      <c r="A279" s="3" t="str">
        <f>IF(C279="","",(VLOOKUP($C279,KEY!$B$5:$D$74,3,FALSE)))</f>
        <v>Orange County</v>
      </c>
      <c r="B279" s="221" t="s">
        <v>217</v>
      </c>
      <c r="C279" s="222" t="s">
        <v>165</v>
      </c>
      <c r="D279" s="99">
        <v>1</v>
      </c>
    </row>
    <row r="280" spans="1:4" x14ac:dyDescent="0.35">
      <c r="A280" s="3" t="str">
        <f>IF(C280="","",(VLOOKUP($C280,KEY!$B$5:$D$74,3,FALSE)))</f>
        <v>Arizona</v>
      </c>
      <c r="B280" s="221" t="s">
        <v>218</v>
      </c>
      <c r="C280" s="222" t="s">
        <v>111</v>
      </c>
      <c r="D280" s="99">
        <v>0.875</v>
      </c>
    </row>
    <row r="281" spans="1:4" x14ac:dyDescent="0.35">
      <c r="A281" s="3" t="str">
        <f>IF(C281="","",(VLOOKUP($C281,KEY!$B$5:$D$74,3,FALSE)))</f>
        <v>Southern California</v>
      </c>
      <c r="B281" s="221" t="s">
        <v>218</v>
      </c>
      <c r="C281" s="222" t="s">
        <v>112</v>
      </c>
      <c r="D281" s="99">
        <v>0.625</v>
      </c>
    </row>
    <row r="282" spans="1:4" x14ac:dyDescent="0.35">
      <c r="A282" s="3" t="str">
        <f>IF(C282="","",(VLOOKUP($C282,KEY!$B$5:$D$74,3,FALSE)))</f>
        <v>Arizona</v>
      </c>
      <c r="B282" s="221" t="s">
        <v>218</v>
      </c>
      <c r="C282" s="222" t="s">
        <v>113</v>
      </c>
      <c r="D282" s="99">
        <v>0.875</v>
      </c>
    </row>
    <row r="283" spans="1:4" x14ac:dyDescent="0.35">
      <c r="A283" s="3" t="str">
        <f>IF(C283="","",(VLOOKUP($C283,KEY!$B$5:$D$74,3,FALSE)))</f>
        <v>Southern California</v>
      </c>
      <c r="B283" s="221" t="s">
        <v>218</v>
      </c>
      <c r="C283" s="222" t="s">
        <v>114</v>
      </c>
      <c r="D283" s="99">
        <v>0.875</v>
      </c>
    </row>
    <row r="284" spans="1:4" x14ac:dyDescent="0.35">
      <c r="A284" s="3" t="str">
        <f>IF(C284="","",(VLOOKUP($C284,KEY!$B$5:$D$74,3,FALSE)))</f>
        <v>Orange County</v>
      </c>
      <c r="B284" s="221" t="s">
        <v>218</v>
      </c>
      <c r="C284" s="222" t="s">
        <v>115</v>
      </c>
      <c r="D284" s="99">
        <v>0.875</v>
      </c>
    </row>
    <row r="285" spans="1:4" x14ac:dyDescent="0.35">
      <c r="A285" s="3" t="str">
        <f>IF(C285="","",(VLOOKUP($C285,KEY!$B$5:$D$74,3,FALSE)))</f>
        <v>Arizona</v>
      </c>
      <c r="B285" s="221" t="s">
        <v>218</v>
      </c>
      <c r="C285" s="222" t="s">
        <v>116</v>
      </c>
      <c r="D285" s="99">
        <v>0.75</v>
      </c>
    </row>
    <row r="286" spans="1:4" x14ac:dyDescent="0.35">
      <c r="A286" s="3" t="str">
        <f>IF(C286="","",(VLOOKUP($C286,KEY!$B$5:$D$74,3,FALSE)))</f>
        <v>Orange County</v>
      </c>
      <c r="B286" s="221" t="s">
        <v>218</v>
      </c>
      <c r="C286" s="222" t="s">
        <v>117</v>
      </c>
      <c r="D286" s="99">
        <v>1</v>
      </c>
    </row>
    <row r="287" spans="1:4" x14ac:dyDescent="0.35">
      <c r="A287" s="3" t="str">
        <f>IF(C287="","",(VLOOKUP($C287,KEY!$B$5:$D$74,3,FALSE)))</f>
        <v>Northern California</v>
      </c>
      <c r="B287" s="221" t="s">
        <v>218</v>
      </c>
      <c r="C287" s="222" t="s">
        <v>118</v>
      </c>
      <c r="D287" s="99">
        <v>0.5</v>
      </c>
    </row>
    <row r="288" spans="1:4" x14ac:dyDescent="0.35">
      <c r="A288" s="3" t="str">
        <f>IF(C288="","",(VLOOKUP($C288,KEY!$B$5:$D$74,3,FALSE)))</f>
        <v>Arizona</v>
      </c>
      <c r="B288" s="221" t="s">
        <v>218</v>
      </c>
      <c r="C288" s="222" t="s">
        <v>119</v>
      </c>
      <c r="D288" s="99">
        <v>0.75</v>
      </c>
    </row>
    <row r="289" spans="1:4" x14ac:dyDescent="0.35">
      <c r="A289" s="3" t="str">
        <f>IF(C289="","",(VLOOKUP($C289,KEY!$B$5:$D$74,3,FALSE)))</f>
        <v>Arizona</v>
      </c>
      <c r="B289" s="221" t="s">
        <v>218</v>
      </c>
      <c r="C289" s="222" t="s">
        <v>120</v>
      </c>
      <c r="D289" s="99">
        <v>1</v>
      </c>
    </row>
    <row r="290" spans="1:4" x14ac:dyDescent="0.35">
      <c r="A290" s="3" t="str">
        <f>IF(C290="","",(VLOOKUP($C290,KEY!$B$5:$D$74,3,FALSE)))</f>
        <v>Texas</v>
      </c>
      <c r="B290" s="221" t="s">
        <v>218</v>
      </c>
      <c r="C290" s="222" t="s">
        <v>121</v>
      </c>
      <c r="D290" s="99">
        <v>0.625</v>
      </c>
    </row>
    <row r="291" spans="1:4" x14ac:dyDescent="0.35">
      <c r="A291" s="3" t="str">
        <f>IF(C291="","",(VLOOKUP($C291,KEY!$B$5:$D$74,3,FALSE)))</f>
        <v>Southern California</v>
      </c>
      <c r="B291" s="221" t="s">
        <v>218</v>
      </c>
      <c r="C291" s="222" t="s">
        <v>122</v>
      </c>
      <c r="D291" s="99">
        <v>0.875</v>
      </c>
    </row>
    <row r="292" spans="1:4" x14ac:dyDescent="0.35">
      <c r="A292" s="3" t="str">
        <f>IF(C292="","",(VLOOKUP($C292,KEY!$B$5:$D$74,3,FALSE)))</f>
        <v>Orange County</v>
      </c>
      <c r="B292" s="221" t="s">
        <v>218</v>
      </c>
      <c r="C292" s="222" t="s">
        <v>123</v>
      </c>
      <c r="D292" s="99">
        <v>0.75</v>
      </c>
    </row>
    <row r="293" spans="1:4" x14ac:dyDescent="0.35">
      <c r="A293" s="3" t="str">
        <f>IF(C293="","",(VLOOKUP($C293,KEY!$B$5:$D$74,3,FALSE)))</f>
        <v>Southern California</v>
      </c>
      <c r="B293" s="221" t="s">
        <v>218</v>
      </c>
      <c r="C293" s="222" t="s">
        <v>124</v>
      </c>
      <c r="D293" s="99">
        <v>0.625</v>
      </c>
    </row>
    <row r="294" spans="1:4" x14ac:dyDescent="0.35">
      <c r="A294" s="3" t="str">
        <f>IF(C294="","",(VLOOKUP($C294,KEY!$B$5:$D$74,3,FALSE)))</f>
        <v>Northern California</v>
      </c>
      <c r="B294" s="221" t="s">
        <v>218</v>
      </c>
      <c r="C294" s="222" t="s">
        <v>195</v>
      </c>
      <c r="D294" s="99">
        <v>1</v>
      </c>
    </row>
    <row r="295" spans="1:4" x14ac:dyDescent="0.35">
      <c r="A295" s="3" t="str">
        <f>IF(C295="","",(VLOOKUP($C295,KEY!$B$5:$D$74,3,FALSE)))</f>
        <v>Northern California</v>
      </c>
      <c r="B295" s="221" t="s">
        <v>218</v>
      </c>
      <c r="C295" s="222" t="s">
        <v>125</v>
      </c>
      <c r="D295" s="99">
        <v>1</v>
      </c>
    </row>
    <row r="296" spans="1:4" x14ac:dyDescent="0.35">
      <c r="A296" s="3" t="str">
        <f>IF(C296="","",(VLOOKUP($C296,KEY!$B$5:$D$74,3,FALSE)))</f>
        <v>Orange County</v>
      </c>
      <c r="B296" s="221" t="s">
        <v>218</v>
      </c>
      <c r="C296" s="222" t="s">
        <v>126</v>
      </c>
      <c r="D296" s="99">
        <v>0.875</v>
      </c>
    </row>
    <row r="297" spans="1:4" x14ac:dyDescent="0.35">
      <c r="A297" s="3" t="str">
        <f>IF(C297="","",(VLOOKUP($C297,KEY!$B$5:$D$74,3,FALSE)))</f>
        <v>Orange County</v>
      </c>
      <c r="B297" s="221" t="s">
        <v>218</v>
      </c>
      <c r="C297" s="222" t="s">
        <v>127</v>
      </c>
      <c r="D297" s="99">
        <v>1</v>
      </c>
    </row>
    <row r="298" spans="1:4" x14ac:dyDescent="0.35">
      <c r="A298" s="3" t="str">
        <f>IF(C298="","",(VLOOKUP($C298,KEY!$B$5:$D$74,3,FALSE)))</f>
        <v>Texas</v>
      </c>
      <c r="B298" s="221" t="s">
        <v>218</v>
      </c>
      <c r="C298" s="222" t="s">
        <v>128</v>
      </c>
      <c r="D298" s="99">
        <v>1</v>
      </c>
    </row>
    <row r="299" spans="1:4" x14ac:dyDescent="0.35">
      <c r="A299" s="3" t="str">
        <f>IF(C299="","",(VLOOKUP($C299,KEY!$B$5:$D$74,3,FALSE)))</f>
        <v>Northern California</v>
      </c>
      <c r="B299" s="221" t="s">
        <v>218</v>
      </c>
      <c r="C299" s="222" t="s">
        <v>129</v>
      </c>
      <c r="D299" s="99">
        <v>1</v>
      </c>
    </row>
    <row r="300" spans="1:4" x14ac:dyDescent="0.35">
      <c r="A300" s="3" t="str">
        <f>IF(C300="","",(VLOOKUP($C300,KEY!$B$5:$D$74,3,FALSE)))</f>
        <v>Southern California</v>
      </c>
      <c r="B300" s="221" t="s">
        <v>218</v>
      </c>
      <c r="C300" s="222" t="s">
        <v>130</v>
      </c>
      <c r="D300" s="99">
        <v>1</v>
      </c>
    </row>
    <row r="301" spans="1:4" x14ac:dyDescent="0.35">
      <c r="A301" s="3">
        <f>IF(C301="","",(VLOOKUP($C301,KEY!$B$5:$D$74,3,FALSE)))</f>
        <v>0</v>
      </c>
      <c r="B301" s="221" t="s">
        <v>218</v>
      </c>
      <c r="C301" s="222" t="s">
        <v>131</v>
      </c>
      <c r="D301" s="99">
        <v>0.125</v>
      </c>
    </row>
    <row r="302" spans="1:4" x14ac:dyDescent="0.35">
      <c r="A302" s="3" t="e">
        <f>IF(C302="","",(VLOOKUP($C302,KEY!$B$5:$D$74,3,FALSE)))</f>
        <v>#N/A</v>
      </c>
      <c r="B302" s="221" t="s">
        <v>218</v>
      </c>
      <c r="C302" s="222" t="s">
        <v>134</v>
      </c>
      <c r="D302" s="99">
        <v>0.875</v>
      </c>
    </row>
    <row r="303" spans="1:4" x14ac:dyDescent="0.35">
      <c r="A303" s="3" t="str">
        <f>IF(C303="","",(VLOOKUP($C303,KEY!$B$5:$D$74,3,FALSE)))</f>
        <v>Southern California</v>
      </c>
      <c r="B303" s="221" t="s">
        <v>218</v>
      </c>
      <c r="C303" s="222" t="s">
        <v>135</v>
      </c>
      <c r="D303" s="99">
        <v>0.75</v>
      </c>
    </row>
    <row r="304" spans="1:4" x14ac:dyDescent="0.35">
      <c r="A304" s="3" t="str">
        <f>IF(C304="","",(VLOOKUP($C304,KEY!$B$5:$D$74,3,FALSE)))</f>
        <v>Arizona</v>
      </c>
      <c r="B304" s="221" t="s">
        <v>218</v>
      </c>
      <c r="C304" s="222" t="s">
        <v>196</v>
      </c>
      <c r="D304" s="99">
        <v>0.75</v>
      </c>
    </row>
    <row r="305" spans="1:4" x14ac:dyDescent="0.35">
      <c r="A305" s="3" t="str">
        <f>IF(C305="","",(VLOOKUP($C305,KEY!$B$5:$D$74,3,FALSE)))</f>
        <v>Arizona</v>
      </c>
      <c r="B305" s="221" t="s">
        <v>218</v>
      </c>
      <c r="C305" s="222" t="s">
        <v>197</v>
      </c>
      <c r="D305" s="99">
        <v>0.875</v>
      </c>
    </row>
    <row r="306" spans="1:4" x14ac:dyDescent="0.35">
      <c r="A306" s="3" t="str">
        <f>IF(C306="","",(VLOOKUP($C306,KEY!$B$5:$D$74,3,FALSE)))</f>
        <v>Texas</v>
      </c>
      <c r="B306" s="221" t="s">
        <v>218</v>
      </c>
      <c r="C306" s="222" t="s">
        <v>136</v>
      </c>
      <c r="D306" s="99">
        <v>0.25</v>
      </c>
    </row>
    <row r="307" spans="1:4" x14ac:dyDescent="0.35">
      <c r="A307" s="3" t="str">
        <f>IF(C307="","",(VLOOKUP($C307,KEY!$B$5:$D$74,3,FALSE)))</f>
        <v>Arizona</v>
      </c>
      <c r="B307" s="221" t="s">
        <v>218</v>
      </c>
      <c r="C307" s="222" t="s">
        <v>137</v>
      </c>
      <c r="D307" s="99">
        <v>0.875</v>
      </c>
    </row>
    <row r="308" spans="1:4" x14ac:dyDescent="0.35">
      <c r="A308" s="3" t="str">
        <f>IF(C308="","",(VLOOKUP($C308,KEY!$B$5:$D$74,3,FALSE)))</f>
        <v>Texas</v>
      </c>
      <c r="B308" s="221" t="s">
        <v>218</v>
      </c>
      <c r="C308" s="222" t="s">
        <v>138</v>
      </c>
      <c r="D308" s="99">
        <v>0.625</v>
      </c>
    </row>
    <row r="309" spans="1:4" x14ac:dyDescent="0.35">
      <c r="A309" s="3" t="str">
        <f>IF(C309="","",(VLOOKUP($C309,KEY!$B$5:$D$74,3,FALSE)))</f>
        <v>Southern California</v>
      </c>
      <c r="B309" s="221" t="s">
        <v>218</v>
      </c>
      <c r="C309" s="222" t="s">
        <v>139</v>
      </c>
      <c r="D309" s="99">
        <v>0.625</v>
      </c>
    </row>
    <row r="310" spans="1:4" x14ac:dyDescent="0.35">
      <c r="A310" s="3" t="str">
        <f>IF(C310="","",(VLOOKUP($C310,KEY!$B$5:$D$74,3,FALSE)))</f>
        <v>Orange County</v>
      </c>
      <c r="B310" s="221" t="s">
        <v>218</v>
      </c>
      <c r="C310" s="222" t="s">
        <v>140</v>
      </c>
      <c r="D310" s="99">
        <v>0.875</v>
      </c>
    </row>
    <row r="311" spans="1:4" x14ac:dyDescent="0.35">
      <c r="A311" s="3" t="str">
        <f>IF(C311="","",(VLOOKUP($C311,KEY!$B$5:$D$74,3,FALSE)))</f>
        <v>Southern California</v>
      </c>
      <c r="B311" s="221" t="s">
        <v>218</v>
      </c>
      <c r="C311" s="222" t="s">
        <v>142</v>
      </c>
      <c r="D311" s="99">
        <v>0.75</v>
      </c>
    </row>
    <row r="312" spans="1:4" x14ac:dyDescent="0.35">
      <c r="A312" s="3" t="str">
        <f>IF(C312="","",(VLOOKUP($C312,KEY!$B$5:$D$74,3,FALSE)))</f>
        <v>Arizona</v>
      </c>
      <c r="B312" s="221" t="s">
        <v>218</v>
      </c>
      <c r="C312" s="222" t="s">
        <v>143</v>
      </c>
      <c r="D312" s="99">
        <v>1</v>
      </c>
    </row>
    <row r="313" spans="1:4" x14ac:dyDescent="0.35">
      <c r="A313" s="3" t="str">
        <f>IF(C313="","",(VLOOKUP($C313,KEY!$B$5:$D$74,3,FALSE)))</f>
        <v>Arizona</v>
      </c>
      <c r="B313" s="221" t="s">
        <v>218</v>
      </c>
      <c r="C313" s="222" t="s">
        <v>144</v>
      </c>
      <c r="D313" s="99">
        <v>0.75</v>
      </c>
    </row>
    <row r="314" spans="1:4" x14ac:dyDescent="0.35">
      <c r="A314" s="3" t="str">
        <f>IF(C314="","",(VLOOKUP($C314,KEY!$B$5:$D$74,3,FALSE)))</f>
        <v>Southern California</v>
      </c>
      <c r="B314" s="221" t="s">
        <v>218</v>
      </c>
      <c r="C314" s="222" t="s">
        <v>145</v>
      </c>
      <c r="D314" s="99">
        <v>0.625</v>
      </c>
    </row>
    <row r="315" spans="1:4" x14ac:dyDescent="0.35">
      <c r="A315" s="3" t="str">
        <f>IF(C315="","",(VLOOKUP($C315,KEY!$B$5:$D$74,3,FALSE)))</f>
        <v>Arizona</v>
      </c>
      <c r="B315" s="221" t="s">
        <v>218</v>
      </c>
      <c r="C315" s="222" t="s">
        <v>146</v>
      </c>
      <c r="D315" s="99">
        <v>1</v>
      </c>
    </row>
    <row r="316" spans="1:4" x14ac:dyDescent="0.35">
      <c r="A316" s="3" t="str">
        <f>IF(C316="","",(VLOOKUP($C316,KEY!$B$5:$D$74,3,FALSE)))</f>
        <v>Texas</v>
      </c>
      <c r="B316" s="221" t="s">
        <v>218</v>
      </c>
      <c r="C316" s="222" t="s">
        <v>147</v>
      </c>
      <c r="D316" s="99">
        <v>1</v>
      </c>
    </row>
    <row r="317" spans="1:4" x14ac:dyDescent="0.35">
      <c r="A317" s="3" t="str">
        <f>IF(C317="","",(VLOOKUP($C317,KEY!$B$5:$D$74,3,FALSE)))</f>
        <v>Northern California</v>
      </c>
      <c r="B317" s="221" t="s">
        <v>218</v>
      </c>
      <c r="C317" s="222" t="s">
        <v>148</v>
      </c>
      <c r="D317" s="99">
        <v>0.625</v>
      </c>
    </row>
    <row r="318" spans="1:4" x14ac:dyDescent="0.35">
      <c r="A318" s="3" t="str">
        <f>IF(C318="","",(VLOOKUP($C318,KEY!$B$5:$D$74,3,FALSE)))</f>
        <v>Orange County</v>
      </c>
      <c r="B318" s="221" t="s">
        <v>218</v>
      </c>
      <c r="C318" s="222" t="s">
        <v>149</v>
      </c>
      <c r="D318" s="99">
        <v>0.875</v>
      </c>
    </row>
    <row r="319" spans="1:4" x14ac:dyDescent="0.35">
      <c r="A319" s="3" t="str">
        <f>IF(C319="","",(VLOOKUP($C319,KEY!$B$5:$D$74,3,FALSE)))</f>
        <v>Southern California</v>
      </c>
      <c r="B319" s="221" t="s">
        <v>218</v>
      </c>
      <c r="C319" s="222" t="s">
        <v>150</v>
      </c>
      <c r="D319" s="99">
        <v>0.75</v>
      </c>
    </row>
    <row r="320" spans="1:4" x14ac:dyDescent="0.35">
      <c r="A320" s="3" t="str">
        <f>IF(C320="","",(VLOOKUP($C320,KEY!$B$5:$D$74,3,FALSE)))</f>
        <v>Arizona</v>
      </c>
      <c r="B320" s="221" t="s">
        <v>218</v>
      </c>
      <c r="C320" s="222" t="s">
        <v>151</v>
      </c>
      <c r="D320" s="99">
        <v>0.875</v>
      </c>
    </row>
    <row r="321" spans="1:4" x14ac:dyDescent="0.35">
      <c r="A321" s="3" t="str">
        <f>IF(C321="","",(VLOOKUP($C321,KEY!$B$5:$D$74,3,FALSE)))</f>
        <v>Northern California</v>
      </c>
      <c r="B321" s="221" t="s">
        <v>218</v>
      </c>
      <c r="C321" s="222" t="s">
        <v>152</v>
      </c>
      <c r="D321" s="99">
        <v>0.625</v>
      </c>
    </row>
    <row r="322" spans="1:4" x14ac:dyDescent="0.35">
      <c r="A322" s="3" t="str">
        <f>IF(C322="","",(VLOOKUP($C322,KEY!$B$5:$D$74,3,FALSE)))</f>
        <v>Arizona</v>
      </c>
      <c r="B322" s="221" t="s">
        <v>218</v>
      </c>
      <c r="C322" s="222" t="s">
        <v>153</v>
      </c>
      <c r="D322" s="99">
        <v>0.875</v>
      </c>
    </row>
    <row r="323" spans="1:4" x14ac:dyDescent="0.35">
      <c r="A323" s="3" t="str">
        <f>IF(C323="","",(VLOOKUP($C323,KEY!$B$5:$D$74,3,FALSE)))</f>
        <v>Northern California</v>
      </c>
      <c r="B323" s="221" t="s">
        <v>218</v>
      </c>
      <c r="C323" s="222" t="s">
        <v>154</v>
      </c>
      <c r="D323" s="99">
        <v>0.875</v>
      </c>
    </row>
    <row r="324" spans="1:4" x14ac:dyDescent="0.35">
      <c r="A324" s="3" t="str">
        <f>IF(C324="","",(VLOOKUP($C324,KEY!$B$5:$D$74,3,FALSE)))</f>
        <v>Texas</v>
      </c>
      <c r="B324" s="221" t="s">
        <v>218</v>
      </c>
      <c r="C324" s="222" t="s">
        <v>155</v>
      </c>
      <c r="D324" s="99">
        <v>0.625</v>
      </c>
    </row>
    <row r="325" spans="1:4" x14ac:dyDescent="0.35">
      <c r="A325" s="3" t="str">
        <f>IF(C325="","",(VLOOKUP($C325,KEY!$B$5:$D$74,3,FALSE)))</f>
        <v>Texas</v>
      </c>
      <c r="B325" s="221" t="s">
        <v>218</v>
      </c>
      <c r="C325" s="222" t="s">
        <v>156</v>
      </c>
      <c r="D325" s="99">
        <v>0.5</v>
      </c>
    </row>
    <row r="326" spans="1:4" x14ac:dyDescent="0.35">
      <c r="A326" s="3" t="str">
        <f>IF(C326="","",(VLOOKUP($C326,KEY!$B$5:$D$74,3,FALSE)))</f>
        <v>Texas</v>
      </c>
      <c r="B326" s="221" t="s">
        <v>218</v>
      </c>
      <c r="C326" s="222" t="s">
        <v>157</v>
      </c>
      <c r="D326" s="99">
        <v>0.875</v>
      </c>
    </row>
    <row r="327" spans="1:4" x14ac:dyDescent="0.35">
      <c r="A327" s="3" t="str">
        <f>IF(C327="","",(VLOOKUP($C327,KEY!$B$5:$D$74,3,FALSE)))</f>
        <v>Arizona</v>
      </c>
      <c r="B327" s="221" t="s">
        <v>218</v>
      </c>
      <c r="C327" s="222" t="s">
        <v>158</v>
      </c>
      <c r="D327" s="99">
        <v>0.5</v>
      </c>
    </row>
    <row r="328" spans="1:4" x14ac:dyDescent="0.35">
      <c r="A328" s="3" t="str">
        <f>IF(C328="","",(VLOOKUP($C328,KEY!$B$5:$D$74,3,FALSE)))</f>
        <v>Orange County</v>
      </c>
      <c r="B328" s="221" t="s">
        <v>218</v>
      </c>
      <c r="C328" s="222" t="s">
        <v>159</v>
      </c>
      <c r="D328" s="99">
        <v>1</v>
      </c>
    </row>
    <row r="329" spans="1:4" x14ac:dyDescent="0.35">
      <c r="A329" s="3" t="str">
        <f>IF(C329="","",(VLOOKUP($C329,KEY!$B$5:$D$74,3,FALSE)))</f>
        <v>Arizona</v>
      </c>
      <c r="B329" s="221" t="s">
        <v>218</v>
      </c>
      <c r="C329" s="222" t="s">
        <v>160</v>
      </c>
      <c r="D329" s="99">
        <v>0.75</v>
      </c>
    </row>
    <row r="330" spans="1:4" x14ac:dyDescent="0.35">
      <c r="A330" s="3" t="str">
        <f>IF(C330="","",(VLOOKUP($C330,KEY!$B$5:$D$74,3,FALSE)))</f>
        <v>Northern California</v>
      </c>
      <c r="B330" s="221" t="s">
        <v>218</v>
      </c>
      <c r="C330" s="222" t="s">
        <v>161</v>
      </c>
      <c r="D330" s="99">
        <v>1</v>
      </c>
    </row>
    <row r="331" spans="1:4" x14ac:dyDescent="0.35">
      <c r="A331" s="3" t="e">
        <f>IF(C331="","",(VLOOKUP($C331,KEY!$B$5:$D$74,3,FALSE)))</f>
        <v>#N/A</v>
      </c>
      <c r="B331" s="221" t="s">
        <v>218</v>
      </c>
      <c r="C331" s="222" t="s">
        <v>162</v>
      </c>
      <c r="D331" s="99">
        <v>1</v>
      </c>
    </row>
    <row r="332" spans="1:4" x14ac:dyDescent="0.35">
      <c r="A332" s="3" t="str">
        <f>IF(C332="","",(VLOOKUP($C332,KEY!$B$5:$D$74,3,FALSE)))</f>
        <v>Arizona</v>
      </c>
      <c r="B332" s="221" t="s">
        <v>218</v>
      </c>
      <c r="C332" s="222" t="s">
        <v>163</v>
      </c>
      <c r="D332" s="99">
        <v>0.75</v>
      </c>
    </row>
    <row r="333" spans="1:4" x14ac:dyDescent="0.35">
      <c r="A333" s="3" t="str">
        <f>IF(C333="","",(VLOOKUP($C333,KEY!$B$5:$D$74,3,FALSE)))</f>
        <v>Arizona</v>
      </c>
      <c r="B333" s="221" t="s">
        <v>218</v>
      </c>
      <c r="C333" s="222" t="s">
        <v>164</v>
      </c>
      <c r="D333" s="99">
        <v>0.625</v>
      </c>
    </row>
    <row r="334" spans="1:4" x14ac:dyDescent="0.35">
      <c r="A334" s="3" t="str">
        <f>IF(C334="","",(VLOOKUP($C334,KEY!$B$5:$D$74,3,FALSE)))</f>
        <v>Orange County</v>
      </c>
      <c r="B334" s="221" t="s">
        <v>218</v>
      </c>
      <c r="C334" s="222" t="s">
        <v>165</v>
      </c>
      <c r="D334" s="99">
        <v>1</v>
      </c>
    </row>
    <row r="335" spans="1:4" x14ac:dyDescent="0.35">
      <c r="A335" s="3" t="str">
        <f>IF(C335="","",(VLOOKUP($C335,KEY!$B$5:$D$74,3,FALSE)))</f>
        <v>Arizona</v>
      </c>
      <c r="B335" s="221" t="s">
        <v>219</v>
      </c>
      <c r="C335" s="222" t="s">
        <v>111</v>
      </c>
      <c r="D335" s="99">
        <v>1</v>
      </c>
    </row>
    <row r="336" spans="1:4" x14ac:dyDescent="0.35">
      <c r="A336" s="3" t="str">
        <f>IF(C336="","",(VLOOKUP($C336,KEY!$B$5:$D$74,3,FALSE)))</f>
        <v>Southern California</v>
      </c>
      <c r="B336" s="221" t="s">
        <v>219</v>
      </c>
      <c r="C336" s="222" t="s">
        <v>112</v>
      </c>
      <c r="D336" s="99">
        <v>0.625</v>
      </c>
    </row>
    <row r="337" spans="1:4" x14ac:dyDescent="0.35">
      <c r="A337" s="3" t="str">
        <f>IF(C337="","",(VLOOKUP($C337,KEY!$B$5:$D$74,3,FALSE)))</f>
        <v>Arizona</v>
      </c>
      <c r="B337" s="221" t="s">
        <v>219</v>
      </c>
      <c r="C337" s="222" t="s">
        <v>113</v>
      </c>
      <c r="D337" s="99">
        <v>1</v>
      </c>
    </row>
    <row r="338" spans="1:4" x14ac:dyDescent="0.35">
      <c r="A338" s="3" t="str">
        <f>IF(C338="","",(VLOOKUP($C338,KEY!$B$5:$D$74,3,FALSE)))</f>
        <v>Southern California</v>
      </c>
      <c r="B338" s="221" t="s">
        <v>219</v>
      </c>
      <c r="C338" s="222" t="s">
        <v>114</v>
      </c>
      <c r="D338" s="99">
        <v>1</v>
      </c>
    </row>
    <row r="339" spans="1:4" x14ac:dyDescent="0.35">
      <c r="A339" s="3" t="str">
        <f>IF(C339="","",(VLOOKUP($C339,KEY!$B$5:$D$74,3,FALSE)))</f>
        <v>Orange County</v>
      </c>
      <c r="B339" s="221" t="s">
        <v>219</v>
      </c>
      <c r="C339" s="222" t="s">
        <v>115</v>
      </c>
      <c r="D339" s="99">
        <v>1</v>
      </c>
    </row>
    <row r="340" spans="1:4" x14ac:dyDescent="0.35">
      <c r="A340" s="3" t="str">
        <f>IF(C340="","",(VLOOKUP($C340,KEY!$B$5:$D$74,3,FALSE)))</f>
        <v>Arizona</v>
      </c>
      <c r="B340" s="221" t="s">
        <v>219</v>
      </c>
      <c r="C340" s="222" t="s">
        <v>116</v>
      </c>
      <c r="D340" s="99">
        <v>0.875</v>
      </c>
    </row>
    <row r="341" spans="1:4" x14ac:dyDescent="0.35">
      <c r="A341" s="3" t="str">
        <f>IF(C341="","",(VLOOKUP($C341,KEY!$B$5:$D$74,3,FALSE)))</f>
        <v>Northern California</v>
      </c>
      <c r="B341" s="221" t="s">
        <v>219</v>
      </c>
      <c r="C341" s="222" t="s">
        <v>118</v>
      </c>
      <c r="D341" s="99">
        <v>1</v>
      </c>
    </row>
    <row r="342" spans="1:4" x14ac:dyDescent="0.35">
      <c r="A342" s="3" t="str">
        <f>IF(C342="","",(VLOOKUP($C342,KEY!$B$5:$D$74,3,FALSE)))</f>
        <v>Orange County</v>
      </c>
      <c r="B342" s="221" t="s">
        <v>219</v>
      </c>
      <c r="C342" s="222" t="s">
        <v>117</v>
      </c>
      <c r="D342" s="99">
        <v>1</v>
      </c>
    </row>
    <row r="343" spans="1:4" x14ac:dyDescent="0.35">
      <c r="A343" s="3" t="str">
        <f>IF(C343="","",(VLOOKUP($C343,KEY!$B$5:$D$74,3,FALSE)))</f>
        <v>Arizona</v>
      </c>
      <c r="B343" s="221" t="s">
        <v>219</v>
      </c>
      <c r="C343" s="222" t="s">
        <v>119</v>
      </c>
      <c r="D343" s="99">
        <v>0.875</v>
      </c>
    </row>
    <row r="344" spans="1:4" x14ac:dyDescent="0.35">
      <c r="A344" s="3" t="str">
        <f>IF(C344="","",(VLOOKUP($C344,KEY!$B$5:$D$74,3,FALSE)))</f>
        <v>Arizona</v>
      </c>
      <c r="B344" s="221" t="s">
        <v>219</v>
      </c>
      <c r="C344" s="222" t="s">
        <v>120</v>
      </c>
      <c r="D344" s="99">
        <v>1</v>
      </c>
    </row>
    <row r="345" spans="1:4" x14ac:dyDescent="0.35">
      <c r="A345" s="3" t="str">
        <f>IF(C345="","",(VLOOKUP($C345,KEY!$B$5:$D$74,3,FALSE)))</f>
        <v>Texas</v>
      </c>
      <c r="B345" s="221" t="s">
        <v>219</v>
      </c>
      <c r="C345" s="222" t="s">
        <v>121</v>
      </c>
      <c r="D345" s="99">
        <v>0.5</v>
      </c>
    </row>
    <row r="346" spans="1:4" x14ac:dyDescent="0.35">
      <c r="A346" s="3" t="str">
        <f>IF(C346="","",(VLOOKUP($C346,KEY!$B$5:$D$74,3,FALSE)))</f>
        <v>Southern California</v>
      </c>
      <c r="B346" s="221" t="s">
        <v>219</v>
      </c>
      <c r="C346" s="222" t="s">
        <v>122</v>
      </c>
      <c r="D346" s="99">
        <v>0.75</v>
      </c>
    </row>
    <row r="347" spans="1:4" x14ac:dyDescent="0.35">
      <c r="A347" s="3" t="str">
        <f>IF(C347="","",(VLOOKUP($C347,KEY!$B$5:$D$74,3,FALSE)))</f>
        <v>Orange County</v>
      </c>
      <c r="B347" s="221" t="s">
        <v>219</v>
      </c>
      <c r="C347" s="222" t="s">
        <v>123</v>
      </c>
      <c r="D347" s="99">
        <v>1</v>
      </c>
    </row>
    <row r="348" spans="1:4" x14ac:dyDescent="0.35">
      <c r="A348" s="3" t="str">
        <f>IF(C348="","",(VLOOKUP($C348,KEY!$B$5:$D$74,3,FALSE)))</f>
        <v>Southern California</v>
      </c>
      <c r="B348" s="221" t="s">
        <v>219</v>
      </c>
      <c r="C348" s="222" t="s">
        <v>124</v>
      </c>
      <c r="D348" s="99">
        <v>0.875</v>
      </c>
    </row>
    <row r="349" spans="1:4" x14ac:dyDescent="0.35">
      <c r="A349" s="3" t="str">
        <f>IF(C349="","",(VLOOKUP($C349,KEY!$B$5:$D$74,3,FALSE)))</f>
        <v>Northern California</v>
      </c>
      <c r="B349" s="221" t="s">
        <v>219</v>
      </c>
      <c r="C349" s="222" t="s">
        <v>195</v>
      </c>
      <c r="D349" s="99">
        <v>0.75</v>
      </c>
    </row>
    <row r="350" spans="1:4" x14ac:dyDescent="0.35">
      <c r="A350" s="3" t="str">
        <f>IF(C350="","",(VLOOKUP($C350,KEY!$B$5:$D$74,3,FALSE)))</f>
        <v>Northern California</v>
      </c>
      <c r="B350" s="221" t="s">
        <v>219</v>
      </c>
      <c r="C350" s="222" t="s">
        <v>125</v>
      </c>
      <c r="D350" s="99">
        <v>1</v>
      </c>
    </row>
    <row r="351" spans="1:4" x14ac:dyDescent="0.35">
      <c r="A351" s="3" t="str">
        <f>IF(C351="","",(VLOOKUP($C351,KEY!$B$5:$D$74,3,FALSE)))</f>
        <v>Orange County</v>
      </c>
      <c r="B351" s="221" t="s">
        <v>219</v>
      </c>
      <c r="C351" s="222" t="s">
        <v>126</v>
      </c>
      <c r="D351" s="99">
        <v>1</v>
      </c>
    </row>
    <row r="352" spans="1:4" x14ac:dyDescent="0.35">
      <c r="A352" s="3" t="str">
        <f>IF(C352="","",(VLOOKUP($C352,KEY!$B$5:$D$74,3,FALSE)))</f>
        <v>Orange County</v>
      </c>
      <c r="B352" s="221" t="s">
        <v>219</v>
      </c>
      <c r="C352" s="222" t="s">
        <v>127</v>
      </c>
      <c r="D352" s="99">
        <v>0.875</v>
      </c>
    </row>
    <row r="353" spans="1:4" x14ac:dyDescent="0.35">
      <c r="A353" s="3" t="str">
        <f>IF(C353="","",(VLOOKUP($C353,KEY!$B$5:$D$74,3,FALSE)))</f>
        <v>Texas</v>
      </c>
      <c r="B353" s="221" t="s">
        <v>219</v>
      </c>
      <c r="C353" s="222" t="s">
        <v>128</v>
      </c>
      <c r="D353" s="99">
        <v>0.75</v>
      </c>
    </row>
    <row r="354" spans="1:4" x14ac:dyDescent="0.35">
      <c r="A354" s="3" t="str">
        <f>IF(C354="","",(VLOOKUP($C354,KEY!$B$5:$D$74,3,FALSE)))</f>
        <v>Northern California</v>
      </c>
      <c r="B354" s="221" t="s">
        <v>219</v>
      </c>
      <c r="C354" s="222" t="s">
        <v>129</v>
      </c>
      <c r="D354" s="99">
        <v>0.875</v>
      </c>
    </row>
    <row r="355" spans="1:4" x14ac:dyDescent="0.35">
      <c r="A355" s="3" t="str">
        <f>IF(C355="","",(VLOOKUP($C355,KEY!$B$5:$D$74,3,FALSE)))</f>
        <v>Southern California</v>
      </c>
      <c r="B355" s="221" t="s">
        <v>219</v>
      </c>
      <c r="C355" s="222" t="s">
        <v>130</v>
      </c>
      <c r="D355" s="99">
        <v>0.875</v>
      </c>
    </row>
    <row r="356" spans="1:4" x14ac:dyDescent="0.35">
      <c r="A356" s="3">
        <f>IF(C356="","",(VLOOKUP($C356,KEY!$B$5:$D$74,3,FALSE)))</f>
        <v>0</v>
      </c>
      <c r="B356" s="221" t="s">
        <v>219</v>
      </c>
      <c r="C356" s="222" t="s">
        <v>131</v>
      </c>
      <c r="D356" s="99">
        <v>0.25</v>
      </c>
    </row>
    <row r="357" spans="1:4" x14ac:dyDescent="0.35">
      <c r="A357" s="3" t="e">
        <f>IF(C357="","",(VLOOKUP($C357,KEY!$B$5:$D$74,3,FALSE)))</f>
        <v>#N/A</v>
      </c>
      <c r="B357" s="221" t="s">
        <v>219</v>
      </c>
      <c r="C357" s="222" t="s">
        <v>134</v>
      </c>
      <c r="D357" s="99">
        <v>0.875</v>
      </c>
    </row>
    <row r="358" spans="1:4" x14ac:dyDescent="0.35">
      <c r="A358" s="3" t="str">
        <f>IF(C358="","",(VLOOKUP($C358,KEY!$B$5:$D$74,3,FALSE)))</f>
        <v>Southern California</v>
      </c>
      <c r="B358" s="221" t="s">
        <v>219</v>
      </c>
      <c r="C358" s="222" t="s">
        <v>135</v>
      </c>
      <c r="D358" s="99">
        <v>1</v>
      </c>
    </row>
    <row r="359" spans="1:4" x14ac:dyDescent="0.35">
      <c r="A359" s="3" t="str">
        <f>IF(C359="","",(VLOOKUP($C359,KEY!$B$5:$D$74,3,FALSE)))</f>
        <v>Arizona</v>
      </c>
      <c r="B359" s="221" t="s">
        <v>219</v>
      </c>
      <c r="C359" s="222" t="s">
        <v>196</v>
      </c>
      <c r="D359" s="99">
        <v>0.75</v>
      </c>
    </row>
    <row r="360" spans="1:4" x14ac:dyDescent="0.35">
      <c r="A360" s="3" t="str">
        <f>IF(C360="","",(VLOOKUP($C360,KEY!$B$5:$D$74,3,FALSE)))</f>
        <v>Arizona</v>
      </c>
      <c r="B360" s="221" t="s">
        <v>219</v>
      </c>
      <c r="C360" s="222" t="s">
        <v>197</v>
      </c>
      <c r="D360" s="99">
        <v>1</v>
      </c>
    </row>
    <row r="361" spans="1:4" x14ac:dyDescent="0.35">
      <c r="A361" s="3" t="str">
        <f>IF(C361="","",(VLOOKUP($C361,KEY!$B$5:$D$74,3,FALSE)))</f>
        <v>Texas</v>
      </c>
      <c r="B361" s="221" t="s">
        <v>219</v>
      </c>
      <c r="C361" s="222" t="s">
        <v>136</v>
      </c>
      <c r="D361" s="99">
        <v>0.875</v>
      </c>
    </row>
    <row r="362" spans="1:4" x14ac:dyDescent="0.35">
      <c r="A362" s="3" t="str">
        <f>IF(C362="","",(VLOOKUP($C362,KEY!$B$5:$D$74,3,FALSE)))</f>
        <v>Arizona</v>
      </c>
      <c r="B362" s="221" t="s">
        <v>219</v>
      </c>
      <c r="C362" s="222" t="s">
        <v>137</v>
      </c>
      <c r="D362" s="99">
        <v>0.75</v>
      </c>
    </row>
    <row r="363" spans="1:4" x14ac:dyDescent="0.35">
      <c r="A363" s="3" t="str">
        <f>IF(C363="","",(VLOOKUP($C363,KEY!$B$5:$D$74,3,FALSE)))</f>
        <v>Texas</v>
      </c>
      <c r="B363" s="221" t="s">
        <v>219</v>
      </c>
      <c r="C363" s="222" t="s">
        <v>138</v>
      </c>
      <c r="D363" s="99">
        <v>0.75</v>
      </c>
    </row>
    <row r="364" spans="1:4" x14ac:dyDescent="0.35">
      <c r="A364" s="3" t="str">
        <f>IF(C364="","",(VLOOKUP($C364,KEY!$B$5:$D$74,3,FALSE)))</f>
        <v>Southern California</v>
      </c>
      <c r="B364" s="221" t="s">
        <v>219</v>
      </c>
      <c r="C364" s="222" t="s">
        <v>139</v>
      </c>
      <c r="D364" s="99">
        <v>0.75</v>
      </c>
    </row>
    <row r="365" spans="1:4" x14ac:dyDescent="0.35">
      <c r="A365" s="3" t="str">
        <f>IF(C365="","",(VLOOKUP($C365,KEY!$B$5:$D$74,3,FALSE)))</f>
        <v>Orange County</v>
      </c>
      <c r="B365" s="221" t="s">
        <v>219</v>
      </c>
      <c r="C365" s="222" t="s">
        <v>140</v>
      </c>
      <c r="D365" s="99">
        <v>1</v>
      </c>
    </row>
    <row r="366" spans="1:4" x14ac:dyDescent="0.35">
      <c r="A366" s="3" t="str">
        <f>IF(C366="","",(VLOOKUP($C366,KEY!$B$5:$D$74,3,FALSE)))</f>
        <v>Southern California</v>
      </c>
      <c r="B366" s="221" t="s">
        <v>219</v>
      </c>
      <c r="C366" s="222" t="s">
        <v>142</v>
      </c>
      <c r="D366" s="99">
        <v>0.75</v>
      </c>
    </row>
    <row r="367" spans="1:4" x14ac:dyDescent="0.35">
      <c r="A367" s="3" t="str">
        <f>IF(C367="","",(VLOOKUP($C367,KEY!$B$5:$D$74,3,FALSE)))</f>
        <v>Arizona</v>
      </c>
      <c r="B367" s="221" t="s">
        <v>219</v>
      </c>
      <c r="C367" s="222" t="s">
        <v>143</v>
      </c>
      <c r="D367" s="99">
        <v>1</v>
      </c>
    </row>
    <row r="368" spans="1:4" x14ac:dyDescent="0.35">
      <c r="A368" s="3" t="str">
        <f>IF(C368="","",(VLOOKUP($C368,KEY!$B$5:$D$74,3,FALSE)))</f>
        <v>Arizona</v>
      </c>
      <c r="B368" s="221" t="s">
        <v>219</v>
      </c>
      <c r="C368" s="222" t="s">
        <v>144</v>
      </c>
      <c r="D368" s="99">
        <v>0.25</v>
      </c>
    </row>
    <row r="369" spans="1:4" x14ac:dyDescent="0.35">
      <c r="A369" s="3" t="str">
        <f>IF(C369="","",(VLOOKUP($C369,KEY!$B$5:$D$74,3,FALSE)))</f>
        <v>Southern California</v>
      </c>
      <c r="B369" s="221" t="s">
        <v>219</v>
      </c>
      <c r="C369" s="222" t="s">
        <v>145</v>
      </c>
      <c r="D369" s="99">
        <v>0.625</v>
      </c>
    </row>
    <row r="370" spans="1:4" x14ac:dyDescent="0.35">
      <c r="A370" s="3" t="str">
        <f>IF(C370="","",(VLOOKUP($C370,KEY!$B$5:$D$74,3,FALSE)))</f>
        <v>Arizona</v>
      </c>
      <c r="B370" s="221" t="s">
        <v>219</v>
      </c>
      <c r="C370" s="222" t="s">
        <v>146</v>
      </c>
      <c r="D370" s="99">
        <v>1</v>
      </c>
    </row>
    <row r="371" spans="1:4" x14ac:dyDescent="0.35">
      <c r="A371" s="3" t="str">
        <f>IF(C371="","",(VLOOKUP($C371,KEY!$B$5:$D$74,3,FALSE)))</f>
        <v>Texas</v>
      </c>
      <c r="B371" s="221" t="s">
        <v>219</v>
      </c>
      <c r="C371" s="222" t="s">
        <v>147</v>
      </c>
      <c r="D371" s="99">
        <v>0.625</v>
      </c>
    </row>
    <row r="372" spans="1:4" x14ac:dyDescent="0.35">
      <c r="A372" s="3" t="str">
        <f>IF(C372="","",(VLOOKUP($C372,KEY!$B$5:$D$74,3,FALSE)))</f>
        <v>Northern California</v>
      </c>
      <c r="B372" s="221" t="s">
        <v>219</v>
      </c>
      <c r="C372" s="222" t="s">
        <v>148</v>
      </c>
      <c r="D372" s="99">
        <v>0.5</v>
      </c>
    </row>
    <row r="373" spans="1:4" x14ac:dyDescent="0.35">
      <c r="A373" s="3" t="str">
        <f>IF(C373="","",(VLOOKUP($C373,KEY!$B$5:$D$74,3,FALSE)))</f>
        <v>Orange County</v>
      </c>
      <c r="B373" s="221" t="s">
        <v>219</v>
      </c>
      <c r="C373" s="222" t="s">
        <v>149</v>
      </c>
      <c r="D373" s="99">
        <v>0.875</v>
      </c>
    </row>
    <row r="374" spans="1:4" x14ac:dyDescent="0.35">
      <c r="A374" s="3" t="str">
        <f>IF(C374="","",(VLOOKUP($C374,KEY!$B$5:$D$74,3,FALSE)))</f>
        <v>Southern California</v>
      </c>
      <c r="B374" s="221" t="s">
        <v>219</v>
      </c>
      <c r="C374" s="222" t="s">
        <v>150</v>
      </c>
      <c r="D374" s="99">
        <v>1</v>
      </c>
    </row>
    <row r="375" spans="1:4" x14ac:dyDescent="0.35">
      <c r="A375" s="3" t="str">
        <f>IF(C375="","",(VLOOKUP($C375,KEY!$B$5:$D$74,3,FALSE)))</f>
        <v>Arizona</v>
      </c>
      <c r="B375" s="221" t="s">
        <v>219</v>
      </c>
      <c r="C375" s="222" t="s">
        <v>151</v>
      </c>
      <c r="D375" s="99">
        <v>0.875</v>
      </c>
    </row>
    <row r="376" spans="1:4" x14ac:dyDescent="0.35">
      <c r="A376" s="3" t="str">
        <f>IF(C376="","",(VLOOKUP($C376,KEY!$B$5:$D$74,3,FALSE)))</f>
        <v>Northern California</v>
      </c>
      <c r="B376" s="221" t="s">
        <v>219</v>
      </c>
      <c r="C376" s="222" t="s">
        <v>152</v>
      </c>
      <c r="D376" s="99">
        <v>0.625</v>
      </c>
    </row>
    <row r="377" spans="1:4" x14ac:dyDescent="0.35">
      <c r="A377" s="3" t="str">
        <f>IF(C377="","",(VLOOKUP($C377,KEY!$B$5:$D$74,3,FALSE)))</f>
        <v>Arizona</v>
      </c>
      <c r="B377" s="221" t="s">
        <v>219</v>
      </c>
      <c r="C377" s="222" t="s">
        <v>153</v>
      </c>
      <c r="D377" s="99">
        <v>1</v>
      </c>
    </row>
    <row r="378" spans="1:4" x14ac:dyDescent="0.35">
      <c r="A378" s="3" t="str">
        <f>IF(C378="","",(VLOOKUP($C378,KEY!$B$5:$D$74,3,FALSE)))</f>
        <v>Northern California</v>
      </c>
      <c r="B378" s="221" t="s">
        <v>219</v>
      </c>
      <c r="C378" s="222" t="s">
        <v>154</v>
      </c>
      <c r="D378" s="99">
        <v>0.875</v>
      </c>
    </row>
    <row r="379" spans="1:4" x14ac:dyDescent="0.35">
      <c r="A379" s="3" t="str">
        <f>IF(C379="","",(VLOOKUP($C379,KEY!$B$5:$D$74,3,FALSE)))</f>
        <v>Texas</v>
      </c>
      <c r="B379" s="221" t="s">
        <v>219</v>
      </c>
      <c r="C379" s="222" t="s">
        <v>155</v>
      </c>
      <c r="D379" s="99">
        <v>0.75</v>
      </c>
    </row>
    <row r="380" spans="1:4" x14ac:dyDescent="0.35">
      <c r="A380" s="3" t="str">
        <f>IF(C380="","",(VLOOKUP($C380,KEY!$B$5:$D$74,3,FALSE)))</f>
        <v>Texas</v>
      </c>
      <c r="B380" s="221" t="s">
        <v>219</v>
      </c>
      <c r="C380" s="222" t="s">
        <v>156</v>
      </c>
      <c r="D380" s="99">
        <v>0.5</v>
      </c>
    </row>
    <row r="381" spans="1:4" x14ac:dyDescent="0.35">
      <c r="A381" s="3" t="str">
        <f>IF(C381="","",(VLOOKUP($C381,KEY!$B$5:$D$74,3,FALSE)))</f>
        <v>Texas</v>
      </c>
      <c r="B381" s="221" t="s">
        <v>219</v>
      </c>
      <c r="C381" s="222" t="s">
        <v>157</v>
      </c>
      <c r="D381" s="99">
        <v>1</v>
      </c>
    </row>
    <row r="382" spans="1:4" x14ac:dyDescent="0.35">
      <c r="A382" s="3" t="str">
        <f>IF(C382="","",(VLOOKUP($C382,KEY!$B$5:$D$74,3,FALSE)))</f>
        <v>Arizona</v>
      </c>
      <c r="B382" s="221" t="s">
        <v>219</v>
      </c>
      <c r="C382" s="222" t="s">
        <v>158</v>
      </c>
      <c r="D382" s="99">
        <v>0.75</v>
      </c>
    </row>
    <row r="383" spans="1:4" x14ac:dyDescent="0.35">
      <c r="A383" s="3" t="str">
        <f>IF(C383="","",(VLOOKUP($C383,KEY!$B$5:$D$74,3,FALSE)))</f>
        <v>Orange County</v>
      </c>
      <c r="B383" s="221" t="s">
        <v>219</v>
      </c>
      <c r="C383" s="222" t="s">
        <v>159</v>
      </c>
      <c r="D383" s="99">
        <v>1</v>
      </c>
    </row>
    <row r="384" spans="1:4" x14ac:dyDescent="0.35">
      <c r="A384" s="3" t="str">
        <f>IF(C384="","",(VLOOKUP($C384,KEY!$B$5:$D$74,3,FALSE)))</f>
        <v>Arizona</v>
      </c>
      <c r="B384" s="221" t="s">
        <v>219</v>
      </c>
      <c r="C384" s="222" t="s">
        <v>160</v>
      </c>
      <c r="D384" s="99">
        <v>1</v>
      </c>
    </row>
    <row r="385" spans="1:4" x14ac:dyDescent="0.35">
      <c r="A385" s="3" t="str">
        <f>IF(C385="","",(VLOOKUP($C385,KEY!$B$5:$D$74,3,FALSE)))</f>
        <v>Northern California</v>
      </c>
      <c r="B385" s="221" t="s">
        <v>219</v>
      </c>
      <c r="C385" s="222" t="s">
        <v>161</v>
      </c>
      <c r="D385" s="99">
        <v>1</v>
      </c>
    </row>
    <row r="386" spans="1:4" x14ac:dyDescent="0.35">
      <c r="A386" s="3" t="e">
        <f>IF(C386="","",(VLOOKUP($C386,KEY!$B$5:$D$74,3,FALSE)))</f>
        <v>#N/A</v>
      </c>
      <c r="B386" s="221" t="s">
        <v>219</v>
      </c>
      <c r="C386" s="222" t="s">
        <v>162</v>
      </c>
      <c r="D386" s="99">
        <v>1</v>
      </c>
    </row>
    <row r="387" spans="1:4" x14ac:dyDescent="0.35">
      <c r="A387" s="3" t="str">
        <f>IF(C387="","",(VLOOKUP($C387,KEY!$B$5:$D$74,3,FALSE)))</f>
        <v>Arizona</v>
      </c>
      <c r="B387" s="221" t="s">
        <v>219</v>
      </c>
      <c r="C387" s="222" t="s">
        <v>163</v>
      </c>
      <c r="D387" s="99">
        <v>0.75</v>
      </c>
    </row>
    <row r="388" spans="1:4" x14ac:dyDescent="0.35">
      <c r="A388" s="3" t="str">
        <f>IF(C388="","",(VLOOKUP($C388,KEY!$B$5:$D$74,3,FALSE)))</f>
        <v>Arizona</v>
      </c>
      <c r="B388" s="221" t="s">
        <v>219</v>
      </c>
      <c r="C388" s="222" t="s">
        <v>164</v>
      </c>
      <c r="D388" s="99">
        <v>1</v>
      </c>
    </row>
    <row r="389" spans="1:4" x14ac:dyDescent="0.35">
      <c r="A389" s="3" t="str">
        <f>IF(C389="","",(VLOOKUP($C389,KEY!$B$5:$D$74,3,FALSE)))</f>
        <v>Orange County</v>
      </c>
      <c r="B389" s="221" t="s">
        <v>219</v>
      </c>
      <c r="C389" s="222" t="s">
        <v>165</v>
      </c>
      <c r="D389" s="99">
        <v>0.75</v>
      </c>
    </row>
    <row r="390" spans="1:4" x14ac:dyDescent="0.35">
      <c r="A390" s="3" t="str">
        <f>IF(C390="","",(VLOOKUP($C390,KEY!$B$5:$D$74,3,FALSE)))</f>
        <v>Arizona</v>
      </c>
      <c r="B390" s="221" t="s">
        <v>220</v>
      </c>
      <c r="C390" s="222" t="s">
        <v>111</v>
      </c>
      <c r="D390" s="99">
        <v>1</v>
      </c>
    </row>
    <row r="391" spans="1:4" x14ac:dyDescent="0.35">
      <c r="A391" s="3" t="str">
        <f>IF(C391="","",(VLOOKUP($C391,KEY!$B$5:$D$74,3,FALSE)))</f>
        <v>Southern California</v>
      </c>
      <c r="B391" s="221" t="s">
        <v>220</v>
      </c>
      <c r="C391" s="222" t="s">
        <v>112</v>
      </c>
      <c r="D391" s="99">
        <v>0.625</v>
      </c>
    </row>
    <row r="392" spans="1:4" x14ac:dyDescent="0.35">
      <c r="A392" s="3" t="str">
        <f>IF(C392="","",(VLOOKUP($C392,KEY!$B$5:$D$74,3,FALSE)))</f>
        <v>Arizona</v>
      </c>
      <c r="B392" s="221" t="s">
        <v>220</v>
      </c>
      <c r="C392" s="222" t="s">
        <v>113</v>
      </c>
      <c r="D392" s="99">
        <v>0.875</v>
      </c>
    </row>
    <row r="393" spans="1:4" x14ac:dyDescent="0.35">
      <c r="A393" s="3" t="str">
        <f>IF(C393="","",(VLOOKUP($C393,KEY!$B$5:$D$74,3,FALSE)))</f>
        <v>Southern California</v>
      </c>
      <c r="B393" s="221" t="s">
        <v>220</v>
      </c>
      <c r="C393" s="222" t="s">
        <v>114</v>
      </c>
      <c r="D393" s="99">
        <v>0.875</v>
      </c>
    </row>
    <row r="394" spans="1:4" x14ac:dyDescent="0.35">
      <c r="A394" s="3" t="str">
        <f>IF(C394="","",(VLOOKUP($C394,KEY!$B$5:$D$74,3,FALSE)))</f>
        <v>Orange County</v>
      </c>
      <c r="B394" s="221" t="s">
        <v>220</v>
      </c>
      <c r="C394" s="222" t="s">
        <v>115</v>
      </c>
      <c r="D394" s="99">
        <v>0.875</v>
      </c>
    </row>
    <row r="395" spans="1:4" x14ac:dyDescent="0.35">
      <c r="A395" s="3" t="str">
        <f>IF(C395="","",(VLOOKUP($C395,KEY!$B$5:$D$74,3,FALSE)))</f>
        <v>Arizona</v>
      </c>
      <c r="B395" s="221" t="s">
        <v>220</v>
      </c>
      <c r="C395" s="222" t="s">
        <v>116</v>
      </c>
      <c r="D395" s="99">
        <v>1</v>
      </c>
    </row>
    <row r="396" spans="1:4" x14ac:dyDescent="0.35">
      <c r="A396" s="3" t="str">
        <f>IF(C396="","",(VLOOKUP($C396,KEY!$B$5:$D$74,3,FALSE)))</f>
        <v>Northern California</v>
      </c>
      <c r="B396" s="221" t="s">
        <v>220</v>
      </c>
      <c r="C396" s="222" t="s">
        <v>118</v>
      </c>
      <c r="D396" s="99">
        <v>0.75</v>
      </c>
    </row>
    <row r="397" spans="1:4" x14ac:dyDescent="0.35">
      <c r="A397" s="3" t="str">
        <f>IF(C397="","",(VLOOKUP($C397,KEY!$B$5:$D$74,3,FALSE)))</f>
        <v>Orange County</v>
      </c>
      <c r="B397" s="221" t="s">
        <v>220</v>
      </c>
      <c r="C397" s="222" t="s">
        <v>117</v>
      </c>
      <c r="D397" s="99">
        <v>1</v>
      </c>
    </row>
    <row r="398" spans="1:4" x14ac:dyDescent="0.35">
      <c r="A398" s="3" t="str">
        <f>IF(C398="","",(VLOOKUP($C398,KEY!$B$5:$D$74,3,FALSE)))</f>
        <v>Arizona</v>
      </c>
      <c r="B398" s="221" t="s">
        <v>220</v>
      </c>
      <c r="C398" s="222" t="s">
        <v>119</v>
      </c>
      <c r="D398" s="99">
        <v>0.75</v>
      </c>
    </row>
    <row r="399" spans="1:4" x14ac:dyDescent="0.35">
      <c r="A399" s="3" t="str">
        <f>IF(C399="","",(VLOOKUP($C399,KEY!$B$5:$D$74,3,FALSE)))</f>
        <v>Arizona</v>
      </c>
      <c r="B399" s="221" t="s">
        <v>220</v>
      </c>
      <c r="C399" s="222" t="s">
        <v>120</v>
      </c>
      <c r="D399" s="99">
        <v>1</v>
      </c>
    </row>
    <row r="400" spans="1:4" x14ac:dyDescent="0.35">
      <c r="A400" s="3" t="str">
        <f>IF(C400="","",(VLOOKUP($C400,KEY!$B$5:$D$74,3,FALSE)))</f>
        <v>Texas</v>
      </c>
      <c r="B400" s="221" t="s">
        <v>220</v>
      </c>
      <c r="C400" s="222" t="s">
        <v>121</v>
      </c>
      <c r="D400" s="99">
        <v>0.875</v>
      </c>
    </row>
    <row r="401" spans="1:4" x14ac:dyDescent="0.35">
      <c r="A401" s="3" t="str">
        <f>IF(C401="","",(VLOOKUP($C401,KEY!$B$5:$D$74,3,FALSE)))</f>
        <v>Southern California</v>
      </c>
      <c r="B401" s="221" t="s">
        <v>220</v>
      </c>
      <c r="C401" s="222" t="s">
        <v>122</v>
      </c>
      <c r="D401" s="99">
        <v>1</v>
      </c>
    </row>
    <row r="402" spans="1:4" x14ac:dyDescent="0.35">
      <c r="A402" s="3" t="str">
        <f>IF(C402="","",(VLOOKUP($C402,KEY!$B$5:$D$74,3,FALSE)))</f>
        <v>Orange County</v>
      </c>
      <c r="B402" s="221" t="s">
        <v>220</v>
      </c>
      <c r="C402" s="222" t="s">
        <v>123</v>
      </c>
      <c r="D402" s="99">
        <v>0.875</v>
      </c>
    </row>
    <row r="403" spans="1:4" x14ac:dyDescent="0.35">
      <c r="A403" s="3" t="str">
        <f>IF(C403="","",(VLOOKUP($C403,KEY!$B$5:$D$74,3,FALSE)))</f>
        <v>Southern California</v>
      </c>
      <c r="B403" s="221" t="s">
        <v>220</v>
      </c>
      <c r="C403" s="222" t="s">
        <v>124</v>
      </c>
      <c r="D403" s="99">
        <v>1</v>
      </c>
    </row>
    <row r="404" spans="1:4" x14ac:dyDescent="0.35">
      <c r="A404" s="3" t="str">
        <f>IF(C404="","",(VLOOKUP($C404,KEY!$B$5:$D$74,3,FALSE)))</f>
        <v>Northern California</v>
      </c>
      <c r="B404" s="221" t="s">
        <v>220</v>
      </c>
      <c r="C404" s="222" t="s">
        <v>195</v>
      </c>
      <c r="D404" s="99">
        <v>0.625</v>
      </c>
    </row>
    <row r="405" spans="1:4" x14ac:dyDescent="0.35">
      <c r="A405" s="3" t="str">
        <f>IF(C405="","",(VLOOKUP($C405,KEY!$B$5:$D$74,3,FALSE)))</f>
        <v>Northern California</v>
      </c>
      <c r="B405" s="221" t="s">
        <v>220</v>
      </c>
      <c r="C405" s="222" t="s">
        <v>125</v>
      </c>
      <c r="D405" s="99">
        <v>0.875</v>
      </c>
    </row>
    <row r="406" spans="1:4" x14ac:dyDescent="0.35">
      <c r="A406" s="3" t="str">
        <f>IF(C406="","",(VLOOKUP($C406,KEY!$B$5:$D$74,3,FALSE)))</f>
        <v>Orange County</v>
      </c>
      <c r="B406" s="221" t="s">
        <v>220</v>
      </c>
      <c r="C406" s="222" t="s">
        <v>126</v>
      </c>
      <c r="D406" s="99">
        <v>0.875</v>
      </c>
    </row>
    <row r="407" spans="1:4" x14ac:dyDescent="0.35">
      <c r="A407" s="3" t="str">
        <f>IF(C407="","",(VLOOKUP($C407,KEY!$B$5:$D$74,3,FALSE)))</f>
        <v>Orange County</v>
      </c>
      <c r="B407" s="221" t="s">
        <v>220</v>
      </c>
      <c r="C407" s="222" t="s">
        <v>127</v>
      </c>
      <c r="D407" s="99">
        <v>1</v>
      </c>
    </row>
    <row r="408" spans="1:4" x14ac:dyDescent="0.35">
      <c r="A408" s="3" t="str">
        <f>IF(C408="","",(VLOOKUP($C408,KEY!$B$5:$D$74,3,FALSE)))</f>
        <v>Texas</v>
      </c>
      <c r="B408" s="221" t="s">
        <v>220</v>
      </c>
      <c r="C408" s="222" t="s">
        <v>198</v>
      </c>
      <c r="D408" s="99">
        <v>0.75</v>
      </c>
    </row>
    <row r="409" spans="1:4" x14ac:dyDescent="0.35">
      <c r="A409" s="3" t="str">
        <f>IF(C409="","",(VLOOKUP($C409,KEY!$B$5:$D$74,3,FALSE)))</f>
        <v>Texas</v>
      </c>
      <c r="B409" s="221" t="s">
        <v>220</v>
      </c>
      <c r="C409" s="222" t="s">
        <v>128</v>
      </c>
      <c r="D409" s="99">
        <v>0.875</v>
      </c>
    </row>
    <row r="410" spans="1:4" x14ac:dyDescent="0.35">
      <c r="A410" s="3" t="str">
        <f>IF(C410="","",(VLOOKUP($C410,KEY!$B$5:$D$74,3,FALSE)))</f>
        <v>Northern California</v>
      </c>
      <c r="B410" s="221" t="s">
        <v>220</v>
      </c>
      <c r="C410" s="222" t="s">
        <v>129</v>
      </c>
      <c r="D410" s="99">
        <v>1</v>
      </c>
    </row>
    <row r="411" spans="1:4" x14ac:dyDescent="0.35">
      <c r="A411" s="3" t="str">
        <f>IF(C411="","",(VLOOKUP($C411,KEY!$B$5:$D$74,3,FALSE)))</f>
        <v>Southern California</v>
      </c>
      <c r="B411" s="221" t="s">
        <v>220</v>
      </c>
      <c r="C411" s="222" t="s">
        <v>130</v>
      </c>
      <c r="D411" s="99">
        <v>0.875</v>
      </c>
    </row>
    <row r="412" spans="1:4" x14ac:dyDescent="0.35">
      <c r="A412" s="3">
        <f>IF(C412="","",(VLOOKUP($C412,KEY!$B$5:$D$74,3,FALSE)))</f>
        <v>0</v>
      </c>
      <c r="B412" s="221" t="s">
        <v>220</v>
      </c>
      <c r="C412" s="222" t="s">
        <v>131</v>
      </c>
      <c r="D412" s="99">
        <v>0.875</v>
      </c>
    </row>
    <row r="413" spans="1:4" x14ac:dyDescent="0.35">
      <c r="A413" s="3" t="e">
        <f>IF(C413="","",(VLOOKUP($C413,KEY!$B$5:$D$74,3,FALSE)))</f>
        <v>#N/A</v>
      </c>
      <c r="B413" s="221" t="s">
        <v>220</v>
      </c>
      <c r="C413" s="222" t="s">
        <v>134</v>
      </c>
      <c r="D413" s="99">
        <v>0.875</v>
      </c>
    </row>
    <row r="414" spans="1:4" x14ac:dyDescent="0.35">
      <c r="A414" s="3" t="str">
        <f>IF(C414="","",(VLOOKUP($C414,KEY!$B$5:$D$74,3,FALSE)))</f>
        <v>Southern California</v>
      </c>
      <c r="B414" s="221" t="s">
        <v>220</v>
      </c>
      <c r="C414" s="222" t="s">
        <v>135</v>
      </c>
      <c r="D414" s="99">
        <v>1</v>
      </c>
    </row>
    <row r="415" spans="1:4" x14ac:dyDescent="0.35">
      <c r="A415" s="3" t="str">
        <f>IF(C415="","",(VLOOKUP($C415,KEY!$B$5:$D$74,3,FALSE)))</f>
        <v>Arizona</v>
      </c>
      <c r="B415" s="221" t="s">
        <v>220</v>
      </c>
      <c r="C415" s="222" t="s">
        <v>196</v>
      </c>
      <c r="D415" s="99">
        <v>1</v>
      </c>
    </row>
    <row r="416" spans="1:4" x14ac:dyDescent="0.35">
      <c r="A416" s="3" t="str">
        <f>IF(C416="","",(VLOOKUP($C416,KEY!$B$5:$D$74,3,FALSE)))</f>
        <v>Arizona</v>
      </c>
      <c r="B416" s="221" t="s">
        <v>220</v>
      </c>
      <c r="C416" s="222" t="s">
        <v>197</v>
      </c>
      <c r="D416" s="99">
        <v>1</v>
      </c>
    </row>
    <row r="417" spans="1:4" x14ac:dyDescent="0.35">
      <c r="A417" s="3" t="str">
        <f>IF(C417="","",(VLOOKUP($C417,KEY!$B$5:$D$74,3,FALSE)))</f>
        <v>Texas</v>
      </c>
      <c r="B417" s="221" t="s">
        <v>220</v>
      </c>
      <c r="C417" s="222" t="s">
        <v>136</v>
      </c>
      <c r="D417" s="99">
        <v>0.75</v>
      </c>
    </row>
    <row r="418" spans="1:4" x14ac:dyDescent="0.35">
      <c r="A418" s="3" t="str">
        <f>IF(C418="","",(VLOOKUP($C418,KEY!$B$5:$D$74,3,FALSE)))</f>
        <v>Arizona</v>
      </c>
      <c r="B418" s="221" t="s">
        <v>220</v>
      </c>
      <c r="C418" s="222" t="s">
        <v>137</v>
      </c>
      <c r="D418" s="99">
        <v>1</v>
      </c>
    </row>
    <row r="419" spans="1:4" x14ac:dyDescent="0.35">
      <c r="A419" s="3" t="str">
        <f>IF(C419="","",(VLOOKUP($C419,KEY!$B$5:$D$74,3,FALSE)))</f>
        <v>Texas</v>
      </c>
      <c r="B419" s="221" t="s">
        <v>220</v>
      </c>
      <c r="C419" s="222" t="s">
        <v>138</v>
      </c>
      <c r="D419" s="99">
        <v>1</v>
      </c>
    </row>
    <row r="420" spans="1:4" x14ac:dyDescent="0.35">
      <c r="A420" s="3" t="str">
        <f>IF(C420="","",(VLOOKUP($C420,KEY!$B$5:$D$74,3,FALSE)))</f>
        <v>Southern California</v>
      </c>
      <c r="B420" s="221" t="s">
        <v>220</v>
      </c>
      <c r="C420" s="222" t="s">
        <v>139</v>
      </c>
      <c r="D420" s="99">
        <v>1</v>
      </c>
    </row>
    <row r="421" spans="1:4" x14ac:dyDescent="0.35">
      <c r="A421" s="3" t="str">
        <f>IF(C421="","",(VLOOKUP($C421,KEY!$B$5:$D$74,3,FALSE)))</f>
        <v>Orange County</v>
      </c>
      <c r="B421" s="221" t="s">
        <v>220</v>
      </c>
      <c r="C421" s="222" t="s">
        <v>140</v>
      </c>
      <c r="D421" s="99">
        <v>1</v>
      </c>
    </row>
    <row r="422" spans="1:4" x14ac:dyDescent="0.35">
      <c r="A422" s="3" t="str">
        <f>IF(C422="","",(VLOOKUP($C422,KEY!$B$5:$D$74,3,FALSE)))</f>
        <v>Southern California</v>
      </c>
      <c r="B422" s="221" t="s">
        <v>220</v>
      </c>
      <c r="C422" s="222" t="s">
        <v>142</v>
      </c>
      <c r="D422" s="99">
        <v>0.875</v>
      </c>
    </row>
    <row r="423" spans="1:4" x14ac:dyDescent="0.35">
      <c r="A423" s="3" t="str">
        <f>IF(C423="","",(VLOOKUP($C423,KEY!$B$5:$D$74,3,FALSE)))</f>
        <v>Arizona</v>
      </c>
      <c r="B423" s="221" t="s">
        <v>220</v>
      </c>
      <c r="C423" s="222" t="s">
        <v>143</v>
      </c>
      <c r="D423" s="99">
        <v>1</v>
      </c>
    </row>
    <row r="424" spans="1:4" x14ac:dyDescent="0.35">
      <c r="A424" s="3" t="str">
        <f>IF(C424="","",(VLOOKUP($C424,KEY!$B$5:$D$74,3,FALSE)))</f>
        <v>Arizona</v>
      </c>
      <c r="B424" s="221" t="s">
        <v>220</v>
      </c>
      <c r="C424" s="222" t="s">
        <v>144</v>
      </c>
      <c r="D424" s="99">
        <v>1</v>
      </c>
    </row>
    <row r="425" spans="1:4" x14ac:dyDescent="0.35">
      <c r="A425" s="3" t="str">
        <f>IF(C425="","",(VLOOKUP($C425,KEY!$B$5:$D$74,3,FALSE)))</f>
        <v>Southern California</v>
      </c>
      <c r="B425" s="221" t="s">
        <v>220</v>
      </c>
      <c r="C425" s="222" t="s">
        <v>145</v>
      </c>
      <c r="D425" s="99">
        <v>0.75</v>
      </c>
    </row>
    <row r="426" spans="1:4" x14ac:dyDescent="0.35">
      <c r="A426" s="3" t="str">
        <f>IF(C426="","",(VLOOKUP($C426,KEY!$B$5:$D$74,3,FALSE)))</f>
        <v>Arizona</v>
      </c>
      <c r="B426" s="221" t="s">
        <v>220</v>
      </c>
      <c r="C426" s="222" t="s">
        <v>146</v>
      </c>
      <c r="D426" s="99">
        <v>1</v>
      </c>
    </row>
    <row r="427" spans="1:4" x14ac:dyDescent="0.35">
      <c r="A427" s="3" t="str">
        <f>IF(C427="","",(VLOOKUP($C427,KEY!$B$5:$D$74,3,FALSE)))</f>
        <v>Texas</v>
      </c>
      <c r="B427" s="221" t="s">
        <v>220</v>
      </c>
      <c r="C427" s="222" t="s">
        <v>147</v>
      </c>
      <c r="D427" s="99">
        <v>0.75</v>
      </c>
    </row>
    <row r="428" spans="1:4" x14ac:dyDescent="0.35">
      <c r="A428" s="3" t="str">
        <f>IF(C428="","",(VLOOKUP($C428,KEY!$B$5:$D$74,3,FALSE)))</f>
        <v>Northern California</v>
      </c>
      <c r="B428" s="221" t="s">
        <v>220</v>
      </c>
      <c r="C428" s="222" t="s">
        <v>148</v>
      </c>
      <c r="D428" s="99">
        <v>0.875</v>
      </c>
    </row>
    <row r="429" spans="1:4" x14ac:dyDescent="0.35">
      <c r="A429" s="3" t="str">
        <f>IF(C429="","",(VLOOKUP($C429,KEY!$B$5:$D$74,3,FALSE)))</f>
        <v>Orange County</v>
      </c>
      <c r="B429" s="221" t="s">
        <v>220</v>
      </c>
      <c r="C429" s="222" t="s">
        <v>149</v>
      </c>
      <c r="D429" s="99">
        <v>1</v>
      </c>
    </row>
    <row r="430" spans="1:4" x14ac:dyDescent="0.35">
      <c r="A430" s="3" t="str">
        <f>IF(C430="","",(VLOOKUP($C430,KEY!$B$5:$D$74,3,FALSE)))</f>
        <v>Southern California</v>
      </c>
      <c r="B430" s="221" t="s">
        <v>220</v>
      </c>
      <c r="C430" s="222" t="s">
        <v>150</v>
      </c>
      <c r="D430" s="99">
        <v>1</v>
      </c>
    </row>
    <row r="431" spans="1:4" x14ac:dyDescent="0.35">
      <c r="A431" s="3" t="str">
        <f>IF(C431="","",(VLOOKUP($C431,KEY!$B$5:$D$74,3,FALSE)))</f>
        <v>Arizona</v>
      </c>
      <c r="B431" s="221" t="s">
        <v>220</v>
      </c>
      <c r="C431" s="222" t="s">
        <v>151</v>
      </c>
      <c r="D431" s="99">
        <v>1</v>
      </c>
    </row>
    <row r="432" spans="1:4" x14ac:dyDescent="0.35">
      <c r="A432" s="3" t="str">
        <f>IF(C432="","",(VLOOKUP($C432,KEY!$B$5:$D$74,3,FALSE)))</f>
        <v>Northern California</v>
      </c>
      <c r="B432" s="221" t="s">
        <v>220</v>
      </c>
      <c r="C432" s="222" t="s">
        <v>152</v>
      </c>
      <c r="D432" s="99">
        <v>1</v>
      </c>
    </row>
    <row r="433" spans="1:4" x14ac:dyDescent="0.35">
      <c r="A433" s="3" t="str">
        <f>IF(C433="","",(VLOOKUP($C433,KEY!$B$5:$D$74,3,FALSE)))</f>
        <v>Arizona</v>
      </c>
      <c r="B433" s="221" t="s">
        <v>220</v>
      </c>
      <c r="C433" s="222" t="s">
        <v>153</v>
      </c>
      <c r="D433" s="99">
        <v>1</v>
      </c>
    </row>
    <row r="434" spans="1:4" x14ac:dyDescent="0.35">
      <c r="A434" s="3" t="str">
        <f>IF(C434="","",(VLOOKUP($C434,KEY!$B$5:$D$74,3,FALSE)))</f>
        <v>Northern California</v>
      </c>
      <c r="B434" s="221" t="s">
        <v>220</v>
      </c>
      <c r="C434" s="222" t="s">
        <v>154</v>
      </c>
      <c r="D434" s="99">
        <v>1</v>
      </c>
    </row>
    <row r="435" spans="1:4" x14ac:dyDescent="0.35">
      <c r="A435" s="3" t="str">
        <f>IF(C435="","",(VLOOKUP($C435,KEY!$B$5:$D$74,3,FALSE)))</f>
        <v>Texas</v>
      </c>
      <c r="B435" s="221" t="s">
        <v>220</v>
      </c>
      <c r="C435" s="222" t="s">
        <v>155</v>
      </c>
      <c r="D435" s="99">
        <v>0.875</v>
      </c>
    </row>
    <row r="436" spans="1:4" x14ac:dyDescent="0.35">
      <c r="A436" s="3" t="str">
        <f>IF(C436="","",(VLOOKUP($C436,KEY!$B$5:$D$74,3,FALSE)))</f>
        <v>Texas</v>
      </c>
      <c r="B436" s="221" t="s">
        <v>220</v>
      </c>
      <c r="C436" s="222" t="s">
        <v>156</v>
      </c>
      <c r="D436" s="99">
        <v>1</v>
      </c>
    </row>
    <row r="437" spans="1:4" x14ac:dyDescent="0.35">
      <c r="A437" s="3" t="str">
        <f>IF(C437="","",(VLOOKUP($C437,KEY!$B$5:$D$74,3,FALSE)))</f>
        <v>Texas</v>
      </c>
      <c r="B437" s="221" t="s">
        <v>220</v>
      </c>
      <c r="C437" s="222" t="s">
        <v>157</v>
      </c>
      <c r="D437" s="99">
        <v>0.875</v>
      </c>
    </row>
    <row r="438" spans="1:4" x14ac:dyDescent="0.35">
      <c r="A438" s="3" t="str">
        <f>IF(C438="","",(VLOOKUP($C438,KEY!$B$5:$D$74,3,FALSE)))</f>
        <v>Arizona</v>
      </c>
      <c r="B438" s="221" t="s">
        <v>220</v>
      </c>
      <c r="C438" s="222" t="s">
        <v>158</v>
      </c>
      <c r="D438" s="99">
        <v>0.5</v>
      </c>
    </row>
    <row r="439" spans="1:4" x14ac:dyDescent="0.35">
      <c r="A439" s="3" t="str">
        <f>IF(C439="","",(VLOOKUP($C439,KEY!$B$5:$D$74,3,FALSE)))</f>
        <v>Orange County</v>
      </c>
      <c r="B439" s="221" t="s">
        <v>220</v>
      </c>
      <c r="C439" s="222" t="s">
        <v>159</v>
      </c>
      <c r="D439" s="99">
        <v>1</v>
      </c>
    </row>
    <row r="440" spans="1:4" x14ac:dyDescent="0.35">
      <c r="A440" s="3" t="str">
        <f>IF(C440="","",(VLOOKUP($C440,KEY!$B$5:$D$74,3,FALSE)))</f>
        <v>Arizona</v>
      </c>
      <c r="B440" s="221" t="s">
        <v>220</v>
      </c>
      <c r="C440" s="222" t="s">
        <v>160</v>
      </c>
      <c r="D440" s="99">
        <v>1</v>
      </c>
    </row>
    <row r="441" spans="1:4" x14ac:dyDescent="0.35">
      <c r="A441" s="3" t="str">
        <f>IF(C441="","",(VLOOKUP($C441,KEY!$B$5:$D$74,3,FALSE)))</f>
        <v>Northern California</v>
      </c>
      <c r="B441" s="221" t="s">
        <v>220</v>
      </c>
      <c r="C441" s="222" t="s">
        <v>161</v>
      </c>
      <c r="D441" s="99">
        <v>1</v>
      </c>
    </row>
    <row r="442" spans="1:4" x14ac:dyDescent="0.35">
      <c r="A442" s="3" t="e">
        <f>IF(C442="","",(VLOOKUP($C442,KEY!$B$5:$D$74,3,FALSE)))</f>
        <v>#N/A</v>
      </c>
      <c r="B442" s="221" t="s">
        <v>220</v>
      </c>
      <c r="C442" s="222" t="s">
        <v>162</v>
      </c>
      <c r="D442" s="99">
        <v>1</v>
      </c>
    </row>
    <row r="443" spans="1:4" x14ac:dyDescent="0.35">
      <c r="A443" s="3" t="str">
        <f>IF(C443="","",(VLOOKUP($C443,KEY!$B$5:$D$74,3,FALSE)))</f>
        <v>Arizona</v>
      </c>
      <c r="B443" s="221" t="s">
        <v>220</v>
      </c>
      <c r="C443" s="222" t="s">
        <v>163</v>
      </c>
      <c r="D443" s="99">
        <v>1</v>
      </c>
    </row>
    <row r="444" spans="1:4" x14ac:dyDescent="0.35">
      <c r="A444" s="3" t="str">
        <f>IF(C444="","",(VLOOKUP($C444,KEY!$B$5:$D$74,3,FALSE)))</f>
        <v>Arizona</v>
      </c>
      <c r="B444" s="221" t="s">
        <v>220</v>
      </c>
      <c r="C444" s="222" t="s">
        <v>164</v>
      </c>
      <c r="D444" s="99">
        <v>0.5</v>
      </c>
    </row>
    <row r="445" spans="1:4" x14ac:dyDescent="0.35">
      <c r="A445" s="3" t="str">
        <f>IF(C445="","",(VLOOKUP($C445,KEY!$B$5:$D$74,3,FALSE)))</f>
        <v>Orange County</v>
      </c>
      <c r="B445" s="221" t="s">
        <v>220</v>
      </c>
      <c r="C445" s="222" t="s">
        <v>165</v>
      </c>
      <c r="D445" s="99">
        <v>1</v>
      </c>
    </row>
    <row r="446" spans="1:4" x14ac:dyDescent="0.35">
      <c r="A446" s="3" t="str">
        <f>IF(C446="","",(VLOOKUP($C446,KEY!$B$5:$D$74,3,FALSE)))</f>
        <v/>
      </c>
      <c r="B446" s="402" t="s">
        <v>220</v>
      </c>
      <c r="C446" s="403"/>
      <c r="D446" s="405"/>
    </row>
    <row r="447" spans="1:4" x14ac:dyDescent="0.35">
      <c r="A447" s="3" t="str">
        <f>IF(C447="","",(VLOOKUP($C447,KEY!$B$5:$D$74,3,FALSE)))</f>
        <v>Arizona</v>
      </c>
      <c r="B447" s="221" t="s">
        <v>221</v>
      </c>
      <c r="C447" s="222" t="s">
        <v>111</v>
      </c>
      <c r="D447" s="99">
        <v>0.5</v>
      </c>
    </row>
    <row r="448" spans="1:4" x14ac:dyDescent="0.35">
      <c r="A448" s="3" t="str">
        <f>IF(C448="","",(VLOOKUP($C448,KEY!$B$5:$D$74,3,FALSE)))</f>
        <v>Southern California</v>
      </c>
      <c r="B448" s="221" t="s">
        <v>221</v>
      </c>
      <c r="C448" s="222" t="s">
        <v>112</v>
      </c>
      <c r="D448" s="99">
        <v>0.75</v>
      </c>
    </row>
    <row r="449" spans="1:4" x14ac:dyDescent="0.35">
      <c r="A449" s="3" t="str">
        <f>IF(C449="","",(VLOOKUP($C449,KEY!$B$5:$D$74,3,FALSE)))</f>
        <v>Arizona</v>
      </c>
      <c r="B449" s="221" t="s">
        <v>221</v>
      </c>
      <c r="C449" s="222" t="s">
        <v>113</v>
      </c>
      <c r="D449" s="99">
        <v>1</v>
      </c>
    </row>
    <row r="450" spans="1:4" x14ac:dyDescent="0.35">
      <c r="A450" s="3" t="str">
        <f>IF(C450="","",(VLOOKUP($C450,KEY!$B$5:$D$74,3,FALSE)))</f>
        <v>Southern California</v>
      </c>
      <c r="B450" s="221" t="s">
        <v>221</v>
      </c>
      <c r="C450" s="222" t="s">
        <v>114</v>
      </c>
      <c r="D450" s="99">
        <v>0.625</v>
      </c>
    </row>
    <row r="451" spans="1:4" x14ac:dyDescent="0.35">
      <c r="A451" s="3" t="str">
        <f>IF(C451="","",(VLOOKUP($C451,KEY!$B$5:$D$74,3,FALSE)))</f>
        <v>Orange County</v>
      </c>
      <c r="B451" s="221" t="s">
        <v>221</v>
      </c>
      <c r="C451" s="222" t="s">
        <v>115</v>
      </c>
      <c r="D451" s="99">
        <v>1</v>
      </c>
    </row>
    <row r="452" spans="1:4" x14ac:dyDescent="0.35">
      <c r="A452" s="3" t="str">
        <f>IF(C452="","",(VLOOKUP($C452,KEY!$B$5:$D$74,3,FALSE)))</f>
        <v>Arizona</v>
      </c>
      <c r="B452" s="221" t="s">
        <v>221</v>
      </c>
      <c r="C452" s="222" t="s">
        <v>116</v>
      </c>
      <c r="D452" s="99">
        <v>0.875</v>
      </c>
    </row>
    <row r="453" spans="1:4" x14ac:dyDescent="0.35">
      <c r="A453" s="3" t="str">
        <f>IF(C453="","",(VLOOKUP($C453,KEY!$B$5:$D$74,3,FALSE)))</f>
        <v>Northern California</v>
      </c>
      <c r="B453" s="221" t="s">
        <v>221</v>
      </c>
      <c r="C453" s="222" t="s">
        <v>118</v>
      </c>
      <c r="D453" s="99">
        <v>0.75</v>
      </c>
    </row>
    <row r="454" spans="1:4" x14ac:dyDescent="0.35">
      <c r="A454" s="3" t="str">
        <f>IF(C454="","",(VLOOKUP($C454,KEY!$B$5:$D$74,3,FALSE)))</f>
        <v>Orange County</v>
      </c>
      <c r="B454" s="221" t="s">
        <v>221</v>
      </c>
      <c r="C454" s="222" t="s">
        <v>117</v>
      </c>
      <c r="D454" s="99">
        <v>1</v>
      </c>
    </row>
    <row r="455" spans="1:4" x14ac:dyDescent="0.35">
      <c r="A455" s="3" t="str">
        <f>IF(C455="","",(VLOOKUP($C455,KEY!$B$5:$D$74,3,FALSE)))</f>
        <v>Arizona</v>
      </c>
      <c r="B455" s="221" t="s">
        <v>221</v>
      </c>
      <c r="C455" s="222" t="s">
        <v>119</v>
      </c>
      <c r="D455" s="99">
        <v>0.875</v>
      </c>
    </row>
    <row r="456" spans="1:4" x14ac:dyDescent="0.35">
      <c r="A456" s="3" t="str">
        <f>IF(C456="","",(VLOOKUP($C456,KEY!$B$5:$D$74,3,FALSE)))</f>
        <v>Arizona</v>
      </c>
      <c r="B456" s="221" t="s">
        <v>221</v>
      </c>
      <c r="C456" s="222" t="s">
        <v>120</v>
      </c>
      <c r="D456" s="99">
        <v>0.75</v>
      </c>
    </row>
    <row r="457" spans="1:4" x14ac:dyDescent="0.35">
      <c r="A457" s="3" t="str">
        <f>IF(C457="","",(VLOOKUP($C457,KEY!$B$5:$D$74,3,FALSE)))</f>
        <v>Texas</v>
      </c>
      <c r="B457" s="221" t="s">
        <v>221</v>
      </c>
      <c r="C457" s="222" t="s">
        <v>121</v>
      </c>
      <c r="D457" s="99">
        <v>0.125</v>
      </c>
    </row>
    <row r="458" spans="1:4" x14ac:dyDescent="0.35">
      <c r="A458" s="3" t="str">
        <f>IF(C458="","",(VLOOKUP($C458,KEY!$B$5:$D$74,3,FALSE)))</f>
        <v>Orange County</v>
      </c>
      <c r="B458" s="221" t="s">
        <v>221</v>
      </c>
      <c r="C458" s="222" t="s">
        <v>123</v>
      </c>
      <c r="D458" s="99">
        <v>1</v>
      </c>
    </row>
    <row r="459" spans="1:4" x14ac:dyDescent="0.35">
      <c r="A459" s="3" t="str">
        <f>IF(C459="","",(VLOOKUP($C459,KEY!$B$5:$D$74,3,FALSE)))</f>
        <v>Southern California</v>
      </c>
      <c r="B459" s="221" t="s">
        <v>221</v>
      </c>
      <c r="C459" s="222" t="s">
        <v>124</v>
      </c>
      <c r="D459" s="99">
        <v>0.875</v>
      </c>
    </row>
    <row r="460" spans="1:4" x14ac:dyDescent="0.35">
      <c r="A460" s="3" t="str">
        <f>IF(C460="","",(VLOOKUP($C460,KEY!$B$5:$D$74,3,FALSE)))</f>
        <v>Southern California</v>
      </c>
      <c r="B460" s="221" t="s">
        <v>221</v>
      </c>
      <c r="C460" s="222" t="s">
        <v>122</v>
      </c>
      <c r="D460" s="99">
        <v>0.875</v>
      </c>
    </row>
    <row r="461" spans="1:4" x14ac:dyDescent="0.35">
      <c r="A461" s="3" t="str">
        <f>IF(C461="","",(VLOOKUP($C461,KEY!$B$5:$D$74,3,FALSE)))</f>
        <v>Northern California</v>
      </c>
      <c r="B461" s="221" t="s">
        <v>221</v>
      </c>
      <c r="C461" s="222" t="s">
        <v>195</v>
      </c>
      <c r="D461" s="99">
        <v>0.875</v>
      </c>
    </row>
    <row r="462" spans="1:4" x14ac:dyDescent="0.35">
      <c r="A462" s="3" t="str">
        <f>IF(C462="","",(VLOOKUP($C462,KEY!$B$5:$D$74,3,FALSE)))</f>
        <v>Northern California</v>
      </c>
      <c r="B462" s="221" t="s">
        <v>221</v>
      </c>
      <c r="C462" s="222" t="s">
        <v>125</v>
      </c>
      <c r="D462" s="99">
        <v>0.5</v>
      </c>
    </row>
    <row r="463" spans="1:4" x14ac:dyDescent="0.35">
      <c r="A463" s="3" t="str">
        <f>IF(C463="","",(VLOOKUP($C463,KEY!$B$5:$D$74,3,FALSE)))</f>
        <v>Orange County</v>
      </c>
      <c r="B463" s="221" t="s">
        <v>221</v>
      </c>
      <c r="C463" s="222" t="s">
        <v>126</v>
      </c>
      <c r="D463" s="99">
        <v>0.625</v>
      </c>
    </row>
    <row r="464" spans="1:4" x14ac:dyDescent="0.35">
      <c r="A464" s="3" t="str">
        <f>IF(C464="","",(VLOOKUP($C464,KEY!$B$5:$D$74,3,FALSE)))</f>
        <v>Orange County</v>
      </c>
      <c r="B464" s="221" t="s">
        <v>221</v>
      </c>
      <c r="C464" s="222" t="s">
        <v>127</v>
      </c>
      <c r="D464" s="99">
        <v>0.625</v>
      </c>
    </row>
    <row r="465" spans="1:4" x14ac:dyDescent="0.35">
      <c r="A465" s="3" t="str">
        <f>IF(C465="","",(VLOOKUP($C465,KEY!$B$5:$D$74,3,FALSE)))</f>
        <v>Texas</v>
      </c>
      <c r="B465" s="221" t="s">
        <v>221</v>
      </c>
      <c r="C465" s="222" t="s">
        <v>198</v>
      </c>
      <c r="D465" s="99">
        <v>0.25</v>
      </c>
    </row>
    <row r="466" spans="1:4" x14ac:dyDescent="0.35">
      <c r="A466" s="3" t="str">
        <f>IF(C466="","",(VLOOKUP($C466,KEY!$B$5:$D$74,3,FALSE)))</f>
        <v>Texas</v>
      </c>
      <c r="B466" s="221" t="s">
        <v>221</v>
      </c>
      <c r="C466" s="222" t="s">
        <v>128</v>
      </c>
      <c r="D466" s="99">
        <v>1</v>
      </c>
    </row>
    <row r="467" spans="1:4" x14ac:dyDescent="0.35">
      <c r="A467" s="3" t="str">
        <f>IF(C467="","",(VLOOKUP($C467,KEY!$B$5:$D$74,3,FALSE)))</f>
        <v>Northern California</v>
      </c>
      <c r="B467" s="221" t="s">
        <v>221</v>
      </c>
      <c r="C467" s="222" t="s">
        <v>129</v>
      </c>
      <c r="D467" s="99">
        <v>0.625</v>
      </c>
    </row>
    <row r="468" spans="1:4" x14ac:dyDescent="0.35">
      <c r="A468" s="3" t="str">
        <f>IF(C468="","",(VLOOKUP($C468,KEY!$B$5:$D$74,3,FALSE)))</f>
        <v>Southern California</v>
      </c>
      <c r="B468" s="221" t="s">
        <v>221</v>
      </c>
      <c r="C468" s="222" t="s">
        <v>130</v>
      </c>
      <c r="D468" s="99">
        <v>1</v>
      </c>
    </row>
    <row r="469" spans="1:4" x14ac:dyDescent="0.35">
      <c r="A469" s="3">
        <f>IF(C469="","",(VLOOKUP($C469,KEY!$B$5:$D$74,3,FALSE)))</f>
        <v>0</v>
      </c>
      <c r="B469" s="221" t="s">
        <v>221</v>
      </c>
      <c r="C469" s="222" t="s">
        <v>131</v>
      </c>
      <c r="D469" s="99">
        <v>0.5</v>
      </c>
    </row>
    <row r="470" spans="1:4" x14ac:dyDescent="0.35">
      <c r="A470" s="3" t="e">
        <f>IF(C470="","",(VLOOKUP($C470,KEY!$B$5:$D$74,3,FALSE)))</f>
        <v>#N/A</v>
      </c>
      <c r="B470" s="221" t="s">
        <v>221</v>
      </c>
      <c r="C470" s="222" t="s">
        <v>134</v>
      </c>
      <c r="D470" s="99">
        <v>0.75</v>
      </c>
    </row>
    <row r="471" spans="1:4" x14ac:dyDescent="0.35">
      <c r="A471" s="3" t="str">
        <f>IF(C471="","",(VLOOKUP($C471,KEY!$B$5:$D$74,3,FALSE)))</f>
        <v>Southern California</v>
      </c>
      <c r="B471" s="221" t="s">
        <v>221</v>
      </c>
      <c r="C471" s="222" t="s">
        <v>135</v>
      </c>
      <c r="D471" s="99">
        <v>1</v>
      </c>
    </row>
    <row r="472" spans="1:4" x14ac:dyDescent="0.35">
      <c r="A472" s="3" t="str">
        <f>IF(C472="","",(VLOOKUP($C472,KEY!$B$5:$D$74,3,FALSE)))</f>
        <v>Arizona</v>
      </c>
      <c r="B472" s="221" t="s">
        <v>221</v>
      </c>
      <c r="C472" s="222" t="s">
        <v>204</v>
      </c>
      <c r="D472" s="99">
        <v>0.125</v>
      </c>
    </row>
    <row r="473" spans="1:4" x14ac:dyDescent="0.35">
      <c r="A473" s="3" t="str">
        <f>IF(C473="","",(VLOOKUP($C473,KEY!$B$5:$D$74,3,FALSE)))</f>
        <v>Arizona</v>
      </c>
      <c r="B473" s="221" t="s">
        <v>221</v>
      </c>
      <c r="C473" s="222" t="s">
        <v>196</v>
      </c>
      <c r="D473" s="99">
        <v>0.875</v>
      </c>
    </row>
    <row r="474" spans="1:4" x14ac:dyDescent="0.35">
      <c r="A474" s="3" t="str">
        <f>IF(C474="","",(VLOOKUP($C474,KEY!$B$5:$D$74,3,FALSE)))</f>
        <v>Arizona</v>
      </c>
      <c r="B474" s="221" t="s">
        <v>221</v>
      </c>
      <c r="C474" s="222" t="s">
        <v>197</v>
      </c>
      <c r="D474" s="99">
        <v>0.875</v>
      </c>
    </row>
    <row r="475" spans="1:4" x14ac:dyDescent="0.35">
      <c r="A475" s="3" t="str">
        <f>IF(C475="","",(VLOOKUP($C475,KEY!$B$5:$D$74,3,FALSE)))</f>
        <v>Texas</v>
      </c>
      <c r="B475" s="221" t="s">
        <v>221</v>
      </c>
      <c r="C475" s="222" t="s">
        <v>136</v>
      </c>
      <c r="D475" s="99">
        <v>0.5</v>
      </c>
    </row>
    <row r="476" spans="1:4" x14ac:dyDescent="0.35">
      <c r="A476" s="3" t="str">
        <f>IF(C476="","",(VLOOKUP($C476,KEY!$B$5:$D$74,3,FALSE)))</f>
        <v>Arizona</v>
      </c>
      <c r="B476" s="221" t="s">
        <v>221</v>
      </c>
      <c r="C476" s="222" t="s">
        <v>137</v>
      </c>
      <c r="D476" s="99">
        <v>0.625</v>
      </c>
    </row>
    <row r="477" spans="1:4" x14ac:dyDescent="0.35">
      <c r="A477" s="3" t="str">
        <f>IF(C477="","",(VLOOKUP($C477,KEY!$B$5:$D$74,3,FALSE)))</f>
        <v>Texas</v>
      </c>
      <c r="B477" s="221" t="s">
        <v>221</v>
      </c>
      <c r="C477" s="222" t="s">
        <v>138</v>
      </c>
      <c r="D477" s="99">
        <v>1</v>
      </c>
    </row>
    <row r="478" spans="1:4" x14ac:dyDescent="0.35">
      <c r="A478" s="3" t="str">
        <f>IF(C478="","",(VLOOKUP($C478,KEY!$B$5:$D$74,3,FALSE)))</f>
        <v>Southern California</v>
      </c>
      <c r="B478" s="221" t="s">
        <v>221</v>
      </c>
      <c r="C478" s="222" t="s">
        <v>139</v>
      </c>
      <c r="D478" s="99">
        <v>1</v>
      </c>
    </row>
    <row r="479" spans="1:4" x14ac:dyDescent="0.35">
      <c r="A479" s="3" t="str">
        <f>IF(C479="","",(VLOOKUP($C479,KEY!$B$5:$D$74,3,FALSE)))</f>
        <v>Orange County</v>
      </c>
      <c r="B479" s="221" t="s">
        <v>221</v>
      </c>
      <c r="C479" s="222" t="s">
        <v>140</v>
      </c>
      <c r="D479" s="99">
        <v>0.75</v>
      </c>
    </row>
    <row r="480" spans="1:4" x14ac:dyDescent="0.35">
      <c r="A480" s="3" t="str">
        <f>IF(C480="","",(VLOOKUP($C480,KEY!$B$5:$D$74,3,FALSE)))</f>
        <v>Southern California</v>
      </c>
      <c r="B480" s="221" t="s">
        <v>221</v>
      </c>
      <c r="C480" s="222" t="s">
        <v>142</v>
      </c>
      <c r="D480" s="99">
        <v>0.5</v>
      </c>
    </row>
    <row r="481" spans="1:4" x14ac:dyDescent="0.35">
      <c r="A481" s="3" t="str">
        <f>IF(C481="","",(VLOOKUP($C481,KEY!$B$5:$D$74,3,FALSE)))</f>
        <v>Arizona</v>
      </c>
      <c r="B481" s="221" t="s">
        <v>221</v>
      </c>
      <c r="C481" s="222" t="s">
        <v>143</v>
      </c>
      <c r="D481" s="99">
        <v>1</v>
      </c>
    </row>
    <row r="482" spans="1:4" x14ac:dyDescent="0.35">
      <c r="A482" s="3" t="str">
        <f>IF(C482="","",(VLOOKUP($C482,KEY!$B$5:$D$74,3,FALSE)))</f>
        <v>Arizona</v>
      </c>
      <c r="B482" s="221" t="s">
        <v>221</v>
      </c>
      <c r="C482" s="222" t="s">
        <v>144</v>
      </c>
      <c r="D482" s="99">
        <v>0.75</v>
      </c>
    </row>
    <row r="483" spans="1:4" x14ac:dyDescent="0.35">
      <c r="A483" s="3" t="str">
        <f>IF(C483="","",(VLOOKUP($C483,KEY!$B$5:$D$74,3,FALSE)))</f>
        <v>Southern California</v>
      </c>
      <c r="B483" s="221" t="s">
        <v>221</v>
      </c>
      <c r="C483" s="222" t="s">
        <v>145</v>
      </c>
      <c r="D483" s="99">
        <v>0.875</v>
      </c>
    </row>
    <row r="484" spans="1:4" x14ac:dyDescent="0.35">
      <c r="A484" s="3" t="str">
        <f>IF(C484="","",(VLOOKUP($C484,KEY!$B$5:$D$74,3,FALSE)))</f>
        <v>Arizona</v>
      </c>
      <c r="B484" s="221" t="s">
        <v>221</v>
      </c>
      <c r="C484" s="222" t="s">
        <v>146</v>
      </c>
      <c r="D484" s="99">
        <v>0.375</v>
      </c>
    </row>
    <row r="485" spans="1:4" x14ac:dyDescent="0.35">
      <c r="A485" s="3" t="str">
        <f>IF(C485="","",(VLOOKUP($C485,KEY!$B$5:$D$74,3,FALSE)))</f>
        <v>Texas</v>
      </c>
      <c r="B485" s="221" t="s">
        <v>221</v>
      </c>
      <c r="C485" s="222" t="s">
        <v>147</v>
      </c>
      <c r="D485" s="99">
        <v>0.875</v>
      </c>
    </row>
    <row r="486" spans="1:4" x14ac:dyDescent="0.35">
      <c r="A486" s="3" t="str">
        <f>IF(C486="","",(VLOOKUP($C486,KEY!$B$5:$D$74,3,FALSE)))</f>
        <v>Northern California</v>
      </c>
      <c r="B486" s="221" t="s">
        <v>221</v>
      </c>
      <c r="C486" s="222" t="s">
        <v>148</v>
      </c>
      <c r="D486" s="99">
        <v>0.625</v>
      </c>
    </row>
    <row r="487" spans="1:4" x14ac:dyDescent="0.35">
      <c r="A487" s="3" t="str">
        <f>IF(C487="","",(VLOOKUP($C487,KEY!$B$5:$D$74,3,FALSE)))</f>
        <v>Orange County</v>
      </c>
      <c r="B487" s="221" t="s">
        <v>221</v>
      </c>
      <c r="C487" s="222" t="s">
        <v>149</v>
      </c>
      <c r="D487" s="99">
        <v>0.5</v>
      </c>
    </row>
    <row r="488" spans="1:4" x14ac:dyDescent="0.35">
      <c r="A488" s="3" t="str">
        <f>IF(C488="","",(VLOOKUP($C488,KEY!$B$5:$D$74,3,FALSE)))</f>
        <v>Southern California</v>
      </c>
      <c r="B488" s="221" t="s">
        <v>221</v>
      </c>
      <c r="C488" s="222" t="s">
        <v>150</v>
      </c>
      <c r="D488" s="99">
        <v>1</v>
      </c>
    </row>
    <row r="489" spans="1:4" x14ac:dyDescent="0.35">
      <c r="A489" s="3" t="str">
        <f>IF(C489="","",(VLOOKUP($C489,KEY!$B$5:$D$74,3,FALSE)))</f>
        <v>Arizona</v>
      </c>
      <c r="B489" s="221" t="s">
        <v>221</v>
      </c>
      <c r="C489" s="222" t="s">
        <v>151</v>
      </c>
      <c r="D489" s="99">
        <v>0.875</v>
      </c>
    </row>
    <row r="490" spans="1:4" x14ac:dyDescent="0.35">
      <c r="A490" s="3" t="str">
        <f>IF(C490="","",(VLOOKUP($C490,KEY!$B$5:$D$74,3,FALSE)))</f>
        <v>Northern California</v>
      </c>
      <c r="B490" s="221" t="s">
        <v>221</v>
      </c>
      <c r="C490" s="222" t="s">
        <v>152</v>
      </c>
      <c r="D490" s="99">
        <v>0.75</v>
      </c>
    </row>
    <row r="491" spans="1:4" x14ac:dyDescent="0.35">
      <c r="A491" s="3" t="str">
        <f>IF(C491="","",(VLOOKUP($C491,KEY!$B$5:$D$74,3,FALSE)))</f>
        <v>Arizona</v>
      </c>
      <c r="B491" s="221" t="s">
        <v>221</v>
      </c>
      <c r="C491" s="222" t="s">
        <v>153</v>
      </c>
      <c r="D491" s="99">
        <v>0.75</v>
      </c>
    </row>
    <row r="492" spans="1:4" x14ac:dyDescent="0.35">
      <c r="A492" s="3" t="str">
        <f>IF(C492="","",(VLOOKUP($C492,KEY!$B$5:$D$74,3,FALSE)))</f>
        <v>Northern California</v>
      </c>
      <c r="B492" s="221" t="s">
        <v>221</v>
      </c>
      <c r="C492" s="222" t="s">
        <v>154</v>
      </c>
      <c r="D492" s="99">
        <v>1</v>
      </c>
    </row>
    <row r="493" spans="1:4" x14ac:dyDescent="0.35">
      <c r="A493" s="3" t="str">
        <f>IF(C493="","",(VLOOKUP($C493,KEY!$B$5:$D$74,3,FALSE)))</f>
        <v>Texas</v>
      </c>
      <c r="B493" s="221" t="s">
        <v>221</v>
      </c>
      <c r="C493" s="222" t="s">
        <v>155</v>
      </c>
      <c r="D493" s="99">
        <v>0.625</v>
      </c>
    </row>
    <row r="494" spans="1:4" x14ac:dyDescent="0.35">
      <c r="A494" s="3" t="str">
        <f>IF(C494="","",(VLOOKUP($C494,KEY!$B$5:$D$74,3,FALSE)))</f>
        <v>Texas</v>
      </c>
      <c r="B494" s="221" t="s">
        <v>221</v>
      </c>
      <c r="C494" s="222" t="s">
        <v>156</v>
      </c>
      <c r="D494" s="99">
        <v>1</v>
      </c>
    </row>
    <row r="495" spans="1:4" x14ac:dyDescent="0.35">
      <c r="A495" s="3" t="str">
        <f>IF(C495="","",(VLOOKUP($C495,KEY!$B$5:$D$74,3,FALSE)))</f>
        <v>Texas</v>
      </c>
      <c r="B495" s="221" t="s">
        <v>221</v>
      </c>
      <c r="C495" s="222" t="s">
        <v>157</v>
      </c>
      <c r="D495" s="99">
        <v>1</v>
      </c>
    </row>
    <row r="496" spans="1:4" x14ac:dyDescent="0.35">
      <c r="A496" s="3" t="str">
        <f>IF(C496="","",(VLOOKUP($C496,KEY!$B$5:$D$74,3,FALSE)))</f>
        <v>Arizona</v>
      </c>
      <c r="B496" s="221" t="s">
        <v>221</v>
      </c>
      <c r="C496" s="222" t="s">
        <v>158</v>
      </c>
      <c r="D496" s="99">
        <v>0.75</v>
      </c>
    </row>
    <row r="497" spans="1:4" x14ac:dyDescent="0.35">
      <c r="A497" s="3" t="str">
        <f>IF(C497="","",(VLOOKUP($C497,KEY!$B$5:$D$74,3,FALSE)))</f>
        <v>Orange County</v>
      </c>
      <c r="B497" s="221" t="s">
        <v>221</v>
      </c>
      <c r="C497" s="222" t="s">
        <v>159</v>
      </c>
      <c r="D497" s="99">
        <v>0.75</v>
      </c>
    </row>
    <row r="498" spans="1:4" x14ac:dyDescent="0.35">
      <c r="A498" s="3" t="str">
        <f>IF(C498="","",(VLOOKUP($C498,KEY!$B$5:$D$74,3,FALSE)))</f>
        <v>Arizona</v>
      </c>
      <c r="B498" s="221" t="s">
        <v>221</v>
      </c>
      <c r="C498" s="222" t="s">
        <v>160</v>
      </c>
      <c r="D498" s="99">
        <v>0.875</v>
      </c>
    </row>
    <row r="499" spans="1:4" x14ac:dyDescent="0.35">
      <c r="A499" s="3" t="str">
        <f>IF(C499="","",(VLOOKUP($C499,KEY!$B$5:$D$74,3,FALSE)))</f>
        <v>Northern California</v>
      </c>
      <c r="B499" s="221" t="s">
        <v>221</v>
      </c>
      <c r="C499" s="222" t="s">
        <v>161</v>
      </c>
      <c r="D499" s="99">
        <v>1</v>
      </c>
    </row>
    <row r="500" spans="1:4" x14ac:dyDescent="0.35">
      <c r="A500" s="3" t="e">
        <f>IF(C500="","",(VLOOKUP($C500,KEY!$B$5:$D$74,3,FALSE)))</f>
        <v>#N/A</v>
      </c>
      <c r="B500" s="221" t="s">
        <v>221</v>
      </c>
      <c r="C500" s="222" t="s">
        <v>162</v>
      </c>
      <c r="D500" s="99">
        <v>1</v>
      </c>
    </row>
    <row r="501" spans="1:4" x14ac:dyDescent="0.35">
      <c r="A501" s="3" t="str">
        <f>IF(C501="","",(VLOOKUP($C501,KEY!$B$5:$D$74,3,FALSE)))</f>
        <v>Arizona</v>
      </c>
      <c r="B501" s="221" t="s">
        <v>221</v>
      </c>
      <c r="C501" s="222" t="s">
        <v>163</v>
      </c>
      <c r="D501" s="99">
        <v>0.875</v>
      </c>
    </row>
    <row r="502" spans="1:4" x14ac:dyDescent="0.35">
      <c r="A502" s="3" t="str">
        <f>IF(C502="","",(VLOOKUP($C502,KEY!$B$5:$D$74,3,FALSE)))</f>
        <v>Arizona</v>
      </c>
      <c r="B502" s="221" t="s">
        <v>221</v>
      </c>
      <c r="C502" s="222" t="s">
        <v>164</v>
      </c>
      <c r="D502" s="99">
        <v>0.75</v>
      </c>
    </row>
    <row r="503" spans="1:4" x14ac:dyDescent="0.35">
      <c r="A503" s="3" t="str">
        <f>IF(C503="","",(VLOOKUP($C503,KEY!$B$5:$D$74,3,FALSE)))</f>
        <v>Orange County</v>
      </c>
      <c r="B503" s="221" t="s">
        <v>221</v>
      </c>
      <c r="C503" s="222" t="s">
        <v>165</v>
      </c>
      <c r="D503" s="99">
        <v>1</v>
      </c>
    </row>
    <row r="504" spans="1:4" x14ac:dyDescent="0.35">
      <c r="A504" s="3" t="str">
        <f>IF(C504="","",(VLOOKUP($C504,KEY!$B$5:$D$74,3,FALSE)))</f>
        <v/>
      </c>
      <c r="B504" s="221" t="s">
        <v>221</v>
      </c>
      <c r="C504" s="222"/>
      <c r="D504" s="99"/>
    </row>
    <row r="505" spans="1:4" x14ac:dyDescent="0.35">
      <c r="A505" s="3" t="str">
        <f>IF(C505="","",(VLOOKUP($C505,KEY!$B$5:$D$74,3,FALSE)))</f>
        <v/>
      </c>
      <c r="B505" s="221" t="s">
        <v>221</v>
      </c>
      <c r="C505" s="222"/>
      <c r="D505" s="99"/>
    </row>
    <row r="506" spans="1:4" x14ac:dyDescent="0.35">
      <c r="A506" s="3" t="str">
        <f>IF(C506="","",(VLOOKUP($C506,KEY!$B$5:$D$74,3,FALSE)))</f>
        <v/>
      </c>
      <c r="B506" s="221" t="s">
        <v>221</v>
      </c>
      <c r="C506" s="222"/>
      <c r="D506" s="99"/>
    </row>
    <row r="507" spans="1:4" x14ac:dyDescent="0.35">
      <c r="A507" s="3" t="str">
        <f>IF(C507="","",(VLOOKUP($C507,KEY!$B$5:$D$74,3,FALSE)))</f>
        <v/>
      </c>
      <c r="B507" s="221" t="s">
        <v>221</v>
      </c>
      <c r="C507" s="222"/>
      <c r="D507" s="99"/>
    </row>
    <row r="508" spans="1:4" x14ac:dyDescent="0.35">
      <c r="A508" s="3" t="str">
        <f>IF(C508="","",(VLOOKUP($C508,KEY!$B$5:$D$74,3,FALSE)))</f>
        <v/>
      </c>
      <c r="B508" s="221" t="s">
        <v>221</v>
      </c>
      <c r="C508" s="222"/>
      <c r="D508" s="99"/>
    </row>
    <row r="509" spans="1:4" x14ac:dyDescent="0.35">
      <c r="A509" s="3" t="str">
        <f>IF(C509="","",(VLOOKUP($C509,KEY!$B$5:$D$74,3,FALSE)))</f>
        <v/>
      </c>
      <c r="B509" s="221" t="s">
        <v>221</v>
      </c>
      <c r="C509" s="222"/>
      <c r="D509" s="99"/>
    </row>
    <row r="510" spans="1:4" x14ac:dyDescent="0.35">
      <c r="A510" s="3" t="str">
        <f>IF(C510="","",(VLOOKUP($C510,KEY!$B$5:$D$74,3,FALSE)))</f>
        <v/>
      </c>
      <c r="B510" s="221" t="s">
        <v>221</v>
      </c>
      <c r="C510" s="222"/>
      <c r="D510" s="99"/>
    </row>
    <row r="511" spans="1:4" x14ac:dyDescent="0.35">
      <c r="A511" s="3" t="str">
        <f>IF(C511="","",(VLOOKUP($C511,KEY!$B$5:$D$74,3,FALSE)))</f>
        <v/>
      </c>
      <c r="B511" s="221" t="s">
        <v>221</v>
      </c>
      <c r="C511" s="222"/>
      <c r="D511" s="99"/>
    </row>
    <row r="512" spans="1:4" x14ac:dyDescent="0.35">
      <c r="A512" s="3" t="str">
        <f>IF(C512="","",(VLOOKUP($C512,KEY!$B$5:$D$74,3,FALSE)))</f>
        <v/>
      </c>
      <c r="B512" s="221" t="s">
        <v>221</v>
      </c>
      <c r="C512" s="222"/>
      <c r="D512" s="99"/>
    </row>
    <row r="513" spans="1:4" x14ac:dyDescent="0.35">
      <c r="A513" s="3" t="str">
        <f>IF(C513="","",(VLOOKUP($C513,KEY!$B$5:$D$74,3,FALSE)))</f>
        <v/>
      </c>
      <c r="B513" s="221" t="s">
        <v>221</v>
      </c>
      <c r="C513" s="222"/>
      <c r="D513" s="99"/>
    </row>
    <row r="514" spans="1:4" x14ac:dyDescent="0.35">
      <c r="A514" s="3" t="str">
        <f>IF(C514="","",(VLOOKUP($C514,KEY!$B$5:$D$74,3,FALSE)))</f>
        <v/>
      </c>
      <c r="B514" s="221" t="s">
        <v>221</v>
      </c>
      <c r="C514" s="222"/>
      <c r="D514" s="99"/>
    </row>
    <row r="515" spans="1:4" x14ac:dyDescent="0.35">
      <c r="A515" s="3" t="str">
        <f>IF(C515="","",(VLOOKUP($C515,KEY!$B$5:$D$74,3,FALSE)))</f>
        <v/>
      </c>
      <c r="B515" s="221" t="s">
        <v>221</v>
      </c>
      <c r="C515" s="222"/>
      <c r="D515" s="99"/>
    </row>
    <row r="516" spans="1:4" x14ac:dyDescent="0.35">
      <c r="A516" s="3" t="str">
        <f>IF(C516="","",(VLOOKUP($C516,KEY!$B$5:$D$74,3,FALSE)))</f>
        <v/>
      </c>
      <c r="B516" s="402" t="s">
        <v>221</v>
      </c>
      <c r="C516" s="403"/>
      <c r="D516" s="405"/>
    </row>
    <row r="517" spans="1:4" x14ac:dyDescent="0.35">
      <c r="A517" s="3" t="str">
        <f>IF(C517="","",(VLOOKUP($C517,KEY!$B$5:$D$74,3,FALSE)))</f>
        <v>Arizona</v>
      </c>
      <c r="B517" s="221" t="s">
        <v>222</v>
      </c>
      <c r="C517" s="222" t="s">
        <v>111</v>
      </c>
      <c r="D517" s="99">
        <v>0.75</v>
      </c>
    </row>
    <row r="518" spans="1:4" x14ac:dyDescent="0.35">
      <c r="A518" s="3" t="str">
        <f>IF(C518="","",(VLOOKUP($C518,KEY!$B$5:$D$74,3,FALSE)))</f>
        <v>Southern California</v>
      </c>
      <c r="B518" s="221" t="s">
        <v>222</v>
      </c>
      <c r="C518" s="222" t="s">
        <v>112</v>
      </c>
      <c r="D518" s="99">
        <v>0.75</v>
      </c>
    </row>
    <row r="519" spans="1:4" x14ac:dyDescent="0.35">
      <c r="A519" s="3" t="str">
        <f>IF(C519="","",(VLOOKUP($C519,KEY!$B$5:$D$74,3,FALSE)))</f>
        <v>Arizona</v>
      </c>
      <c r="B519" s="221" t="s">
        <v>222</v>
      </c>
      <c r="C519" s="222" t="s">
        <v>113</v>
      </c>
      <c r="D519" s="99">
        <v>1</v>
      </c>
    </row>
    <row r="520" spans="1:4" x14ac:dyDescent="0.35">
      <c r="A520" s="3" t="str">
        <f>IF(C520="","",(VLOOKUP($C520,KEY!$B$5:$D$74,3,FALSE)))</f>
        <v>Southern California</v>
      </c>
      <c r="B520" s="221" t="s">
        <v>222</v>
      </c>
      <c r="C520" s="222" t="s">
        <v>114</v>
      </c>
      <c r="D520" s="99">
        <v>1</v>
      </c>
    </row>
    <row r="521" spans="1:4" x14ac:dyDescent="0.35">
      <c r="A521" s="3" t="str">
        <f>IF(C521="","",(VLOOKUP($C521,KEY!$B$5:$D$74,3,FALSE)))</f>
        <v>Orange County</v>
      </c>
      <c r="B521" s="221" t="s">
        <v>222</v>
      </c>
      <c r="C521" s="222" t="s">
        <v>115</v>
      </c>
      <c r="D521" s="99">
        <v>1</v>
      </c>
    </row>
    <row r="522" spans="1:4" x14ac:dyDescent="0.35">
      <c r="A522" s="3" t="str">
        <f>IF(C522="","",(VLOOKUP($C522,KEY!$B$5:$D$74,3,FALSE)))</f>
        <v>Arizona</v>
      </c>
      <c r="B522" s="221" t="s">
        <v>222</v>
      </c>
      <c r="C522" s="222" t="s">
        <v>116</v>
      </c>
      <c r="D522" s="99">
        <v>1</v>
      </c>
    </row>
    <row r="523" spans="1:4" x14ac:dyDescent="0.35">
      <c r="A523" s="3" t="str">
        <f>IF(C523="","",(VLOOKUP($C523,KEY!$B$5:$D$74,3,FALSE)))</f>
        <v>Northern California</v>
      </c>
      <c r="B523" s="221" t="s">
        <v>222</v>
      </c>
      <c r="C523" s="222" t="s">
        <v>118</v>
      </c>
      <c r="D523" s="99">
        <v>0.75</v>
      </c>
    </row>
    <row r="524" spans="1:4" x14ac:dyDescent="0.35">
      <c r="A524" s="3" t="str">
        <f>IF(C524="","",(VLOOKUP($C524,KEY!$B$5:$D$74,3,FALSE)))</f>
        <v>Orange County</v>
      </c>
      <c r="B524" s="221" t="s">
        <v>222</v>
      </c>
      <c r="C524" s="222" t="s">
        <v>117</v>
      </c>
      <c r="D524" s="99">
        <v>1</v>
      </c>
    </row>
    <row r="525" spans="1:4" x14ac:dyDescent="0.35">
      <c r="A525" s="3" t="str">
        <f>IF(C525="","",(VLOOKUP($C525,KEY!$B$5:$D$74,3,FALSE)))</f>
        <v>Arizona</v>
      </c>
      <c r="B525" s="221" t="s">
        <v>222</v>
      </c>
      <c r="C525" s="222" t="s">
        <v>119</v>
      </c>
      <c r="D525" s="99">
        <v>0.875</v>
      </c>
    </row>
    <row r="526" spans="1:4" x14ac:dyDescent="0.35">
      <c r="A526" s="3" t="str">
        <f>IF(C526="","",(VLOOKUP($C526,KEY!$B$5:$D$74,3,FALSE)))</f>
        <v>Arizona</v>
      </c>
      <c r="B526" s="221" t="s">
        <v>222</v>
      </c>
      <c r="C526" s="222" t="s">
        <v>120</v>
      </c>
      <c r="D526" s="99">
        <v>1</v>
      </c>
    </row>
    <row r="527" spans="1:4" x14ac:dyDescent="0.35">
      <c r="A527" s="3" t="str">
        <f>IF(C527="","",(VLOOKUP($C527,KEY!$B$5:$D$74,3,FALSE)))</f>
        <v>Texas</v>
      </c>
      <c r="B527" s="221" t="s">
        <v>222</v>
      </c>
      <c r="C527" s="222" t="s">
        <v>121</v>
      </c>
      <c r="D527" s="99">
        <v>0.625</v>
      </c>
    </row>
    <row r="528" spans="1:4" x14ac:dyDescent="0.35">
      <c r="A528" s="3" t="str">
        <f>IF(C528="","",(VLOOKUP($C528,KEY!$B$5:$D$74,3,FALSE)))</f>
        <v>Michigan &amp; Minnesota</v>
      </c>
      <c r="B528" s="221" t="s">
        <v>222</v>
      </c>
      <c r="C528" s="222" t="s">
        <v>200</v>
      </c>
      <c r="D528" s="99">
        <v>0.5</v>
      </c>
    </row>
    <row r="529" spans="1:4" x14ac:dyDescent="0.35">
      <c r="A529" s="3" t="str">
        <f>IF(C529="","",(VLOOKUP($C529,KEY!$B$5:$D$74,3,FALSE)))</f>
        <v>Orange County</v>
      </c>
      <c r="B529" s="221" t="s">
        <v>222</v>
      </c>
      <c r="C529" s="222" t="s">
        <v>123</v>
      </c>
      <c r="D529" s="99">
        <v>1</v>
      </c>
    </row>
    <row r="530" spans="1:4" x14ac:dyDescent="0.35">
      <c r="A530" s="3" t="str">
        <f>IF(C530="","",(VLOOKUP($C530,KEY!$B$5:$D$74,3,FALSE)))</f>
        <v>Southern California</v>
      </c>
      <c r="B530" s="221" t="s">
        <v>222</v>
      </c>
      <c r="C530" s="222" t="s">
        <v>124</v>
      </c>
      <c r="D530" s="99">
        <v>1</v>
      </c>
    </row>
    <row r="531" spans="1:4" x14ac:dyDescent="0.35">
      <c r="A531" s="3" t="str">
        <f>IF(C531="","",(VLOOKUP($C531,KEY!$B$5:$D$74,3,FALSE)))</f>
        <v>Southern California</v>
      </c>
      <c r="B531" s="221" t="s">
        <v>222</v>
      </c>
      <c r="C531" s="222" t="s">
        <v>122</v>
      </c>
      <c r="D531" s="99">
        <v>0.875</v>
      </c>
    </row>
    <row r="532" spans="1:4" x14ac:dyDescent="0.35">
      <c r="A532" s="3" t="str">
        <f>IF(C532="","",(VLOOKUP($C532,KEY!$B$5:$D$74,3,FALSE)))</f>
        <v>Northern California</v>
      </c>
      <c r="B532" s="221" t="s">
        <v>222</v>
      </c>
      <c r="C532" s="222" t="s">
        <v>195</v>
      </c>
      <c r="D532" s="99">
        <v>0.5</v>
      </c>
    </row>
    <row r="533" spans="1:4" x14ac:dyDescent="0.35">
      <c r="A533" s="3" t="str">
        <f>IF(C533="","",(VLOOKUP($C533,KEY!$B$5:$D$74,3,FALSE)))</f>
        <v>Northern California</v>
      </c>
      <c r="B533" s="221" t="s">
        <v>222</v>
      </c>
      <c r="C533" s="222" t="s">
        <v>125</v>
      </c>
      <c r="D533" s="99">
        <v>0.875</v>
      </c>
    </row>
    <row r="534" spans="1:4" x14ac:dyDescent="0.35">
      <c r="A534" s="3" t="str">
        <f>IF(C534="","",(VLOOKUP($C534,KEY!$B$5:$D$74,3,FALSE)))</f>
        <v>Orange County</v>
      </c>
      <c r="B534" s="221" t="s">
        <v>222</v>
      </c>
      <c r="C534" s="222" t="s">
        <v>126</v>
      </c>
      <c r="D534" s="99">
        <v>0.875</v>
      </c>
    </row>
    <row r="535" spans="1:4" x14ac:dyDescent="0.35">
      <c r="A535" s="3" t="str">
        <f>IF(C535="","",(VLOOKUP($C535,KEY!$B$5:$D$74,3,FALSE)))</f>
        <v>Orange County</v>
      </c>
      <c r="B535" s="221" t="s">
        <v>222</v>
      </c>
      <c r="C535" s="222" t="s">
        <v>127</v>
      </c>
      <c r="D535" s="99">
        <v>0.75</v>
      </c>
    </row>
    <row r="536" spans="1:4" x14ac:dyDescent="0.35">
      <c r="A536" s="3" t="str">
        <f>IF(C536="","",(VLOOKUP($C536,KEY!$B$5:$D$74,3,FALSE)))</f>
        <v>Wisconsin</v>
      </c>
      <c r="B536" s="221" t="s">
        <v>222</v>
      </c>
      <c r="C536" s="222" t="s">
        <v>201</v>
      </c>
      <c r="D536" s="99">
        <v>0.875</v>
      </c>
    </row>
    <row r="537" spans="1:4" x14ac:dyDescent="0.35">
      <c r="A537" s="3" t="e">
        <f>IF(C537="","",(VLOOKUP($C537,KEY!$B$5:$D$74,3,FALSE)))</f>
        <v>#N/A</v>
      </c>
      <c r="B537" s="221" t="s">
        <v>222</v>
      </c>
      <c r="C537" s="222" t="s">
        <v>202</v>
      </c>
      <c r="D537" s="99">
        <v>0.875</v>
      </c>
    </row>
    <row r="538" spans="1:4" x14ac:dyDescent="0.35">
      <c r="A538" s="3" t="str">
        <f>IF(C538="","",(VLOOKUP($C538,KEY!$B$5:$D$74,3,FALSE)))</f>
        <v>Texas</v>
      </c>
      <c r="B538" s="221" t="s">
        <v>222</v>
      </c>
      <c r="C538" s="222" t="s">
        <v>198</v>
      </c>
      <c r="D538" s="99">
        <v>0.75</v>
      </c>
    </row>
    <row r="539" spans="1:4" x14ac:dyDescent="0.35">
      <c r="A539" s="3" t="str">
        <f>IF(C539="","",(VLOOKUP($C539,KEY!$B$5:$D$74,3,FALSE)))</f>
        <v>Texas</v>
      </c>
      <c r="B539" s="221" t="s">
        <v>222</v>
      </c>
      <c r="C539" s="222" t="s">
        <v>128</v>
      </c>
      <c r="D539" s="99">
        <v>1</v>
      </c>
    </row>
    <row r="540" spans="1:4" x14ac:dyDescent="0.35">
      <c r="A540" s="3" t="str">
        <f>IF(C540="","",(VLOOKUP($C540,KEY!$B$5:$D$74,3,FALSE)))</f>
        <v>Northern California</v>
      </c>
      <c r="B540" s="221" t="s">
        <v>222</v>
      </c>
      <c r="C540" s="222" t="s">
        <v>129</v>
      </c>
      <c r="D540" s="99">
        <v>0.625</v>
      </c>
    </row>
    <row r="541" spans="1:4" x14ac:dyDescent="0.35">
      <c r="A541" s="3" t="str">
        <f>IF(C541="","",(VLOOKUP($C541,KEY!$B$5:$D$74,3,FALSE)))</f>
        <v>Southern California</v>
      </c>
      <c r="B541" s="221" t="s">
        <v>222</v>
      </c>
      <c r="C541" s="222" t="s">
        <v>130</v>
      </c>
      <c r="D541" s="99">
        <v>1</v>
      </c>
    </row>
    <row r="542" spans="1:4" x14ac:dyDescent="0.35">
      <c r="A542" s="3" t="e">
        <f>IF(C542="","",(VLOOKUP($C542,KEY!$B$5:$D$74,3,FALSE)))</f>
        <v>#N/A</v>
      </c>
      <c r="B542" s="221" t="s">
        <v>222</v>
      </c>
      <c r="C542" s="222" t="s">
        <v>203</v>
      </c>
      <c r="D542" s="99">
        <v>0.875</v>
      </c>
    </row>
    <row r="543" spans="1:4" x14ac:dyDescent="0.35">
      <c r="A543" s="3">
        <f>IF(C543="","",(VLOOKUP($C543,KEY!$B$5:$D$74,3,FALSE)))</f>
        <v>0</v>
      </c>
      <c r="B543" s="221" t="s">
        <v>222</v>
      </c>
      <c r="C543" s="222" t="s">
        <v>131</v>
      </c>
      <c r="D543" s="99">
        <v>0.875</v>
      </c>
    </row>
    <row r="544" spans="1:4" x14ac:dyDescent="0.35">
      <c r="A544" s="3" t="e">
        <f>IF(C544="","",(VLOOKUP($C544,KEY!$B$5:$D$74,3,FALSE)))</f>
        <v>#N/A</v>
      </c>
      <c r="B544" s="221" t="s">
        <v>222</v>
      </c>
      <c r="C544" s="222" t="s">
        <v>134</v>
      </c>
      <c r="D544" s="99">
        <v>0.625</v>
      </c>
    </row>
    <row r="545" spans="1:4" x14ac:dyDescent="0.35">
      <c r="A545" s="3" t="str">
        <f>IF(C545="","",(VLOOKUP($C545,KEY!$B$5:$D$74,3,FALSE)))</f>
        <v>Southern California</v>
      </c>
      <c r="B545" s="221" t="s">
        <v>222</v>
      </c>
      <c r="C545" s="222" t="s">
        <v>135</v>
      </c>
      <c r="D545" s="99">
        <v>0.875</v>
      </c>
    </row>
    <row r="546" spans="1:4" x14ac:dyDescent="0.35">
      <c r="A546" s="3" t="str">
        <f>IF(C546="","",(VLOOKUP($C546,KEY!$B$5:$D$74,3,FALSE)))</f>
        <v>Arizona</v>
      </c>
      <c r="B546" s="221" t="s">
        <v>222</v>
      </c>
      <c r="C546" s="222" t="s">
        <v>204</v>
      </c>
      <c r="D546" s="99">
        <v>1</v>
      </c>
    </row>
    <row r="547" spans="1:4" x14ac:dyDescent="0.35">
      <c r="A547" s="3" t="str">
        <f>IF(C547="","",(VLOOKUP($C547,KEY!$B$5:$D$74,3,FALSE)))</f>
        <v>Arizona</v>
      </c>
      <c r="B547" s="221" t="s">
        <v>222</v>
      </c>
      <c r="C547" s="222" t="s">
        <v>196</v>
      </c>
      <c r="D547" s="99">
        <v>0.875</v>
      </c>
    </row>
    <row r="548" spans="1:4" x14ac:dyDescent="0.35">
      <c r="A548" s="3" t="str">
        <f>IF(C548="","",(VLOOKUP($C548,KEY!$B$5:$D$74,3,FALSE)))</f>
        <v>Arizona</v>
      </c>
      <c r="B548" s="221" t="s">
        <v>222</v>
      </c>
      <c r="C548" s="222" t="s">
        <v>197</v>
      </c>
      <c r="D548" s="99">
        <v>0.75</v>
      </c>
    </row>
    <row r="549" spans="1:4" x14ac:dyDescent="0.35">
      <c r="A549" s="3" t="str">
        <f>IF(C549="","",(VLOOKUP($C549,KEY!$B$5:$D$74,3,FALSE)))</f>
        <v>Texas</v>
      </c>
      <c r="B549" s="221" t="s">
        <v>222</v>
      </c>
      <c r="C549" s="222" t="s">
        <v>136</v>
      </c>
      <c r="D549" s="99">
        <v>0.875</v>
      </c>
    </row>
    <row r="550" spans="1:4" x14ac:dyDescent="0.35">
      <c r="A550" s="3" t="str">
        <f>IF(C550="","",(VLOOKUP($C550,KEY!$B$5:$D$74,3,FALSE)))</f>
        <v>Arizona</v>
      </c>
      <c r="B550" s="221" t="s">
        <v>222</v>
      </c>
      <c r="C550" s="222" t="s">
        <v>137</v>
      </c>
      <c r="D550" s="99">
        <v>0.75</v>
      </c>
    </row>
    <row r="551" spans="1:4" x14ac:dyDescent="0.35">
      <c r="A551" s="3" t="str">
        <f>IF(C551="","",(VLOOKUP($C551,KEY!$B$5:$D$74,3,FALSE)))</f>
        <v>Texas</v>
      </c>
      <c r="B551" s="221" t="s">
        <v>222</v>
      </c>
      <c r="C551" s="222" t="s">
        <v>138</v>
      </c>
      <c r="D551" s="99">
        <v>0.875</v>
      </c>
    </row>
    <row r="552" spans="1:4" x14ac:dyDescent="0.35">
      <c r="A552" s="3" t="str">
        <f>IF(C552="","",(VLOOKUP($C552,KEY!$B$5:$D$74,3,FALSE)))</f>
        <v>Southern California</v>
      </c>
      <c r="B552" s="221" t="s">
        <v>222</v>
      </c>
      <c r="C552" s="222" t="s">
        <v>139</v>
      </c>
      <c r="D552" s="99">
        <v>1</v>
      </c>
    </row>
    <row r="553" spans="1:4" x14ac:dyDescent="0.35">
      <c r="A553" s="3" t="str">
        <f>IF(C553="","",(VLOOKUP($C553,KEY!$B$5:$D$74,3,FALSE)))</f>
        <v>Orange County</v>
      </c>
      <c r="B553" s="221" t="s">
        <v>222</v>
      </c>
      <c r="C553" s="222" t="s">
        <v>140</v>
      </c>
      <c r="D553" s="99">
        <v>1</v>
      </c>
    </row>
    <row r="554" spans="1:4" x14ac:dyDescent="0.35">
      <c r="A554" s="3" t="str">
        <f>IF(C554="","",(VLOOKUP($C554,KEY!$B$5:$D$74,3,FALSE)))</f>
        <v>Southern California</v>
      </c>
      <c r="B554" s="221" t="s">
        <v>222</v>
      </c>
      <c r="C554" s="222" t="s">
        <v>142</v>
      </c>
      <c r="D554" s="99">
        <v>0.625</v>
      </c>
    </row>
    <row r="555" spans="1:4" x14ac:dyDescent="0.35">
      <c r="A555" s="3" t="str">
        <f>IF(C555="","",(VLOOKUP($C555,KEY!$B$5:$D$74,3,FALSE)))</f>
        <v>Arizona</v>
      </c>
      <c r="B555" s="221" t="s">
        <v>222</v>
      </c>
      <c r="C555" s="222" t="s">
        <v>143</v>
      </c>
      <c r="D555" s="99">
        <v>1</v>
      </c>
    </row>
    <row r="556" spans="1:4" x14ac:dyDescent="0.35">
      <c r="A556" s="3" t="str">
        <f>IF(C556="","",(VLOOKUP($C556,KEY!$B$5:$D$74,3,FALSE)))</f>
        <v>Arizona</v>
      </c>
      <c r="B556" s="221" t="s">
        <v>222</v>
      </c>
      <c r="C556" s="222" t="s">
        <v>144</v>
      </c>
      <c r="D556" s="99">
        <v>1</v>
      </c>
    </row>
    <row r="557" spans="1:4" x14ac:dyDescent="0.35">
      <c r="A557" s="3" t="str">
        <f>IF(C557="","",(VLOOKUP($C557,KEY!$B$5:$D$74,3,FALSE)))</f>
        <v>Southern California</v>
      </c>
      <c r="B557" s="221" t="s">
        <v>222</v>
      </c>
      <c r="C557" s="222" t="s">
        <v>145</v>
      </c>
      <c r="D557" s="99">
        <v>0.75</v>
      </c>
    </row>
    <row r="558" spans="1:4" x14ac:dyDescent="0.35">
      <c r="A558" s="3" t="str">
        <f>IF(C558="","",(VLOOKUP($C558,KEY!$B$5:$D$74,3,FALSE)))</f>
        <v>Arizona</v>
      </c>
      <c r="B558" s="221" t="s">
        <v>222</v>
      </c>
      <c r="C558" s="222" t="s">
        <v>146</v>
      </c>
      <c r="D558" s="99">
        <v>0.75</v>
      </c>
    </row>
    <row r="559" spans="1:4" x14ac:dyDescent="0.35">
      <c r="A559" s="3" t="str">
        <f>IF(C559="","",(VLOOKUP($C559,KEY!$B$5:$D$74,3,FALSE)))</f>
        <v>Texas</v>
      </c>
      <c r="B559" s="221" t="s">
        <v>222</v>
      </c>
      <c r="C559" s="222" t="s">
        <v>147</v>
      </c>
      <c r="D559" s="99">
        <v>0.875</v>
      </c>
    </row>
    <row r="560" spans="1:4" x14ac:dyDescent="0.35">
      <c r="A560" s="3" t="str">
        <f>IF(C560="","",(VLOOKUP($C560,KEY!$B$5:$D$74,3,FALSE)))</f>
        <v>Northern California</v>
      </c>
      <c r="B560" s="221" t="s">
        <v>222</v>
      </c>
      <c r="C560" s="222" t="s">
        <v>148</v>
      </c>
      <c r="D560" s="99">
        <v>0.75</v>
      </c>
    </row>
    <row r="561" spans="1:4" x14ac:dyDescent="0.35">
      <c r="A561" s="3" t="str">
        <f>IF(C561="","",(VLOOKUP($C561,KEY!$B$5:$D$74,3,FALSE)))</f>
        <v>Orange County</v>
      </c>
      <c r="B561" s="221" t="s">
        <v>222</v>
      </c>
      <c r="C561" s="222" t="s">
        <v>149</v>
      </c>
      <c r="D561" s="99">
        <v>1</v>
      </c>
    </row>
    <row r="562" spans="1:4" x14ac:dyDescent="0.35">
      <c r="A562" s="3" t="str">
        <f>IF(C562="","",(VLOOKUP($C562,KEY!$B$5:$D$74,3,FALSE)))</f>
        <v>Southern California</v>
      </c>
      <c r="B562" s="221" t="s">
        <v>222</v>
      </c>
      <c r="C562" s="222" t="s">
        <v>150</v>
      </c>
      <c r="D562" s="99">
        <v>0.75</v>
      </c>
    </row>
    <row r="563" spans="1:4" x14ac:dyDescent="0.35">
      <c r="A563" s="3" t="str">
        <f>IF(C563="","",(VLOOKUP($C563,KEY!$B$5:$D$74,3,FALSE)))</f>
        <v>Arizona</v>
      </c>
      <c r="B563" s="221" t="s">
        <v>222</v>
      </c>
      <c r="C563" s="222" t="s">
        <v>151</v>
      </c>
      <c r="D563" s="99">
        <v>1</v>
      </c>
    </row>
    <row r="564" spans="1:4" x14ac:dyDescent="0.35">
      <c r="A564" s="3" t="str">
        <f>IF(C564="","",(VLOOKUP($C564,KEY!$B$5:$D$74,3,FALSE)))</f>
        <v>Michigan &amp; Minnesota</v>
      </c>
      <c r="B564" s="221" t="s">
        <v>222</v>
      </c>
      <c r="C564" s="222" t="s">
        <v>206</v>
      </c>
      <c r="D564" s="99">
        <v>0.5</v>
      </c>
    </row>
    <row r="565" spans="1:4" x14ac:dyDescent="0.35">
      <c r="A565" s="3" t="str">
        <f>IF(C565="","",(VLOOKUP($C565,KEY!$B$5:$D$74,3,FALSE)))</f>
        <v>Michigan &amp; Minnesota</v>
      </c>
      <c r="B565" s="221" t="s">
        <v>222</v>
      </c>
      <c r="C565" s="222" t="s">
        <v>207</v>
      </c>
      <c r="D565" s="99">
        <v>0.625</v>
      </c>
    </row>
    <row r="566" spans="1:4" x14ac:dyDescent="0.35">
      <c r="A566" s="3" t="str">
        <f>IF(C566="","",(VLOOKUP($C566,KEY!$B$5:$D$74,3,FALSE)))</f>
        <v>Indiana</v>
      </c>
      <c r="B566" s="221" t="s">
        <v>222</v>
      </c>
      <c r="C566" s="222" t="s">
        <v>208</v>
      </c>
      <c r="D566" s="99">
        <v>0.375</v>
      </c>
    </row>
    <row r="567" spans="1:4" x14ac:dyDescent="0.35">
      <c r="A567" s="3" t="str">
        <f>IF(C567="","",(VLOOKUP($C567,KEY!$B$5:$D$74,3,FALSE)))</f>
        <v>Indiana</v>
      </c>
      <c r="B567" s="221" t="s">
        <v>222</v>
      </c>
      <c r="C567" s="222" t="s">
        <v>209</v>
      </c>
      <c r="D567" s="99">
        <v>0.5</v>
      </c>
    </row>
    <row r="568" spans="1:4" x14ac:dyDescent="0.35">
      <c r="A568" s="3" t="str">
        <f>IF(C568="","",(VLOOKUP($C568,KEY!$B$5:$D$74,3,FALSE)))</f>
        <v>Northern California</v>
      </c>
      <c r="B568" s="221" t="s">
        <v>222</v>
      </c>
      <c r="C568" s="222" t="s">
        <v>152</v>
      </c>
      <c r="D568" s="99">
        <v>0.625</v>
      </c>
    </row>
    <row r="569" spans="1:4" x14ac:dyDescent="0.35">
      <c r="A569" s="3" t="str">
        <f>IF(C569="","",(VLOOKUP($C569,KEY!$B$5:$D$74,3,FALSE)))</f>
        <v>Arizona</v>
      </c>
      <c r="B569" s="221" t="s">
        <v>222</v>
      </c>
      <c r="C569" s="222" t="s">
        <v>153</v>
      </c>
      <c r="D569" s="99">
        <v>0.625</v>
      </c>
    </row>
    <row r="570" spans="1:4" x14ac:dyDescent="0.35">
      <c r="A570" s="3" t="str">
        <f>IF(C570="","",(VLOOKUP($C570,KEY!$B$5:$D$74,3,FALSE)))</f>
        <v>Northern California</v>
      </c>
      <c r="B570" s="221" t="s">
        <v>222</v>
      </c>
      <c r="C570" s="222" t="s">
        <v>154</v>
      </c>
      <c r="D570" s="99">
        <v>0.875</v>
      </c>
    </row>
    <row r="571" spans="1:4" x14ac:dyDescent="0.35">
      <c r="A571" s="3" t="str">
        <f>IF(C571="","",(VLOOKUP($C571,KEY!$B$5:$D$74,3,FALSE)))</f>
        <v>Texas</v>
      </c>
      <c r="B571" s="221" t="s">
        <v>222</v>
      </c>
      <c r="C571" s="222" t="s">
        <v>155</v>
      </c>
      <c r="D571" s="99">
        <v>0.875</v>
      </c>
    </row>
    <row r="572" spans="1:4" x14ac:dyDescent="0.35">
      <c r="A572" s="3" t="str">
        <f>IF(C572="","",(VLOOKUP($C572,KEY!$B$5:$D$74,3,FALSE)))</f>
        <v>Texas</v>
      </c>
      <c r="B572" s="221" t="s">
        <v>222</v>
      </c>
      <c r="C572" s="222" t="s">
        <v>156</v>
      </c>
      <c r="D572" s="99">
        <v>1</v>
      </c>
    </row>
    <row r="573" spans="1:4" x14ac:dyDescent="0.35">
      <c r="A573" s="3" t="str">
        <f>IF(C573="","",(VLOOKUP($C573,KEY!$B$5:$D$74,3,FALSE)))</f>
        <v>Texas</v>
      </c>
      <c r="B573" s="221" t="s">
        <v>222</v>
      </c>
      <c r="C573" s="222" t="s">
        <v>157</v>
      </c>
      <c r="D573" s="99">
        <v>0.75</v>
      </c>
    </row>
    <row r="574" spans="1:4" x14ac:dyDescent="0.35">
      <c r="A574" s="3" t="str">
        <f>IF(C574="","",(VLOOKUP($C574,KEY!$B$5:$D$74,3,FALSE)))</f>
        <v>Arizona</v>
      </c>
      <c r="B574" s="221" t="s">
        <v>222</v>
      </c>
      <c r="C574" s="222" t="s">
        <v>158</v>
      </c>
      <c r="D574" s="99">
        <v>0.5</v>
      </c>
    </row>
    <row r="575" spans="1:4" x14ac:dyDescent="0.35">
      <c r="A575" s="3" t="str">
        <f>IF(C575="","",(VLOOKUP($C575,KEY!$B$5:$D$74,3,FALSE)))</f>
        <v>Orange County</v>
      </c>
      <c r="B575" s="221" t="s">
        <v>222</v>
      </c>
      <c r="C575" s="222" t="s">
        <v>159</v>
      </c>
      <c r="D575" s="99">
        <v>0.875</v>
      </c>
    </row>
    <row r="576" spans="1:4" x14ac:dyDescent="0.35">
      <c r="A576" s="3" t="str">
        <f>IF(C576="","",(VLOOKUP($C576,KEY!$B$5:$D$74,3,FALSE)))</f>
        <v>Arizona</v>
      </c>
      <c r="B576" s="221" t="s">
        <v>222</v>
      </c>
      <c r="C576" s="222" t="s">
        <v>160</v>
      </c>
      <c r="D576" s="99">
        <v>1</v>
      </c>
    </row>
    <row r="577" spans="1:4" x14ac:dyDescent="0.35">
      <c r="A577" s="3" t="str">
        <f>IF(C577="","",(VLOOKUP($C577,KEY!$B$5:$D$74,3,FALSE)))</f>
        <v>Northern California</v>
      </c>
      <c r="B577" s="221" t="s">
        <v>222</v>
      </c>
      <c r="C577" s="222" t="s">
        <v>161</v>
      </c>
      <c r="D577" s="99">
        <v>0.875</v>
      </c>
    </row>
    <row r="578" spans="1:4" x14ac:dyDescent="0.35">
      <c r="A578" s="3" t="str">
        <f>IF(C578="","",(VLOOKUP($C578,KEY!$B$5:$D$74,3,FALSE)))</f>
        <v>Arizona</v>
      </c>
      <c r="B578" s="221" t="s">
        <v>222</v>
      </c>
      <c r="C578" s="222" t="s">
        <v>163</v>
      </c>
      <c r="D578" s="99">
        <v>0.875</v>
      </c>
    </row>
    <row r="579" spans="1:4" x14ac:dyDescent="0.35">
      <c r="A579" s="3" t="str">
        <f>IF(C579="","",(VLOOKUP($C579,KEY!$B$5:$D$74,3,FALSE)))</f>
        <v>Arizona</v>
      </c>
      <c r="B579" s="221" t="s">
        <v>222</v>
      </c>
      <c r="C579" s="222" t="s">
        <v>164</v>
      </c>
      <c r="D579" s="99">
        <v>0.75</v>
      </c>
    </row>
    <row r="580" spans="1:4" x14ac:dyDescent="0.35">
      <c r="A580" s="3" t="str">
        <f>IF(C580="","",(VLOOKUP($C580,KEY!$B$5:$D$74,3,FALSE)))</f>
        <v>Orange County</v>
      </c>
      <c r="B580" s="221" t="s">
        <v>222</v>
      </c>
      <c r="C580" s="222" t="s">
        <v>165</v>
      </c>
      <c r="D580" s="99">
        <v>0.875</v>
      </c>
    </row>
    <row r="581" spans="1:4" x14ac:dyDescent="0.35">
      <c r="A581" s="3" t="str">
        <f>IF(C581="","",(VLOOKUP($C581,KEY!$B$5:$D$74,3,FALSE)))</f>
        <v/>
      </c>
      <c r="B581" s="221" t="s">
        <v>222</v>
      </c>
      <c r="C581" s="222"/>
      <c r="D581" s="99"/>
    </row>
    <row r="582" spans="1:4" x14ac:dyDescent="0.35">
      <c r="A582" s="3" t="str">
        <f>IF(C582="","",(VLOOKUP($C582,KEY!$B$5:$D$74,3,FALSE)))</f>
        <v/>
      </c>
      <c r="B582" s="221" t="s">
        <v>222</v>
      </c>
      <c r="C582" s="222"/>
      <c r="D582" s="99"/>
    </row>
    <row r="583" spans="1:4" x14ac:dyDescent="0.35">
      <c r="A583" s="3" t="str">
        <f>IF(C583="","",(VLOOKUP($C583,KEY!$B$5:$D$74,3,FALSE)))</f>
        <v/>
      </c>
      <c r="B583" s="221" t="s">
        <v>222</v>
      </c>
      <c r="C583" s="222"/>
      <c r="D583" s="99"/>
    </row>
    <row r="584" spans="1:4" x14ac:dyDescent="0.35">
      <c r="A584" s="3" t="str">
        <f>IF(C584="","",(VLOOKUP($C584,KEY!$B$5:$D$74,3,FALSE)))</f>
        <v/>
      </c>
      <c r="B584" s="221" t="s">
        <v>222</v>
      </c>
      <c r="C584" s="222"/>
      <c r="D584" s="99"/>
    </row>
    <row r="585" spans="1:4" x14ac:dyDescent="0.35">
      <c r="A585" s="3" t="str">
        <f>IF(C585="","",(VLOOKUP($C585,KEY!$B$5:$D$74,3,FALSE)))</f>
        <v/>
      </c>
      <c r="B585" s="221" t="s">
        <v>222</v>
      </c>
      <c r="C585" s="222"/>
      <c r="D585" s="99"/>
    </row>
    <row r="586" spans="1:4" x14ac:dyDescent="0.35">
      <c r="A586" s="3" t="str">
        <f>IF(C586="","",(VLOOKUP($C586,KEY!$B$5:$D$74,3,FALSE)))</f>
        <v/>
      </c>
      <c r="B586" s="402" t="s">
        <v>222</v>
      </c>
      <c r="C586" s="403"/>
      <c r="D586" s="405"/>
    </row>
    <row r="587" spans="1:4" x14ac:dyDescent="0.35">
      <c r="A587" s="3" t="str">
        <f>IF(C587="","",(VLOOKUP($C587,KEY!$B$5:$D$74,3,FALSE)))</f>
        <v>Arizona</v>
      </c>
      <c r="B587" s="221" t="s">
        <v>223</v>
      </c>
      <c r="C587" s="222" t="s">
        <v>111</v>
      </c>
      <c r="D587" s="99">
        <v>1</v>
      </c>
    </row>
    <row r="588" spans="1:4" x14ac:dyDescent="0.35">
      <c r="A588" s="3" t="str">
        <f>IF(C588="","",(VLOOKUP($C588,KEY!$B$5:$D$74,3,FALSE)))</f>
        <v>Southern California</v>
      </c>
      <c r="B588" s="221" t="s">
        <v>223</v>
      </c>
      <c r="C588" s="222" t="s">
        <v>112</v>
      </c>
      <c r="D588" s="99">
        <v>0.75</v>
      </c>
    </row>
    <row r="589" spans="1:4" x14ac:dyDescent="0.35">
      <c r="A589" s="3" t="str">
        <f>IF(C589="","",(VLOOKUP($C589,KEY!$B$5:$D$74,3,FALSE)))</f>
        <v>Arizona</v>
      </c>
      <c r="B589" s="221" t="s">
        <v>223</v>
      </c>
      <c r="C589" s="222" t="s">
        <v>113</v>
      </c>
      <c r="D589" s="99">
        <v>0.625</v>
      </c>
    </row>
    <row r="590" spans="1:4" x14ac:dyDescent="0.35">
      <c r="A590" s="3" t="str">
        <f>IF(C590="","",(VLOOKUP($C590,KEY!$B$5:$D$74,3,FALSE)))</f>
        <v>Southern California</v>
      </c>
      <c r="B590" s="221" t="s">
        <v>223</v>
      </c>
      <c r="C590" s="222" t="s">
        <v>114</v>
      </c>
      <c r="D590" s="99">
        <v>0.625</v>
      </c>
    </row>
    <row r="591" spans="1:4" x14ac:dyDescent="0.35">
      <c r="A591" s="3" t="str">
        <f>IF(C591="","",(VLOOKUP($C591,KEY!$B$5:$D$74,3,FALSE)))</f>
        <v>Orange County</v>
      </c>
      <c r="B591" s="221" t="s">
        <v>223</v>
      </c>
      <c r="C591" s="222" t="s">
        <v>115</v>
      </c>
      <c r="D591" s="99">
        <v>0.75</v>
      </c>
    </row>
    <row r="592" spans="1:4" x14ac:dyDescent="0.35">
      <c r="A592" s="3" t="str">
        <f>IF(C592="","",(VLOOKUP($C592,KEY!$B$5:$D$74,3,FALSE)))</f>
        <v>Arizona</v>
      </c>
      <c r="B592" s="221" t="s">
        <v>223</v>
      </c>
      <c r="C592" s="222" t="s">
        <v>116</v>
      </c>
      <c r="D592" s="99">
        <v>0.75</v>
      </c>
    </row>
    <row r="593" spans="1:4" x14ac:dyDescent="0.35">
      <c r="A593" s="3" t="str">
        <f>IF(C593="","",(VLOOKUP($C593,KEY!$B$5:$D$74,3,FALSE)))</f>
        <v>Northern California</v>
      </c>
      <c r="B593" s="221" t="s">
        <v>223</v>
      </c>
      <c r="C593" s="222" t="s">
        <v>118</v>
      </c>
      <c r="D593" s="99">
        <v>1</v>
      </c>
    </row>
    <row r="594" spans="1:4" x14ac:dyDescent="0.35">
      <c r="A594" s="3" t="str">
        <f>IF(C594="","",(VLOOKUP($C594,KEY!$B$5:$D$74,3,FALSE)))</f>
        <v>Orange County</v>
      </c>
      <c r="B594" s="221" t="s">
        <v>223</v>
      </c>
      <c r="C594" s="222" t="s">
        <v>117</v>
      </c>
      <c r="D594" s="99">
        <v>0.75</v>
      </c>
    </row>
    <row r="595" spans="1:4" x14ac:dyDescent="0.35">
      <c r="A595" s="3" t="str">
        <f>IF(C595="","",(VLOOKUP($C595,KEY!$B$5:$D$74,3,FALSE)))</f>
        <v>Arizona</v>
      </c>
      <c r="B595" s="221" t="s">
        <v>223</v>
      </c>
      <c r="C595" s="222" t="s">
        <v>119</v>
      </c>
      <c r="D595" s="99">
        <v>1</v>
      </c>
    </row>
    <row r="596" spans="1:4" x14ac:dyDescent="0.35">
      <c r="A596" s="3" t="str">
        <f>IF(C596="","",(VLOOKUP($C596,KEY!$B$5:$D$74,3,FALSE)))</f>
        <v>Arizona</v>
      </c>
      <c r="B596" s="221" t="s">
        <v>223</v>
      </c>
      <c r="C596" s="222" t="s">
        <v>120</v>
      </c>
      <c r="D596" s="99">
        <v>1</v>
      </c>
    </row>
    <row r="597" spans="1:4" x14ac:dyDescent="0.35">
      <c r="A597" s="3" t="str">
        <f>IF(C597="","",(VLOOKUP($C597,KEY!$B$5:$D$74,3,FALSE)))</f>
        <v>Texas</v>
      </c>
      <c r="B597" s="221" t="s">
        <v>223</v>
      </c>
      <c r="C597" s="222" t="s">
        <v>121</v>
      </c>
      <c r="D597" s="99">
        <v>0.625</v>
      </c>
    </row>
    <row r="598" spans="1:4" x14ac:dyDescent="0.35">
      <c r="A598" s="3" t="str">
        <f>IF(C598="","",(VLOOKUP($C598,KEY!$B$5:$D$74,3,FALSE)))</f>
        <v>Michigan &amp; Minnesota</v>
      </c>
      <c r="B598" s="221" t="s">
        <v>223</v>
      </c>
      <c r="C598" s="222" t="s">
        <v>200</v>
      </c>
      <c r="D598" s="99">
        <v>0.25</v>
      </c>
    </row>
    <row r="599" spans="1:4" x14ac:dyDescent="0.35">
      <c r="A599" s="3" t="str">
        <f>IF(C599="","",(VLOOKUP($C599,KEY!$B$5:$D$74,3,FALSE)))</f>
        <v>Orange County</v>
      </c>
      <c r="B599" s="221" t="s">
        <v>223</v>
      </c>
      <c r="C599" s="222" t="s">
        <v>123</v>
      </c>
      <c r="D599" s="99">
        <v>0.75</v>
      </c>
    </row>
    <row r="600" spans="1:4" x14ac:dyDescent="0.35">
      <c r="A600" s="3" t="str">
        <f>IF(C600="","",(VLOOKUP($C600,KEY!$B$5:$D$74,3,FALSE)))</f>
        <v>Southern California</v>
      </c>
      <c r="B600" s="221" t="s">
        <v>223</v>
      </c>
      <c r="C600" s="222" t="s">
        <v>124</v>
      </c>
      <c r="D600" s="99">
        <v>0.625</v>
      </c>
    </row>
    <row r="601" spans="1:4" x14ac:dyDescent="0.35">
      <c r="A601" s="3" t="str">
        <f>IF(C601="","",(VLOOKUP($C601,KEY!$B$5:$D$74,3,FALSE)))</f>
        <v>Southern California</v>
      </c>
      <c r="B601" s="221" t="s">
        <v>223</v>
      </c>
      <c r="C601" s="222" t="s">
        <v>122</v>
      </c>
      <c r="D601" s="99">
        <v>0.875</v>
      </c>
    </row>
    <row r="602" spans="1:4" x14ac:dyDescent="0.35">
      <c r="A602" s="3" t="str">
        <f>IF(C602="","",(VLOOKUP($C602,KEY!$B$5:$D$74,3,FALSE)))</f>
        <v>Northern California</v>
      </c>
      <c r="B602" s="221" t="s">
        <v>223</v>
      </c>
      <c r="C602" s="222" t="s">
        <v>195</v>
      </c>
      <c r="D602" s="99">
        <v>0.625</v>
      </c>
    </row>
    <row r="603" spans="1:4" x14ac:dyDescent="0.35">
      <c r="A603" s="3" t="str">
        <f>IF(C603="","",(VLOOKUP($C603,KEY!$B$5:$D$74,3,FALSE)))</f>
        <v>Northern California</v>
      </c>
      <c r="B603" s="221" t="s">
        <v>223</v>
      </c>
      <c r="C603" s="222" t="s">
        <v>125</v>
      </c>
      <c r="D603" s="99">
        <v>1</v>
      </c>
    </row>
    <row r="604" spans="1:4" x14ac:dyDescent="0.35">
      <c r="A604" s="3" t="str">
        <f>IF(C604="","",(VLOOKUP($C604,KEY!$B$5:$D$74,3,FALSE)))</f>
        <v>Orange County</v>
      </c>
      <c r="B604" s="221" t="s">
        <v>223</v>
      </c>
      <c r="C604" s="222" t="s">
        <v>126</v>
      </c>
      <c r="D604" s="99">
        <v>1</v>
      </c>
    </row>
    <row r="605" spans="1:4" x14ac:dyDescent="0.35">
      <c r="A605" s="3" t="str">
        <f>IF(C605="","",(VLOOKUP($C605,KEY!$B$5:$D$74,3,FALSE)))</f>
        <v>Orange County</v>
      </c>
      <c r="B605" s="221" t="s">
        <v>223</v>
      </c>
      <c r="C605" s="222" t="s">
        <v>127</v>
      </c>
      <c r="D605" s="99">
        <v>1</v>
      </c>
    </row>
    <row r="606" spans="1:4" x14ac:dyDescent="0.35">
      <c r="A606" s="3" t="str">
        <f>IF(C606="","",(VLOOKUP($C606,KEY!$B$5:$D$74,3,FALSE)))</f>
        <v>Wisconsin</v>
      </c>
      <c r="B606" s="221" t="s">
        <v>223</v>
      </c>
      <c r="C606" s="222" t="s">
        <v>201</v>
      </c>
      <c r="D606" s="99">
        <v>1</v>
      </c>
    </row>
    <row r="607" spans="1:4" x14ac:dyDescent="0.35">
      <c r="A607" s="3" t="e">
        <f>IF(C607="","",(VLOOKUP($C607,KEY!$B$5:$D$74,3,FALSE)))</f>
        <v>#N/A</v>
      </c>
      <c r="B607" s="221" t="s">
        <v>223</v>
      </c>
      <c r="C607" s="222" t="s">
        <v>202</v>
      </c>
      <c r="D607" s="99">
        <v>0.625</v>
      </c>
    </row>
    <row r="608" spans="1:4" x14ac:dyDescent="0.35">
      <c r="A608" s="3" t="str">
        <f>IF(C608="","",(VLOOKUP($C608,KEY!$B$5:$D$74,3,FALSE)))</f>
        <v>Texas</v>
      </c>
      <c r="B608" s="221" t="s">
        <v>223</v>
      </c>
      <c r="C608" s="222" t="s">
        <v>198</v>
      </c>
      <c r="D608" s="99">
        <v>0.625</v>
      </c>
    </row>
    <row r="609" spans="1:4" x14ac:dyDescent="0.35">
      <c r="A609" s="3" t="str">
        <f>IF(C609="","",(VLOOKUP($C609,KEY!$B$5:$D$74,3,FALSE)))</f>
        <v>Texas</v>
      </c>
      <c r="B609" s="221" t="s">
        <v>223</v>
      </c>
      <c r="C609" s="222" t="s">
        <v>128</v>
      </c>
      <c r="D609" s="99">
        <v>0.75</v>
      </c>
    </row>
    <row r="610" spans="1:4" x14ac:dyDescent="0.35">
      <c r="A610" s="3" t="str">
        <f>IF(C610="","",(VLOOKUP($C610,KEY!$B$5:$D$74,3,FALSE)))</f>
        <v>Northern California</v>
      </c>
      <c r="B610" s="221" t="s">
        <v>223</v>
      </c>
      <c r="C610" s="222" t="s">
        <v>129</v>
      </c>
      <c r="D610" s="99">
        <v>0.5</v>
      </c>
    </row>
    <row r="611" spans="1:4" x14ac:dyDescent="0.35">
      <c r="A611" s="3" t="str">
        <f>IF(C611="","",(VLOOKUP($C611,KEY!$B$5:$D$74,3,FALSE)))</f>
        <v>Southern California</v>
      </c>
      <c r="B611" s="221" t="s">
        <v>223</v>
      </c>
      <c r="C611" s="222" t="s">
        <v>130</v>
      </c>
      <c r="D611" s="99">
        <v>0.625</v>
      </c>
    </row>
    <row r="612" spans="1:4" x14ac:dyDescent="0.35">
      <c r="A612" s="3" t="e">
        <f>IF(C612="","",(VLOOKUP($C612,KEY!$B$5:$D$74,3,FALSE)))</f>
        <v>#N/A</v>
      </c>
      <c r="B612" s="221" t="s">
        <v>223</v>
      </c>
      <c r="C612" s="222" t="s">
        <v>203</v>
      </c>
      <c r="D612" s="99">
        <v>0.75</v>
      </c>
    </row>
    <row r="613" spans="1:4" x14ac:dyDescent="0.35">
      <c r="A613" s="3">
        <f>IF(C613="","",(VLOOKUP($C613,KEY!$B$5:$D$74,3,FALSE)))</f>
        <v>0</v>
      </c>
      <c r="B613" s="221" t="s">
        <v>223</v>
      </c>
      <c r="C613" s="222" t="s">
        <v>131</v>
      </c>
      <c r="D613" s="99">
        <v>1</v>
      </c>
    </row>
    <row r="614" spans="1:4" x14ac:dyDescent="0.35">
      <c r="A614" s="3" t="e">
        <f>IF(C614="","",(VLOOKUP($C614,KEY!$B$5:$D$74,3,FALSE)))</f>
        <v>#N/A</v>
      </c>
      <c r="B614" s="221" t="s">
        <v>223</v>
      </c>
      <c r="C614" s="222" t="s">
        <v>134</v>
      </c>
      <c r="D614" s="99">
        <v>0.625</v>
      </c>
    </row>
    <row r="615" spans="1:4" x14ac:dyDescent="0.35">
      <c r="A615" s="3" t="str">
        <f>IF(C615="","",(VLOOKUP($C615,KEY!$B$5:$D$74,3,FALSE)))</f>
        <v>Southern California</v>
      </c>
      <c r="B615" s="221" t="s">
        <v>223</v>
      </c>
      <c r="C615" s="222" t="s">
        <v>135</v>
      </c>
      <c r="D615" s="99">
        <v>0.875</v>
      </c>
    </row>
    <row r="616" spans="1:4" x14ac:dyDescent="0.35">
      <c r="A616" s="3" t="str">
        <f>IF(C616="","",(VLOOKUP($C616,KEY!$B$5:$D$74,3,FALSE)))</f>
        <v>Arizona</v>
      </c>
      <c r="B616" s="221" t="s">
        <v>223</v>
      </c>
      <c r="C616" s="222" t="s">
        <v>204</v>
      </c>
      <c r="D616" s="99">
        <v>0.875</v>
      </c>
    </row>
    <row r="617" spans="1:4" x14ac:dyDescent="0.35">
      <c r="A617" s="3" t="str">
        <f>IF(C617="","",(VLOOKUP($C617,KEY!$B$5:$D$74,3,FALSE)))</f>
        <v>Arizona</v>
      </c>
      <c r="B617" s="221" t="s">
        <v>223</v>
      </c>
      <c r="C617" s="222" t="s">
        <v>196</v>
      </c>
      <c r="D617" s="99">
        <v>0.75</v>
      </c>
    </row>
    <row r="618" spans="1:4" x14ac:dyDescent="0.35">
      <c r="A618" s="3" t="str">
        <f>IF(C618="","",(VLOOKUP($C618,KEY!$B$5:$D$74,3,FALSE)))</f>
        <v>Arizona</v>
      </c>
      <c r="B618" s="221" t="s">
        <v>223</v>
      </c>
      <c r="C618" s="222" t="s">
        <v>197</v>
      </c>
      <c r="D618" s="99">
        <v>0.875</v>
      </c>
    </row>
    <row r="619" spans="1:4" x14ac:dyDescent="0.35">
      <c r="A619" s="3" t="str">
        <f>IF(C619="","",(VLOOKUP($C619,KEY!$B$5:$D$74,3,FALSE)))</f>
        <v>Texas</v>
      </c>
      <c r="B619" s="221" t="s">
        <v>223</v>
      </c>
      <c r="C619" s="222" t="s">
        <v>136</v>
      </c>
      <c r="D619" s="99">
        <v>1</v>
      </c>
    </row>
    <row r="620" spans="1:4" x14ac:dyDescent="0.35">
      <c r="A620" s="3" t="str">
        <f>IF(C620="","",(VLOOKUP($C620,KEY!$B$5:$D$74,3,FALSE)))</f>
        <v>Arizona</v>
      </c>
      <c r="B620" s="221" t="s">
        <v>223</v>
      </c>
      <c r="C620" s="222" t="s">
        <v>137</v>
      </c>
      <c r="D620" s="99">
        <v>0.5</v>
      </c>
    </row>
    <row r="621" spans="1:4" x14ac:dyDescent="0.35">
      <c r="A621" s="3" t="str">
        <f>IF(C621="","",(VLOOKUP($C621,KEY!$B$5:$D$74,3,FALSE)))</f>
        <v>Texas</v>
      </c>
      <c r="B621" s="221" t="s">
        <v>223</v>
      </c>
      <c r="C621" s="222" t="s">
        <v>138</v>
      </c>
      <c r="D621" s="99">
        <v>0.875</v>
      </c>
    </row>
    <row r="622" spans="1:4" x14ac:dyDescent="0.35">
      <c r="A622" s="3" t="str">
        <f>IF(C622="","",(VLOOKUP($C622,KEY!$B$5:$D$74,3,FALSE)))</f>
        <v>Southern California</v>
      </c>
      <c r="B622" s="221" t="s">
        <v>223</v>
      </c>
      <c r="C622" s="222" t="s">
        <v>139</v>
      </c>
      <c r="D622" s="99">
        <v>0.875</v>
      </c>
    </row>
    <row r="623" spans="1:4" x14ac:dyDescent="0.35">
      <c r="A623" s="3" t="str">
        <f>IF(C623="","",(VLOOKUP($C623,KEY!$B$5:$D$74,3,FALSE)))</f>
        <v>Orange County</v>
      </c>
      <c r="B623" s="221" t="s">
        <v>223</v>
      </c>
      <c r="C623" s="222" t="s">
        <v>140</v>
      </c>
      <c r="D623" s="99">
        <v>0.875</v>
      </c>
    </row>
    <row r="624" spans="1:4" x14ac:dyDescent="0.35">
      <c r="A624" s="3" t="str">
        <f>IF(C624="","",(VLOOKUP($C624,KEY!$B$5:$D$74,3,FALSE)))</f>
        <v>Southern California</v>
      </c>
      <c r="B624" s="221" t="s">
        <v>223</v>
      </c>
      <c r="C624" s="222" t="s">
        <v>142</v>
      </c>
      <c r="D624" s="99">
        <v>0.875</v>
      </c>
    </row>
    <row r="625" spans="1:4" x14ac:dyDescent="0.35">
      <c r="A625" s="3" t="str">
        <f>IF(C625="","",(VLOOKUP($C625,KEY!$B$5:$D$74,3,FALSE)))</f>
        <v>Arizona</v>
      </c>
      <c r="B625" s="221" t="s">
        <v>223</v>
      </c>
      <c r="C625" s="222" t="s">
        <v>143</v>
      </c>
      <c r="D625" s="99">
        <v>0.875</v>
      </c>
    </row>
    <row r="626" spans="1:4" x14ac:dyDescent="0.35">
      <c r="A626" s="3" t="str">
        <f>IF(C626="","",(VLOOKUP($C626,KEY!$B$5:$D$74,3,FALSE)))</f>
        <v>Arizona</v>
      </c>
      <c r="B626" s="221" t="s">
        <v>223</v>
      </c>
      <c r="C626" s="222" t="s">
        <v>144</v>
      </c>
      <c r="D626" s="99">
        <v>1</v>
      </c>
    </row>
    <row r="627" spans="1:4" x14ac:dyDescent="0.35">
      <c r="A627" s="3" t="str">
        <f>IF(C627="","",(VLOOKUP($C627,KEY!$B$5:$D$74,3,FALSE)))</f>
        <v>Southern California</v>
      </c>
      <c r="B627" s="221" t="s">
        <v>223</v>
      </c>
      <c r="C627" s="222" t="s">
        <v>145</v>
      </c>
      <c r="D627" s="99">
        <v>0.625</v>
      </c>
    </row>
    <row r="628" spans="1:4" x14ac:dyDescent="0.35">
      <c r="A628" s="3" t="str">
        <f>IF(C628="","",(VLOOKUP($C628,KEY!$B$5:$D$74,3,FALSE)))</f>
        <v>Arizona</v>
      </c>
      <c r="B628" s="221" t="s">
        <v>223</v>
      </c>
      <c r="C628" s="222" t="s">
        <v>146</v>
      </c>
      <c r="D628" s="99">
        <v>0.875</v>
      </c>
    </row>
    <row r="629" spans="1:4" x14ac:dyDescent="0.35">
      <c r="A629" s="3" t="str">
        <f>IF(C629="","",(VLOOKUP($C629,KEY!$B$5:$D$74,3,FALSE)))</f>
        <v>Texas</v>
      </c>
      <c r="B629" s="221" t="s">
        <v>223</v>
      </c>
      <c r="C629" s="222" t="s">
        <v>147</v>
      </c>
      <c r="D629" s="99">
        <v>1</v>
      </c>
    </row>
    <row r="630" spans="1:4" x14ac:dyDescent="0.35">
      <c r="A630" s="3" t="str">
        <f>IF(C630="","",(VLOOKUP($C630,KEY!$B$5:$D$74,3,FALSE)))</f>
        <v>Northern California</v>
      </c>
      <c r="B630" s="221" t="s">
        <v>223</v>
      </c>
      <c r="C630" s="222" t="s">
        <v>148</v>
      </c>
      <c r="D630" s="99">
        <v>1</v>
      </c>
    </row>
    <row r="631" spans="1:4" x14ac:dyDescent="0.35">
      <c r="A631" s="3" t="str">
        <f>IF(C631="","",(VLOOKUP($C631,KEY!$B$5:$D$74,3,FALSE)))</f>
        <v>Orange County</v>
      </c>
      <c r="B631" s="221" t="s">
        <v>223</v>
      </c>
      <c r="C631" s="222" t="s">
        <v>149</v>
      </c>
      <c r="D631" s="99">
        <v>1</v>
      </c>
    </row>
    <row r="632" spans="1:4" x14ac:dyDescent="0.35">
      <c r="A632" s="3" t="str">
        <f>IF(C632="","",(VLOOKUP($C632,KEY!$B$5:$D$74,3,FALSE)))</f>
        <v>Southern California</v>
      </c>
      <c r="B632" s="221" t="s">
        <v>223</v>
      </c>
      <c r="C632" s="222" t="s">
        <v>150</v>
      </c>
      <c r="D632" s="99">
        <v>0.875</v>
      </c>
    </row>
    <row r="633" spans="1:4" x14ac:dyDescent="0.35">
      <c r="A633" s="3" t="str">
        <f>IF(C633="","",(VLOOKUP($C633,KEY!$B$5:$D$74,3,FALSE)))</f>
        <v>Arizona</v>
      </c>
      <c r="B633" s="221" t="s">
        <v>223</v>
      </c>
      <c r="C633" s="222" t="s">
        <v>151</v>
      </c>
      <c r="D633" s="99">
        <v>1</v>
      </c>
    </row>
    <row r="634" spans="1:4" x14ac:dyDescent="0.35">
      <c r="A634" s="3" t="str">
        <f>IF(C634="","",(VLOOKUP($C634,KEY!$B$5:$D$74,3,FALSE)))</f>
        <v>Michigan &amp; Minnesota</v>
      </c>
      <c r="B634" s="221" t="s">
        <v>223</v>
      </c>
      <c r="C634" s="222" t="s">
        <v>206</v>
      </c>
      <c r="D634" s="99">
        <v>0.75</v>
      </c>
    </row>
    <row r="635" spans="1:4" x14ac:dyDescent="0.35">
      <c r="A635" s="3" t="str">
        <f>IF(C635="","",(VLOOKUP($C635,KEY!$B$5:$D$74,3,FALSE)))</f>
        <v>Michigan &amp; Minnesota</v>
      </c>
      <c r="B635" s="221" t="s">
        <v>223</v>
      </c>
      <c r="C635" s="222" t="s">
        <v>207</v>
      </c>
      <c r="D635" s="99">
        <v>0.625</v>
      </c>
    </row>
    <row r="636" spans="1:4" x14ac:dyDescent="0.35">
      <c r="A636" s="3" t="str">
        <f>IF(C636="","",(VLOOKUP($C636,KEY!$B$5:$D$74,3,FALSE)))</f>
        <v>Indiana</v>
      </c>
      <c r="B636" s="221" t="s">
        <v>223</v>
      </c>
      <c r="C636" s="222" t="s">
        <v>208</v>
      </c>
      <c r="D636" s="99">
        <v>1</v>
      </c>
    </row>
    <row r="637" spans="1:4" x14ac:dyDescent="0.35">
      <c r="A637" s="3" t="str">
        <f>IF(C637="","",(VLOOKUP($C637,KEY!$B$5:$D$74,3,FALSE)))</f>
        <v>Indiana</v>
      </c>
      <c r="B637" s="221" t="s">
        <v>223</v>
      </c>
      <c r="C637" s="222" t="s">
        <v>209</v>
      </c>
      <c r="D637" s="99">
        <v>0.5</v>
      </c>
    </row>
    <row r="638" spans="1:4" x14ac:dyDescent="0.35">
      <c r="A638" s="3" t="str">
        <f>IF(C638="","",(VLOOKUP($C638,KEY!$B$5:$D$74,3,FALSE)))</f>
        <v>Northern California</v>
      </c>
      <c r="B638" s="221" t="s">
        <v>223</v>
      </c>
      <c r="C638" s="222" t="s">
        <v>152</v>
      </c>
      <c r="D638" s="99">
        <v>0.75</v>
      </c>
    </row>
    <row r="639" spans="1:4" x14ac:dyDescent="0.35">
      <c r="A639" s="3" t="str">
        <f>IF(C639="","",(VLOOKUP($C639,KEY!$B$5:$D$74,3,FALSE)))</f>
        <v>Arizona</v>
      </c>
      <c r="B639" s="221" t="s">
        <v>223</v>
      </c>
      <c r="C639" s="222" t="s">
        <v>153</v>
      </c>
      <c r="D639" s="99">
        <v>0.375</v>
      </c>
    </row>
    <row r="640" spans="1:4" x14ac:dyDescent="0.35">
      <c r="A640" s="3" t="str">
        <f>IF(C640="","",(VLOOKUP($C640,KEY!$B$5:$D$74,3,FALSE)))</f>
        <v>Northern California</v>
      </c>
      <c r="B640" s="221" t="s">
        <v>223</v>
      </c>
      <c r="C640" s="222" t="s">
        <v>154</v>
      </c>
      <c r="D640" s="99">
        <v>0.875</v>
      </c>
    </row>
    <row r="641" spans="1:4" x14ac:dyDescent="0.35">
      <c r="A641" s="3" t="str">
        <f>IF(C641="","",(VLOOKUP($C641,KEY!$B$5:$D$74,3,FALSE)))</f>
        <v>Texas</v>
      </c>
      <c r="B641" s="221" t="s">
        <v>223</v>
      </c>
      <c r="C641" s="222" t="s">
        <v>155</v>
      </c>
      <c r="D641" s="99">
        <v>0.5</v>
      </c>
    </row>
    <row r="642" spans="1:4" x14ac:dyDescent="0.35">
      <c r="A642" s="3" t="str">
        <f>IF(C642="","",(VLOOKUP($C642,KEY!$B$5:$D$74,3,FALSE)))</f>
        <v>Texas</v>
      </c>
      <c r="B642" s="221" t="s">
        <v>223</v>
      </c>
      <c r="C642" s="222" t="s">
        <v>156</v>
      </c>
      <c r="D642" s="99">
        <v>0.75</v>
      </c>
    </row>
    <row r="643" spans="1:4" x14ac:dyDescent="0.35">
      <c r="A643" s="3" t="str">
        <f>IF(C643="","",(VLOOKUP($C643,KEY!$B$5:$D$74,3,FALSE)))</f>
        <v>Texas</v>
      </c>
      <c r="B643" s="221" t="s">
        <v>223</v>
      </c>
      <c r="C643" s="222" t="s">
        <v>157</v>
      </c>
      <c r="D643" s="99">
        <v>0.875</v>
      </c>
    </row>
    <row r="644" spans="1:4" x14ac:dyDescent="0.35">
      <c r="A644" s="3" t="str">
        <f>IF(C644="","",(VLOOKUP($C644,KEY!$B$5:$D$74,3,FALSE)))</f>
        <v>Arizona</v>
      </c>
      <c r="B644" s="221" t="s">
        <v>223</v>
      </c>
      <c r="C644" s="222" t="s">
        <v>158</v>
      </c>
      <c r="D644" s="99">
        <v>0.5</v>
      </c>
    </row>
    <row r="645" spans="1:4" x14ac:dyDescent="0.35">
      <c r="A645" s="3" t="str">
        <f>IF(C645="","",(VLOOKUP($C645,KEY!$B$5:$D$74,3,FALSE)))</f>
        <v>Orange County</v>
      </c>
      <c r="B645" s="221" t="s">
        <v>223</v>
      </c>
      <c r="C645" s="222" t="s">
        <v>159</v>
      </c>
      <c r="D645" s="99">
        <v>0.75</v>
      </c>
    </row>
    <row r="646" spans="1:4" x14ac:dyDescent="0.35">
      <c r="A646" s="3" t="str">
        <f>IF(C646="","",(VLOOKUP($C646,KEY!$B$5:$D$74,3,FALSE)))</f>
        <v>Arizona</v>
      </c>
      <c r="B646" s="221" t="s">
        <v>223</v>
      </c>
      <c r="C646" s="222" t="s">
        <v>160</v>
      </c>
      <c r="D646" s="99">
        <v>0.875</v>
      </c>
    </row>
    <row r="647" spans="1:4" x14ac:dyDescent="0.35">
      <c r="A647" s="3" t="str">
        <f>IF(C647="","",(VLOOKUP($C647,KEY!$B$5:$D$74,3,FALSE)))</f>
        <v>Northern California</v>
      </c>
      <c r="B647" s="221" t="s">
        <v>223</v>
      </c>
      <c r="C647" s="222" t="s">
        <v>161</v>
      </c>
      <c r="D647" s="99">
        <v>1</v>
      </c>
    </row>
    <row r="648" spans="1:4" x14ac:dyDescent="0.35">
      <c r="A648" s="3" t="str">
        <f>IF(C648="","",(VLOOKUP($C648,KEY!$B$5:$D$74,3,FALSE)))</f>
        <v>Arizona</v>
      </c>
      <c r="B648" s="221" t="s">
        <v>223</v>
      </c>
      <c r="C648" s="222" t="s">
        <v>163</v>
      </c>
      <c r="D648" s="99">
        <v>0.875</v>
      </c>
    </row>
    <row r="649" spans="1:4" x14ac:dyDescent="0.35">
      <c r="A649" s="3" t="str">
        <f>IF(C649="","",(VLOOKUP($C649,KEY!$B$5:$D$74,3,FALSE)))</f>
        <v>Arizona</v>
      </c>
      <c r="B649" s="221" t="s">
        <v>223</v>
      </c>
      <c r="C649" s="222" t="s">
        <v>164</v>
      </c>
      <c r="D649" s="99">
        <v>1</v>
      </c>
    </row>
    <row r="650" spans="1:4" x14ac:dyDescent="0.35">
      <c r="A650" s="3" t="str">
        <f>IF(C650="","",(VLOOKUP($C650,KEY!$B$5:$D$74,3,FALSE)))</f>
        <v>Orange County</v>
      </c>
      <c r="B650" s="221" t="s">
        <v>223</v>
      </c>
      <c r="C650" s="222" t="s">
        <v>165</v>
      </c>
      <c r="D650" s="99">
        <v>0.75</v>
      </c>
    </row>
    <row r="651" spans="1:4" x14ac:dyDescent="0.35">
      <c r="A651" s="3" t="str">
        <f>IF(C651="","",(VLOOKUP($C651,KEY!$B$5:$D$74,3,FALSE)))</f>
        <v/>
      </c>
      <c r="B651" s="221" t="s">
        <v>223</v>
      </c>
      <c r="C651" s="222"/>
      <c r="D651" s="99"/>
    </row>
    <row r="652" spans="1:4" x14ac:dyDescent="0.35">
      <c r="A652" s="3" t="str">
        <f>IF(C652="","",(VLOOKUP($C652,KEY!$B$5:$D$74,3,FALSE)))</f>
        <v/>
      </c>
      <c r="B652" s="221" t="s">
        <v>223</v>
      </c>
      <c r="C652" s="222"/>
      <c r="D652" s="99"/>
    </row>
    <row r="653" spans="1:4" x14ac:dyDescent="0.35">
      <c r="A653" s="3" t="str">
        <f>IF(C653="","",(VLOOKUP($C653,KEY!$B$5:$D$74,3,FALSE)))</f>
        <v/>
      </c>
      <c r="B653" s="221" t="s">
        <v>223</v>
      </c>
      <c r="C653" s="222"/>
      <c r="D653" s="99"/>
    </row>
    <row r="654" spans="1:4" x14ac:dyDescent="0.35">
      <c r="A654" s="3" t="str">
        <f>IF(C654="","",(VLOOKUP($C654,KEY!$B$5:$D$74,3,FALSE)))</f>
        <v/>
      </c>
      <c r="B654" s="221" t="s">
        <v>223</v>
      </c>
      <c r="C654" s="222"/>
      <c r="D654" s="99"/>
    </row>
    <row r="655" spans="1:4" x14ac:dyDescent="0.35">
      <c r="A655" s="3" t="str">
        <f>IF(C655="","",(VLOOKUP($C655,KEY!$B$5:$D$74,3,FALSE)))</f>
        <v/>
      </c>
      <c r="B655" s="221" t="s">
        <v>223</v>
      </c>
      <c r="C655" s="222"/>
      <c r="D655" s="99"/>
    </row>
    <row r="656" spans="1:4" x14ac:dyDescent="0.35">
      <c r="A656" s="3" t="str">
        <f>IF(C656="","",(VLOOKUP($C656,KEY!$B$5:$D$74,3,FALSE)))</f>
        <v/>
      </c>
      <c r="B656" s="402" t="s">
        <v>223</v>
      </c>
      <c r="C656" s="403"/>
      <c r="D656" s="405"/>
    </row>
    <row r="657" spans="1:4" x14ac:dyDescent="0.35">
      <c r="A657" s="3" t="str">
        <f>IF(C657="","",(VLOOKUP($C657,KEY!$B$5:$D$74,3,FALSE)))</f>
        <v>Arizona</v>
      </c>
      <c r="B657" s="221" t="s">
        <v>224</v>
      </c>
      <c r="C657" s="222" t="s">
        <v>111</v>
      </c>
      <c r="D657" s="99">
        <v>0.75</v>
      </c>
    </row>
    <row r="658" spans="1:4" x14ac:dyDescent="0.35">
      <c r="A658" s="3" t="str">
        <f>IF(C658="","",(VLOOKUP($C658,KEY!$B$5:$D$74,3,FALSE)))</f>
        <v>Southern California</v>
      </c>
      <c r="B658" s="221" t="s">
        <v>224</v>
      </c>
      <c r="C658" s="222" t="s">
        <v>112</v>
      </c>
      <c r="D658" s="99">
        <v>0.875</v>
      </c>
    </row>
    <row r="659" spans="1:4" x14ac:dyDescent="0.35">
      <c r="A659" s="3" t="str">
        <f>IF(C659="","",(VLOOKUP($C659,KEY!$B$5:$D$74,3,FALSE)))</f>
        <v>Arizona</v>
      </c>
      <c r="B659" s="221" t="s">
        <v>224</v>
      </c>
      <c r="C659" s="222" t="s">
        <v>113</v>
      </c>
      <c r="D659" s="99">
        <v>0.625</v>
      </c>
    </row>
    <row r="660" spans="1:4" x14ac:dyDescent="0.35">
      <c r="A660" s="3" t="str">
        <f>IF(C660="","",(VLOOKUP($C660,KEY!$B$5:$D$74,3,FALSE)))</f>
        <v>Southern California</v>
      </c>
      <c r="B660" s="221" t="s">
        <v>224</v>
      </c>
      <c r="C660" s="222" t="s">
        <v>114</v>
      </c>
      <c r="D660" s="99">
        <v>0.875</v>
      </c>
    </row>
    <row r="661" spans="1:4" x14ac:dyDescent="0.35">
      <c r="A661" s="3" t="str">
        <f>IF(C661="","",(VLOOKUP($C661,KEY!$B$5:$D$74,3,FALSE)))</f>
        <v>Orange County</v>
      </c>
      <c r="B661" s="221" t="s">
        <v>224</v>
      </c>
      <c r="C661" s="222" t="s">
        <v>115</v>
      </c>
      <c r="D661" s="99">
        <v>1</v>
      </c>
    </row>
    <row r="662" spans="1:4" x14ac:dyDescent="0.35">
      <c r="A662" s="3" t="str">
        <f>IF(C662="","",(VLOOKUP($C662,KEY!$B$5:$D$74,3,FALSE)))</f>
        <v>Arizona</v>
      </c>
      <c r="B662" s="221" t="s">
        <v>224</v>
      </c>
      <c r="C662" s="222" t="s">
        <v>116</v>
      </c>
      <c r="D662" s="99">
        <v>1</v>
      </c>
    </row>
    <row r="663" spans="1:4" x14ac:dyDescent="0.35">
      <c r="A663" s="3" t="str">
        <f>IF(C663="","",(VLOOKUP($C663,KEY!$B$5:$D$74,3,FALSE)))</f>
        <v>Northern California</v>
      </c>
      <c r="B663" s="221" t="s">
        <v>224</v>
      </c>
      <c r="C663" s="222" t="s">
        <v>118</v>
      </c>
      <c r="D663" s="99">
        <v>0.75</v>
      </c>
    </row>
    <row r="664" spans="1:4" x14ac:dyDescent="0.35">
      <c r="A664" s="3" t="str">
        <f>IF(C664="","",(VLOOKUP($C664,KEY!$B$5:$D$74,3,FALSE)))</f>
        <v>Orange County</v>
      </c>
      <c r="B664" s="221" t="s">
        <v>224</v>
      </c>
      <c r="C664" s="222" t="s">
        <v>117</v>
      </c>
      <c r="D664" s="99">
        <v>0.75</v>
      </c>
    </row>
    <row r="665" spans="1:4" x14ac:dyDescent="0.35">
      <c r="A665" s="3" t="str">
        <f>IF(C665="","",(VLOOKUP($C665,KEY!$B$5:$D$74,3,FALSE)))</f>
        <v>Arizona</v>
      </c>
      <c r="B665" s="221" t="s">
        <v>224</v>
      </c>
      <c r="C665" s="222" t="s">
        <v>119</v>
      </c>
      <c r="D665" s="99">
        <v>1</v>
      </c>
    </row>
    <row r="666" spans="1:4" x14ac:dyDescent="0.35">
      <c r="A666" s="3" t="str">
        <f>IF(C666="","",(VLOOKUP($C666,KEY!$B$5:$D$74,3,FALSE)))</f>
        <v>Arizona</v>
      </c>
      <c r="B666" s="221" t="s">
        <v>224</v>
      </c>
      <c r="C666" s="222" t="s">
        <v>120</v>
      </c>
      <c r="D666" s="99">
        <v>0.625</v>
      </c>
    </row>
    <row r="667" spans="1:4" x14ac:dyDescent="0.35">
      <c r="A667" s="3" t="str">
        <f>IF(C667="","",(VLOOKUP($C667,KEY!$B$5:$D$74,3,FALSE)))</f>
        <v>Texas</v>
      </c>
      <c r="B667" s="221" t="s">
        <v>224</v>
      </c>
      <c r="C667" s="222" t="s">
        <v>121</v>
      </c>
      <c r="D667" s="99">
        <v>0.875</v>
      </c>
    </row>
    <row r="668" spans="1:4" x14ac:dyDescent="0.35">
      <c r="A668" s="3" t="str">
        <f>IF(C668="","",(VLOOKUP($C668,KEY!$B$5:$D$74,3,FALSE)))</f>
        <v>Michigan &amp; Minnesota</v>
      </c>
      <c r="B668" s="221" t="s">
        <v>224</v>
      </c>
      <c r="C668" s="222" t="s">
        <v>200</v>
      </c>
      <c r="D668" s="99">
        <v>0.375</v>
      </c>
    </row>
    <row r="669" spans="1:4" x14ac:dyDescent="0.35">
      <c r="A669" s="3" t="str">
        <f>IF(C669="","",(VLOOKUP($C669,KEY!$B$5:$D$74,3,FALSE)))</f>
        <v>Orange County</v>
      </c>
      <c r="B669" s="221" t="s">
        <v>224</v>
      </c>
      <c r="C669" s="222" t="s">
        <v>123</v>
      </c>
      <c r="D669" s="99">
        <v>1</v>
      </c>
    </row>
    <row r="670" spans="1:4" x14ac:dyDescent="0.35">
      <c r="A670" s="3" t="str">
        <f>IF(C670="","",(VLOOKUP($C670,KEY!$B$5:$D$74,3,FALSE)))</f>
        <v>Southern California</v>
      </c>
      <c r="B670" s="221" t="s">
        <v>224</v>
      </c>
      <c r="C670" s="222" t="s">
        <v>124</v>
      </c>
      <c r="D670" s="99">
        <v>0.88</v>
      </c>
    </row>
    <row r="671" spans="1:4" x14ac:dyDescent="0.35">
      <c r="A671" s="3" t="str">
        <f>IF(C671="","",(VLOOKUP($C671,KEY!$B$5:$D$74,3,FALSE)))</f>
        <v>Southern California</v>
      </c>
      <c r="B671" s="221" t="s">
        <v>224</v>
      </c>
      <c r="C671" s="222" t="s">
        <v>122</v>
      </c>
      <c r="D671" s="99">
        <v>0.625</v>
      </c>
    </row>
    <row r="672" spans="1:4" x14ac:dyDescent="0.35">
      <c r="A672" s="3" t="str">
        <f>IF(C672="","",(VLOOKUP($C672,KEY!$B$5:$D$74,3,FALSE)))</f>
        <v>Northern California</v>
      </c>
      <c r="B672" s="221" t="s">
        <v>224</v>
      </c>
      <c r="C672" s="222" t="s">
        <v>195</v>
      </c>
      <c r="D672" s="99">
        <v>0.75</v>
      </c>
    </row>
    <row r="673" spans="1:4" x14ac:dyDescent="0.35">
      <c r="A673" s="3" t="str">
        <f>IF(C673="","",(VLOOKUP($C673,KEY!$B$5:$D$74,3,FALSE)))</f>
        <v>Northern California</v>
      </c>
      <c r="B673" s="221" t="s">
        <v>224</v>
      </c>
      <c r="C673" s="222" t="s">
        <v>125</v>
      </c>
      <c r="D673" s="99">
        <v>0.875</v>
      </c>
    </row>
    <row r="674" spans="1:4" x14ac:dyDescent="0.35">
      <c r="A674" s="3" t="str">
        <f>IF(C674="","",(VLOOKUP($C674,KEY!$B$5:$D$74,3,FALSE)))</f>
        <v>Orange County</v>
      </c>
      <c r="B674" s="221" t="s">
        <v>224</v>
      </c>
      <c r="C674" s="222" t="s">
        <v>126</v>
      </c>
      <c r="D674" s="99">
        <v>1</v>
      </c>
    </row>
    <row r="675" spans="1:4" x14ac:dyDescent="0.35">
      <c r="A675" s="3" t="str">
        <f>IF(C675="","",(VLOOKUP($C675,KEY!$B$5:$D$74,3,FALSE)))</f>
        <v>Orange County</v>
      </c>
      <c r="B675" s="221" t="s">
        <v>224</v>
      </c>
      <c r="C675" s="222" t="s">
        <v>127</v>
      </c>
      <c r="D675" s="99">
        <v>1</v>
      </c>
    </row>
    <row r="676" spans="1:4" x14ac:dyDescent="0.35">
      <c r="A676" s="3" t="str">
        <f>IF(C676="","",(VLOOKUP($C676,KEY!$B$5:$D$74,3,FALSE)))</f>
        <v>Wisconsin</v>
      </c>
      <c r="B676" s="221" t="s">
        <v>224</v>
      </c>
      <c r="C676" s="222" t="s">
        <v>201</v>
      </c>
      <c r="D676" s="99">
        <v>0.875</v>
      </c>
    </row>
    <row r="677" spans="1:4" x14ac:dyDescent="0.35">
      <c r="A677" s="3" t="e">
        <f>IF(C677="","",(VLOOKUP($C677,KEY!$B$5:$D$74,3,FALSE)))</f>
        <v>#N/A</v>
      </c>
      <c r="B677" s="221" t="s">
        <v>224</v>
      </c>
      <c r="C677" s="222" t="s">
        <v>202</v>
      </c>
      <c r="D677" s="99">
        <v>0.5</v>
      </c>
    </row>
    <row r="678" spans="1:4" x14ac:dyDescent="0.35">
      <c r="A678" s="3" t="str">
        <f>IF(C678="","",(VLOOKUP($C678,KEY!$B$5:$D$74,3,FALSE)))</f>
        <v>Texas</v>
      </c>
      <c r="B678" s="221" t="s">
        <v>224</v>
      </c>
      <c r="C678" s="222" t="s">
        <v>198</v>
      </c>
      <c r="D678" s="99">
        <v>0.75</v>
      </c>
    </row>
    <row r="679" spans="1:4" x14ac:dyDescent="0.35">
      <c r="A679" s="3" t="str">
        <f>IF(C679="","",(VLOOKUP($C679,KEY!$B$5:$D$74,3,FALSE)))</f>
        <v>Texas</v>
      </c>
      <c r="B679" s="221" t="s">
        <v>224</v>
      </c>
      <c r="C679" s="222" t="s">
        <v>128</v>
      </c>
      <c r="D679" s="99">
        <v>1</v>
      </c>
    </row>
    <row r="680" spans="1:4" x14ac:dyDescent="0.35">
      <c r="A680" s="3" t="str">
        <f>IF(C680="","",(VLOOKUP($C680,KEY!$B$5:$D$74,3,FALSE)))</f>
        <v>Northern California</v>
      </c>
      <c r="B680" s="221" t="s">
        <v>224</v>
      </c>
      <c r="C680" s="222" t="s">
        <v>129</v>
      </c>
      <c r="D680" s="99">
        <v>0.875</v>
      </c>
    </row>
    <row r="681" spans="1:4" x14ac:dyDescent="0.35">
      <c r="A681" s="3" t="str">
        <f>IF(C681="","",(VLOOKUP($C681,KEY!$B$5:$D$74,3,FALSE)))</f>
        <v>Southern California</v>
      </c>
      <c r="B681" s="221" t="s">
        <v>224</v>
      </c>
      <c r="C681" s="222" t="s">
        <v>130</v>
      </c>
      <c r="D681" s="99">
        <v>0.875</v>
      </c>
    </row>
    <row r="682" spans="1:4" x14ac:dyDescent="0.35">
      <c r="A682" s="3" t="str">
        <f>IF(C682="","",(VLOOKUP($C682,KEY!$B$5:$D$74,3,FALSE)))</f>
        <v>Texas</v>
      </c>
      <c r="B682" s="221" t="s">
        <v>224</v>
      </c>
      <c r="C682" s="222" t="s">
        <v>210</v>
      </c>
      <c r="D682" s="99">
        <v>0.625</v>
      </c>
    </row>
    <row r="683" spans="1:4" x14ac:dyDescent="0.35">
      <c r="A683" s="3" t="e">
        <f>IF(C683="","",(VLOOKUP($C683,KEY!$B$5:$D$74,3,FALSE)))</f>
        <v>#N/A</v>
      </c>
      <c r="B683" s="221" t="s">
        <v>224</v>
      </c>
      <c r="C683" s="222" t="s">
        <v>203</v>
      </c>
      <c r="D683" s="99">
        <v>0.625</v>
      </c>
    </row>
    <row r="684" spans="1:4" x14ac:dyDescent="0.35">
      <c r="A684" s="3">
        <f>IF(C684="","",(VLOOKUP($C684,KEY!$B$5:$D$74,3,FALSE)))</f>
        <v>0</v>
      </c>
      <c r="B684" s="221" t="s">
        <v>224</v>
      </c>
      <c r="C684" s="222" t="s">
        <v>131</v>
      </c>
      <c r="D684" s="99">
        <v>0.875</v>
      </c>
    </row>
    <row r="685" spans="1:4" x14ac:dyDescent="0.35">
      <c r="A685" s="3" t="e">
        <f>IF(C685="","",(VLOOKUP($C685,KEY!$B$5:$D$74,3,FALSE)))</f>
        <v>#N/A</v>
      </c>
      <c r="B685" s="221" t="s">
        <v>224</v>
      </c>
      <c r="C685" s="222" t="s">
        <v>134</v>
      </c>
      <c r="D685" s="99">
        <v>0.625</v>
      </c>
    </row>
    <row r="686" spans="1:4" x14ac:dyDescent="0.35">
      <c r="A686" s="3" t="str">
        <f>IF(C686="","",(VLOOKUP($C686,KEY!$B$5:$D$74,3,FALSE)))</f>
        <v>Southern California</v>
      </c>
      <c r="B686" s="221" t="s">
        <v>224</v>
      </c>
      <c r="C686" s="222" t="s">
        <v>135</v>
      </c>
      <c r="D686" s="99">
        <v>1</v>
      </c>
    </row>
    <row r="687" spans="1:4" x14ac:dyDescent="0.35">
      <c r="A687" s="3" t="str">
        <f>IF(C687="","",(VLOOKUP($C687,KEY!$B$5:$D$74,3,FALSE)))</f>
        <v>Arizona</v>
      </c>
      <c r="B687" s="221" t="s">
        <v>224</v>
      </c>
      <c r="C687" s="222" t="s">
        <v>204</v>
      </c>
      <c r="D687" s="99">
        <v>0.625</v>
      </c>
    </row>
    <row r="688" spans="1:4" x14ac:dyDescent="0.35">
      <c r="A688" s="3" t="str">
        <f>IF(C688="","",(VLOOKUP($C688,KEY!$B$5:$D$74,3,FALSE)))</f>
        <v>Arizona</v>
      </c>
      <c r="B688" s="221" t="s">
        <v>224</v>
      </c>
      <c r="C688" s="222" t="s">
        <v>196</v>
      </c>
      <c r="D688" s="99">
        <v>1</v>
      </c>
    </row>
    <row r="689" spans="1:4" x14ac:dyDescent="0.35">
      <c r="A689" s="3" t="str">
        <f>IF(C689="","",(VLOOKUP($C689,KEY!$B$5:$D$74,3,FALSE)))</f>
        <v>Arizona</v>
      </c>
      <c r="B689" s="221" t="s">
        <v>224</v>
      </c>
      <c r="C689" s="222" t="s">
        <v>197</v>
      </c>
      <c r="D689" s="99">
        <v>0.625</v>
      </c>
    </row>
    <row r="690" spans="1:4" x14ac:dyDescent="0.35">
      <c r="A690" s="3" t="str">
        <f>IF(C690="","",(VLOOKUP($C690,KEY!$B$5:$D$74,3,FALSE)))</f>
        <v>Texas</v>
      </c>
      <c r="B690" s="221" t="s">
        <v>224</v>
      </c>
      <c r="C690" s="222" t="s">
        <v>136</v>
      </c>
      <c r="D690" s="99">
        <v>0.875</v>
      </c>
    </row>
    <row r="691" spans="1:4" x14ac:dyDescent="0.35">
      <c r="A691" s="3" t="str">
        <f>IF(C691="","",(VLOOKUP($C691,KEY!$B$5:$D$74,3,FALSE)))</f>
        <v>Arizona</v>
      </c>
      <c r="B691" s="221" t="s">
        <v>224</v>
      </c>
      <c r="C691" s="222" t="s">
        <v>137</v>
      </c>
      <c r="D691" s="99">
        <v>0.5</v>
      </c>
    </row>
    <row r="692" spans="1:4" x14ac:dyDescent="0.35">
      <c r="A692" s="3" t="str">
        <f>IF(C692="","",(VLOOKUP($C692,KEY!$B$5:$D$74,3,FALSE)))</f>
        <v>Texas</v>
      </c>
      <c r="B692" s="221" t="s">
        <v>224</v>
      </c>
      <c r="C692" s="222" t="s">
        <v>138</v>
      </c>
      <c r="D692" s="99">
        <v>0.875</v>
      </c>
    </row>
    <row r="693" spans="1:4" x14ac:dyDescent="0.35">
      <c r="A693" s="3" t="str">
        <f>IF(C693="","",(VLOOKUP($C693,KEY!$B$5:$D$74,3,FALSE)))</f>
        <v>Southern California</v>
      </c>
      <c r="B693" s="221" t="s">
        <v>224</v>
      </c>
      <c r="C693" s="222" t="s">
        <v>139</v>
      </c>
      <c r="D693" s="99">
        <v>0.875</v>
      </c>
    </row>
    <row r="694" spans="1:4" x14ac:dyDescent="0.35">
      <c r="A694" s="3" t="str">
        <f>IF(C694="","",(VLOOKUP($C694,KEY!$B$5:$D$74,3,FALSE)))</f>
        <v>Orange County</v>
      </c>
      <c r="B694" s="221" t="s">
        <v>224</v>
      </c>
      <c r="C694" s="222" t="s">
        <v>140</v>
      </c>
      <c r="D694" s="99">
        <v>1</v>
      </c>
    </row>
    <row r="695" spans="1:4" x14ac:dyDescent="0.35">
      <c r="A695" s="3" t="str">
        <f>IF(C695="","",(VLOOKUP($C695,KEY!$B$5:$D$74,3,FALSE)))</f>
        <v>Southern California</v>
      </c>
      <c r="B695" s="221" t="s">
        <v>224</v>
      </c>
      <c r="C695" s="222" t="s">
        <v>142</v>
      </c>
      <c r="D695" s="99">
        <v>0.75</v>
      </c>
    </row>
    <row r="696" spans="1:4" x14ac:dyDescent="0.35">
      <c r="A696" s="3" t="str">
        <f>IF(C696="","",(VLOOKUP($C696,KEY!$B$5:$D$74,3,FALSE)))</f>
        <v>Arizona</v>
      </c>
      <c r="B696" s="221" t="s">
        <v>224</v>
      </c>
      <c r="C696" s="222" t="s">
        <v>143</v>
      </c>
      <c r="D696" s="99">
        <v>1</v>
      </c>
    </row>
    <row r="697" spans="1:4" x14ac:dyDescent="0.35">
      <c r="A697" s="3" t="str">
        <f>IF(C697="","",(VLOOKUP($C697,KEY!$B$5:$D$74,3,FALSE)))</f>
        <v>Arizona</v>
      </c>
      <c r="B697" s="221" t="s">
        <v>224</v>
      </c>
      <c r="C697" s="222" t="s">
        <v>144</v>
      </c>
      <c r="D697" s="99">
        <v>1</v>
      </c>
    </row>
    <row r="698" spans="1:4" x14ac:dyDescent="0.35">
      <c r="A698" s="3" t="str">
        <f>IF(C698="","",(VLOOKUP($C698,KEY!$B$5:$D$74,3,FALSE)))</f>
        <v>Southern California</v>
      </c>
      <c r="B698" s="221" t="s">
        <v>224</v>
      </c>
      <c r="C698" s="222" t="s">
        <v>145</v>
      </c>
      <c r="D698" s="99">
        <v>1</v>
      </c>
    </row>
    <row r="699" spans="1:4" x14ac:dyDescent="0.35">
      <c r="A699" s="3" t="str">
        <f>IF(C699="","",(VLOOKUP($C699,KEY!$B$5:$D$74,3,FALSE)))</f>
        <v>Arizona</v>
      </c>
      <c r="B699" s="221" t="s">
        <v>224</v>
      </c>
      <c r="C699" s="222" t="s">
        <v>146</v>
      </c>
      <c r="D699" s="99">
        <v>1</v>
      </c>
    </row>
    <row r="700" spans="1:4" x14ac:dyDescent="0.35">
      <c r="A700" s="3" t="str">
        <f>IF(C700="","",(VLOOKUP($C700,KEY!$B$5:$D$74,3,FALSE)))</f>
        <v>Texas</v>
      </c>
      <c r="B700" s="221" t="s">
        <v>224</v>
      </c>
      <c r="C700" s="222" t="s">
        <v>147</v>
      </c>
      <c r="D700" s="99">
        <v>1</v>
      </c>
    </row>
    <row r="701" spans="1:4" x14ac:dyDescent="0.35">
      <c r="A701" s="3" t="str">
        <f>IF(C701="","",(VLOOKUP($C701,KEY!$B$5:$D$74,3,FALSE)))</f>
        <v>Northern California</v>
      </c>
      <c r="B701" s="221" t="s">
        <v>224</v>
      </c>
      <c r="C701" s="222" t="s">
        <v>148</v>
      </c>
      <c r="D701" s="99">
        <v>0.375</v>
      </c>
    </row>
    <row r="702" spans="1:4" x14ac:dyDescent="0.35">
      <c r="A702" s="3" t="str">
        <f>IF(C702="","",(VLOOKUP($C702,KEY!$B$5:$D$74,3,FALSE)))</f>
        <v>Orange County</v>
      </c>
      <c r="B702" s="221" t="s">
        <v>224</v>
      </c>
      <c r="C702" s="222" t="s">
        <v>149</v>
      </c>
      <c r="D702" s="99">
        <v>0.875</v>
      </c>
    </row>
    <row r="703" spans="1:4" x14ac:dyDescent="0.35">
      <c r="A703" s="3" t="str">
        <f>IF(C703="","",(VLOOKUP($C703,KEY!$B$5:$D$74,3,FALSE)))</f>
        <v>Southern California</v>
      </c>
      <c r="B703" s="221" t="s">
        <v>224</v>
      </c>
      <c r="C703" s="222" t="s">
        <v>150</v>
      </c>
      <c r="D703" s="99">
        <v>1</v>
      </c>
    </row>
    <row r="704" spans="1:4" x14ac:dyDescent="0.35">
      <c r="A704" s="3" t="str">
        <f>IF(C704="","",(VLOOKUP($C704,KEY!$B$5:$D$74,3,FALSE)))</f>
        <v>Arizona</v>
      </c>
      <c r="B704" s="221" t="s">
        <v>224</v>
      </c>
      <c r="C704" s="222" t="s">
        <v>151</v>
      </c>
      <c r="D704" s="99">
        <v>1</v>
      </c>
    </row>
    <row r="705" spans="1:4" x14ac:dyDescent="0.35">
      <c r="A705" s="3" t="str">
        <f>IF(C705="","",(VLOOKUP($C705,KEY!$B$5:$D$74,3,FALSE)))</f>
        <v>Michigan &amp; Minnesota</v>
      </c>
      <c r="B705" s="221" t="s">
        <v>224</v>
      </c>
      <c r="C705" s="222" t="s">
        <v>206</v>
      </c>
      <c r="D705" s="99">
        <v>0.625</v>
      </c>
    </row>
    <row r="706" spans="1:4" x14ac:dyDescent="0.35">
      <c r="A706" s="3" t="str">
        <f>IF(C706="","",(VLOOKUP($C706,KEY!$B$5:$D$74,3,FALSE)))</f>
        <v>Michigan &amp; Minnesota</v>
      </c>
      <c r="B706" s="221" t="s">
        <v>224</v>
      </c>
      <c r="C706" s="222" t="s">
        <v>207</v>
      </c>
      <c r="D706" s="99">
        <v>0.875</v>
      </c>
    </row>
    <row r="707" spans="1:4" x14ac:dyDescent="0.35">
      <c r="A707" s="3" t="str">
        <f>IF(C707="","",(VLOOKUP($C707,KEY!$B$5:$D$74,3,FALSE)))</f>
        <v>Indiana</v>
      </c>
      <c r="B707" s="221" t="s">
        <v>224</v>
      </c>
      <c r="C707" s="222" t="s">
        <v>208</v>
      </c>
      <c r="D707" s="99">
        <v>0.875</v>
      </c>
    </row>
    <row r="708" spans="1:4" x14ac:dyDescent="0.35">
      <c r="A708" s="3" t="str">
        <f>IF(C708="","",(VLOOKUP($C708,KEY!$B$5:$D$74,3,FALSE)))</f>
        <v>Indiana</v>
      </c>
      <c r="B708" s="221" t="s">
        <v>224</v>
      </c>
      <c r="C708" s="222" t="s">
        <v>209</v>
      </c>
      <c r="D708" s="99">
        <v>0.625</v>
      </c>
    </row>
    <row r="709" spans="1:4" x14ac:dyDescent="0.35">
      <c r="A709" s="3" t="str">
        <f>IF(C709="","",(VLOOKUP($C709,KEY!$B$5:$D$74,3,FALSE)))</f>
        <v>Northern California</v>
      </c>
      <c r="B709" s="221" t="s">
        <v>224</v>
      </c>
      <c r="C709" s="222" t="s">
        <v>152</v>
      </c>
      <c r="D709" s="99">
        <v>0.625</v>
      </c>
    </row>
    <row r="710" spans="1:4" x14ac:dyDescent="0.35">
      <c r="A710" s="3" t="str">
        <f>IF(C710="","",(VLOOKUP($C710,KEY!$B$5:$D$74,3,FALSE)))</f>
        <v>Arizona</v>
      </c>
      <c r="B710" s="221" t="s">
        <v>224</v>
      </c>
      <c r="C710" s="222" t="s">
        <v>153</v>
      </c>
      <c r="D710" s="99">
        <v>1</v>
      </c>
    </row>
    <row r="711" spans="1:4" x14ac:dyDescent="0.35">
      <c r="A711" s="3" t="str">
        <f>IF(C711="","",(VLOOKUP($C711,KEY!$B$5:$D$74,3,FALSE)))</f>
        <v>Northern California</v>
      </c>
      <c r="B711" s="221" t="s">
        <v>224</v>
      </c>
      <c r="C711" s="222" t="s">
        <v>154</v>
      </c>
      <c r="D711" s="99">
        <v>0.875</v>
      </c>
    </row>
    <row r="712" spans="1:4" x14ac:dyDescent="0.35">
      <c r="A712" s="3" t="str">
        <f>IF(C712="","",(VLOOKUP($C712,KEY!$B$5:$D$74,3,FALSE)))</f>
        <v>Texas</v>
      </c>
      <c r="B712" s="221" t="s">
        <v>224</v>
      </c>
      <c r="C712" s="222" t="s">
        <v>155</v>
      </c>
      <c r="D712" s="99">
        <v>0.75</v>
      </c>
    </row>
    <row r="713" spans="1:4" x14ac:dyDescent="0.35">
      <c r="A713" s="3" t="str">
        <f>IF(C713="","",(VLOOKUP($C713,KEY!$B$5:$D$74,3,FALSE)))</f>
        <v>Texas</v>
      </c>
      <c r="B713" s="221" t="s">
        <v>224</v>
      </c>
      <c r="C713" s="222" t="s">
        <v>156</v>
      </c>
      <c r="D713" s="99">
        <v>0.75</v>
      </c>
    </row>
    <row r="714" spans="1:4" x14ac:dyDescent="0.35">
      <c r="A714" s="3" t="str">
        <f>IF(C714="","",(VLOOKUP($C714,KEY!$B$5:$D$74,3,FALSE)))</f>
        <v>Texas</v>
      </c>
      <c r="B714" s="221" t="s">
        <v>224</v>
      </c>
      <c r="C714" s="222" t="s">
        <v>157</v>
      </c>
      <c r="D714" s="99">
        <v>0.75</v>
      </c>
    </row>
    <row r="715" spans="1:4" x14ac:dyDescent="0.35">
      <c r="A715" s="3" t="str">
        <f>IF(C715="","",(VLOOKUP($C715,KEY!$B$5:$D$74,3,FALSE)))</f>
        <v>Arizona</v>
      </c>
      <c r="B715" s="221" t="s">
        <v>224</v>
      </c>
      <c r="C715" s="222" t="s">
        <v>158</v>
      </c>
      <c r="D715" s="99">
        <v>0.125</v>
      </c>
    </row>
    <row r="716" spans="1:4" x14ac:dyDescent="0.35">
      <c r="A716" s="3" t="str">
        <f>IF(C716="","",(VLOOKUP($C716,KEY!$B$5:$D$74,3,FALSE)))</f>
        <v>Orange County</v>
      </c>
      <c r="B716" s="221" t="s">
        <v>224</v>
      </c>
      <c r="C716" s="222" t="s">
        <v>159</v>
      </c>
      <c r="D716" s="99">
        <v>0.875</v>
      </c>
    </row>
    <row r="717" spans="1:4" x14ac:dyDescent="0.35">
      <c r="A717" s="3" t="str">
        <f>IF(C717="","",(VLOOKUP($C717,KEY!$B$5:$D$74,3,FALSE)))</f>
        <v>Arizona</v>
      </c>
      <c r="B717" s="221" t="s">
        <v>224</v>
      </c>
      <c r="C717" s="222" t="s">
        <v>160</v>
      </c>
      <c r="D717" s="99">
        <v>1</v>
      </c>
    </row>
    <row r="718" spans="1:4" x14ac:dyDescent="0.35">
      <c r="A718" s="3" t="str">
        <f>IF(C718="","",(VLOOKUP($C718,KEY!$B$5:$D$74,3,FALSE)))</f>
        <v>Northern California</v>
      </c>
      <c r="B718" s="221" t="s">
        <v>224</v>
      </c>
      <c r="C718" s="222" t="s">
        <v>161</v>
      </c>
      <c r="D718" s="99">
        <v>1</v>
      </c>
    </row>
    <row r="719" spans="1:4" x14ac:dyDescent="0.35">
      <c r="A719" s="3" t="str">
        <f>IF(C719="","",(VLOOKUP($C719,KEY!$B$5:$D$74,3,FALSE)))</f>
        <v>Arizona</v>
      </c>
      <c r="B719" s="221" t="s">
        <v>224</v>
      </c>
      <c r="C719" s="222" t="s">
        <v>163</v>
      </c>
      <c r="D719" s="99">
        <v>1</v>
      </c>
    </row>
    <row r="720" spans="1:4" x14ac:dyDescent="0.35">
      <c r="A720" s="3" t="str">
        <f>IF(C720="","",(VLOOKUP($C720,KEY!$B$5:$D$74,3,FALSE)))</f>
        <v>Arizona</v>
      </c>
      <c r="B720" s="221" t="s">
        <v>224</v>
      </c>
      <c r="C720" s="222" t="s">
        <v>164</v>
      </c>
      <c r="D720" s="99">
        <v>0.5</v>
      </c>
    </row>
    <row r="721" spans="1:4" x14ac:dyDescent="0.35">
      <c r="A721" s="3" t="str">
        <f>IF(C721="","",(VLOOKUP($C721,KEY!$B$5:$D$74,3,FALSE)))</f>
        <v>Orange County</v>
      </c>
      <c r="B721" s="221" t="s">
        <v>224</v>
      </c>
      <c r="C721" s="222" t="s">
        <v>165</v>
      </c>
      <c r="D721" s="99">
        <v>0.75</v>
      </c>
    </row>
    <row r="722" spans="1:4" x14ac:dyDescent="0.35">
      <c r="A722" s="3" t="str">
        <f>IF(C722="","",(VLOOKUP($C722,KEY!$B$5:$D$74,3,FALSE)))</f>
        <v/>
      </c>
      <c r="B722" s="221" t="s">
        <v>224</v>
      </c>
      <c r="C722" s="222"/>
      <c r="D722" s="99"/>
    </row>
    <row r="723" spans="1:4" x14ac:dyDescent="0.35">
      <c r="A723" s="3" t="str">
        <f>IF(C723="","",(VLOOKUP($C723,KEY!$B$5:$D$74,3,FALSE)))</f>
        <v/>
      </c>
      <c r="B723" s="221" t="s">
        <v>224</v>
      </c>
      <c r="C723" s="222"/>
      <c r="D723" s="99"/>
    </row>
    <row r="724" spans="1:4" x14ac:dyDescent="0.35">
      <c r="A724" s="3" t="str">
        <f>IF(C724="","",(VLOOKUP($C724,KEY!$B$5:$D$74,3,FALSE)))</f>
        <v/>
      </c>
      <c r="B724" s="221" t="s">
        <v>224</v>
      </c>
      <c r="C724" s="222"/>
      <c r="D724" s="99"/>
    </row>
    <row r="725" spans="1:4" x14ac:dyDescent="0.35">
      <c r="A725" s="3" t="str">
        <f>IF(C725="","",(VLOOKUP($C725,KEY!$B$5:$D$74,3,FALSE)))</f>
        <v/>
      </c>
      <c r="B725" s="221" t="s">
        <v>224</v>
      </c>
      <c r="C725" s="222"/>
      <c r="D725" s="99"/>
    </row>
    <row r="726" spans="1:4" x14ac:dyDescent="0.35">
      <c r="A726" s="3" t="str">
        <f>IF(C726="","",(VLOOKUP($C726,KEY!$B$5:$D$74,3,FALSE)))</f>
        <v/>
      </c>
      <c r="B726" s="402" t="s">
        <v>224</v>
      </c>
      <c r="C726" s="403"/>
      <c r="D726" s="405"/>
    </row>
    <row r="727" spans="1:4" x14ac:dyDescent="0.35">
      <c r="A727" s="3" t="str">
        <f>IF(C727="","",(VLOOKUP($C727,KEY!$B$5:$D$74,3,FALSE)))</f>
        <v/>
      </c>
      <c r="B727" s="221" t="s">
        <v>225</v>
      </c>
      <c r="C727" s="222"/>
      <c r="D727" s="99"/>
    </row>
    <row r="728" spans="1:4" x14ac:dyDescent="0.35">
      <c r="A728" s="3" t="str">
        <f>IF(C728="","",(VLOOKUP($C728,KEY!$B$5:$D$74,3,FALSE)))</f>
        <v/>
      </c>
      <c r="B728" s="221" t="s">
        <v>225</v>
      </c>
      <c r="C728" s="222"/>
      <c r="D728" s="99"/>
    </row>
    <row r="729" spans="1:4" x14ac:dyDescent="0.35">
      <c r="A729" s="3" t="str">
        <f>IF(C729="","",(VLOOKUP($C729,KEY!$B$5:$D$74,3,FALSE)))</f>
        <v/>
      </c>
      <c r="B729" s="221" t="s">
        <v>225</v>
      </c>
      <c r="C729" s="222"/>
      <c r="D729" s="99"/>
    </row>
    <row r="730" spans="1:4" x14ac:dyDescent="0.35">
      <c r="A730" s="3" t="str">
        <f>IF(C730="","",(VLOOKUP($C730,KEY!$B$5:$D$74,3,FALSE)))</f>
        <v/>
      </c>
      <c r="B730" s="221" t="s">
        <v>225</v>
      </c>
      <c r="C730" s="222"/>
      <c r="D730" s="99"/>
    </row>
    <row r="731" spans="1:4" x14ac:dyDescent="0.35">
      <c r="A731" s="3" t="str">
        <f>IF(C731="","",(VLOOKUP($C731,KEY!$B$5:$D$74,3,FALSE)))</f>
        <v/>
      </c>
      <c r="B731" s="221" t="s">
        <v>225</v>
      </c>
      <c r="C731" s="222"/>
      <c r="D731" s="99"/>
    </row>
    <row r="732" spans="1:4" x14ac:dyDescent="0.35">
      <c r="A732" s="3" t="str">
        <f>IF(C732="","",(VLOOKUP($C732,KEY!$B$5:$D$74,3,FALSE)))</f>
        <v/>
      </c>
      <c r="B732" s="221" t="s">
        <v>225</v>
      </c>
      <c r="C732" s="222"/>
      <c r="D732" s="99"/>
    </row>
    <row r="733" spans="1:4" x14ac:dyDescent="0.35">
      <c r="A733" s="3" t="str">
        <f>IF(C733="","",(VLOOKUP($C733,KEY!$B$5:$D$74,3,FALSE)))</f>
        <v/>
      </c>
      <c r="B733" s="221" t="s">
        <v>225</v>
      </c>
      <c r="C733" s="222"/>
      <c r="D733" s="99"/>
    </row>
    <row r="734" spans="1:4" x14ac:dyDescent="0.35">
      <c r="A734" s="3" t="str">
        <f>IF(C734="","",(VLOOKUP($C734,KEY!$B$5:$D$74,3,FALSE)))</f>
        <v/>
      </c>
      <c r="B734" s="221" t="s">
        <v>225</v>
      </c>
      <c r="C734" s="222"/>
      <c r="D734" s="99"/>
    </row>
    <row r="735" spans="1:4" x14ac:dyDescent="0.35">
      <c r="A735" s="3" t="str">
        <f>IF(C735="","",(VLOOKUP($C735,KEY!$B$5:$D$74,3,FALSE)))</f>
        <v/>
      </c>
      <c r="B735" s="221" t="s">
        <v>225</v>
      </c>
      <c r="C735" s="222"/>
      <c r="D735" s="99"/>
    </row>
    <row r="736" spans="1:4" x14ac:dyDescent="0.35">
      <c r="A736" s="3" t="str">
        <f>IF(C736="","",(VLOOKUP($C736,KEY!$B$5:$D$74,3,FALSE)))</f>
        <v/>
      </c>
      <c r="B736" s="221" t="s">
        <v>225</v>
      </c>
      <c r="C736" s="222"/>
      <c r="D736" s="99"/>
    </row>
    <row r="737" spans="1:4" x14ac:dyDescent="0.35">
      <c r="A737" s="3" t="str">
        <f>IF(C737="","",(VLOOKUP($C737,KEY!$B$5:$D$74,3,FALSE)))</f>
        <v/>
      </c>
      <c r="B737" s="221" t="s">
        <v>225</v>
      </c>
      <c r="C737" s="222"/>
      <c r="D737" s="99"/>
    </row>
    <row r="738" spans="1:4" x14ac:dyDescent="0.35">
      <c r="A738" s="3" t="str">
        <f>IF(C738="","",(VLOOKUP($C738,KEY!$B$5:$D$74,3,FALSE)))</f>
        <v/>
      </c>
      <c r="B738" s="221" t="s">
        <v>225</v>
      </c>
      <c r="C738" s="222"/>
      <c r="D738" s="99"/>
    </row>
    <row r="739" spans="1:4" x14ac:dyDescent="0.35">
      <c r="A739" s="3" t="str">
        <f>IF(C739="","",(VLOOKUP($C739,KEY!$B$5:$D$74,3,FALSE)))</f>
        <v/>
      </c>
      <c r="B739" s="221" t="s">
        <v>225</v>
      </c>
      <c r="C739" s="222"/>
      <c r="D739" s="99"/>
    </row>
    <row r="740" spans="1:4" x14ac:dyDescent="0.35">
      <c r="A740" s="3" t="str">
        <f>IF(C740="","",(VLOOKUP($C740,KEY!$B$5:$D$74,3,FALSE)))</f>
        <v/>
      </c>
      <c r="B740" s="221" t="s">
        <v>225</v>
      </c>
      <c r="C740" s="222"/>
      <c r="D740" s="99"/>
    </row>
    <row r="741" spans="1:4" x14ac:dyDescent="0.35">
      <c r="A741" s="3" t="str">
        <f>IF(C741="","",(VLOOKUP($C741,KEY!$B$5:$D$74,3,FALSE)))</f>
        <v/>
      </c>
      <c r="B741" s="221" t="s">
        <v>225</v>
      </c>
      <c r="C741" s="222"/>
      <c r="D741" s="99"/>
    </row>
    <row r="742" spans="1:4" x14ac:dyDescent="0.35">
      <c r="A742" s="3" t="str">
        <f>IF(C742="","",(VLOOKUP($C742,KEY!$B$5:$D$74,3,FALSE)))</f>
        <v/>
      </c>
      <c r="B742" s="221" t="s">
        <v>225</v>
      </c>
      <c r="C742" s="222"/>
      <c r="D742" s="99"/>
    </row>
    <row r="743" spans="1:4" x14ac:dyDescent="0.35">
      <c r="A743" s="3" t="str">
        <f>IF(C743="","",(VLOOKUP($C743,KEY!$B$5:$D$74,3,FALSE)))</f>
        <v/>
      </c>
      <c r="B743" s="221" t="s">
        <v>225</v>
      </c>
      <c r="C743" s="222"/>
      <c r="D743" s="99"/>
    </row>
    <row r="744" spans="1:4" x14ac:dyDescent="0.35">
      <c r="A744" s="3" t="str">
        <f>IF(C744="","",(VLOOKUP($C744,KEY!$B$5:$D$74,3,FALSE)))</f>
        <v/>
      </c>
      <c r="B744" s="221" t="s">
        <v>225</v>
      </c>
      <c r="C744" s="222"/>
      <c r="D744" s="99"/>
    </row>
    <row r="745" spans="1:4" x14ac:dyDescent="0.35">
      <c r="A745" s="3" t="str">
        <f>IF(C745="","",(VLOOKUP($C745,KEY!$B$5:$D$74,3,FALSE)))</f>
        <v/>
      </c>
      <c r="B745" s="221" t="s">
        <v>225</v>
      </c>
      <c r="C745" s="222"/>
      <c r="D745" s="99"/>
    </row>
    <row r="746" spans="1:4" x14ac:dyDescent="0.35">
      <c r="A746" s="3" t="str">
        <f>IF(C746="","",(VLOOKUP($C746,KEY!$B$5:$D$74,3,FALSE)))</f>
        <v/>
      </c>
      <c r="B746" s="221" t="s">
        <v>225</v>
      </c>
      <c r="C746" s="222"/>
      <c r="D746" s="99"/>
    </row>
    <row r="747" spans="1:4" x14ac:dyDescent="0.35">
      <c r="A747" s="3" t="str">
        <f>IF(C747="","",(VLOOKUP($C747,KEY!$B$5:$D$74,3,FALSE)))</f>
        <v/>
      </c>
      <c r="B747" s="221" t="s">
        <v>225</v>
      </c>
      <c r="C747" s="222"/>
      <c r="D747" s="99"/>
    </row>
    <row r="748" spans="1:4" x14ac:dyDescent="0.35">
      <c r="A748" s="3" t="str">
        <f>IF(C748="","",(VLOOKUP($C748,KEY!$B$5:$D$74,3,FALSE)))</f>
        <v/>
      </c>
      <c r="B748" s="221" t="s">
        <v>225</v>
      </c>
      <c r="C748" s="222"/>
      <c r="D748" s="99"/>
    </row>
    <row r="749" spans="1:4" x14ac:dyDescent="0.35">
      <c r="A749" s="3" t="str">
        <f>IF(C749="","",(VLOOKUP($C749,KEY!$B$5:$D$74,3,FALSE)))</f>
        <v/>
      </c>
      <c r="B749" s="221" t="s">
        <v>225</v>
      </c>
      <c r="C749" s="222"/>
      <c r="D749" s="99"/>
    </row>
    <row r="750" spans="1:4" x14ac:dyDescent="0.35">
      <c r="A750" s="3" t="str">
        <f>IF(C750="","",(VLOOKUP($C750,KEY!$B$5:$D$74,3,FALSE)))</f>
        <v/>
      </c>
      <c r="B750" s="221" t="s">
        <v>225</v>
      </c>
      <c r="C750" s="222"/>
      <c r="D750" s="99"/>
    </row>
    <row r="751" spans="1:4" x14ac:dyDescent="0.35">
      <c r="A751" s="3" t="str">
        <f>IF(C751="","",(VLOOKUP($C751,KEY!$B$5:$D$74,3,FALSE)))</f>
        <v/>
      </c>
      <c r="B751" s="221" t="s">
        <v>225</v>
      </c>
      <c r="C751" s="222"/>
      <c r="D751" s="99"/>
    </row>
    <row r="752" spans="1:4" x14ac:dyDescent="0.35">
      <c r="A752" s="3" t="str">
        <f>IF(C752="","",(VLOOKUP($C752,KEY!$B$5:$D$74,3,FALSE)))</f>
        <v/>
      </c>
      <c r="B752" s="221" t="s">
        <v>225</v>
      </c>
      <c r="C752" s="222"/>
      <c r="D752" s="99"/>
    </row>
    <row r="753" spans="1:4" x14ac:dyDescent="0.35">
      <c r="A753" s="3" t="str">
        <f>IF(C753="","",(VLOOKUP($C753,KEY!$B$5:$D$74,3,FALSE)))</f>
        <v/>
      </c>
      <c r="B753" s="221" t="s">
        <v>225</v>
      </c>
      <c r="C753" s="222"/>
      <c r="D753" s="99"/>
    </row>
    <row r="754" spans="1:4" x14ac:dyDescent="0.35">
      <c r="A754" s="3" t="str">
        <f>IF(C754="","",(VLOOKUP($C754,KEY!$B$5:$D$74,3,FALSE)))</f>
        <v/>
      </c>
      <c r="B754" s="221" t="s">
        <v>225</v>
      </c>
      <c r="C754" s="222"/>
      <c r="D754" s="99"/>
    </row>
    <row r="755" spans="1:4" x14ac:dyDescent="0.35">
      <c r="A755" s="3" t="str">
        <f>IF(C755="","",(VLOOKUP($C755,KEY!$B$5:$D$74,3,FALSE)))</f>
        <v/>
      </c>
      <c r="B755" s="221" t="s">
        <v>225</v>
      </c>
      <c r="C755" s="222"/>
      <c r="D755" s="99"/>
    </row>
    <row r="756" spans="1:4" x14ac:dyDescent="0.35">
      <c r="A756" s="3" t="str">
        <f>IF(C756="","",(VLOOKUP($C756,KEY!$B$5:$D$74,3,FALSE)))</f>
        <v/>
      </c>
      <c r="B756" s="221" t="s">
        <v>225</v>
      </c>
      <c r="C756" s="222"/>
      <c r="D756" s="99"/>
    </row>
    <row r="757" spans="1:4" x14ac:dyDescent="0.35">
      <c r="A757" s="3" t="str">
        <f>IF(C757="","",(VLOOKUP($C757,KEY!$B$5:$D$74,3,FALSE)))</f>
        <v/>
      </c>
      <c r="B757" s="221" t="s">
        <v>225</v>
      </c>
      <c r="C757" s="222"/>
      <c r="D757" s="99"/>
    </row>
    <row r="758" spans="1:4" x14ac:dyDescent="0.35">
      <c r="A758" s="3" t="str">
        <f>IF(C758="","",(VLOOKUP($C758,KEY!$B$5:$D$74,3,FALSE)))</f>
        <v/>
      </c>
      <c r="B758" s="221" t="s">
        <v>225</v>
      </c>
      <c r="C758" s="222"/>
      <c r="D758" s="99"/>
    </row>
    <row r="759" spans="1:4" x14ac:dyDescent="0.35">
      <c r="A759" s="3" t="str">
        <f>IF(C759="","",(VLOOKUP($C759,KEY!$B$5:$D$74,3,FALSE)))</f>
        <v/>
      </c>
      <c r="B759" s="221" t="s">
        <v>225</v>
      </c>
      <c r="C759" s="222"/>
      <c r="D759" s="99"/>
    </row>
    <row r="760" spans="1:4" x14ac:dyDescent="0.35">
      <c r="A760" s="3" t="str">
        <f>IF(C760="","",(VLOOKUP($C760,KEY!$B$5:$D$74,3,FALSE)))</f>
        <v/>
      </c>
      <c r="B760" s="221" t="s">
        <v>225</v>
      </c>
      <c r="C760" s="222"/>
      <c r="D760" s="99"/>
    </row>
    <row r="761" spans="1:4" x14ac:dyDescent="0.35">
      <c r="A761" s="3" t="str">
        <f>IF(C761="","",(VLOOKUP($C761,KEY!$B$5:$D$74,3,FALSE)))</f>
        <v/>
      </c>
      <c r="B761" s="221" t="s">
        <v>225</v>
      </c>
      <c r="C761" s="222"/>
      <c r="D761" s="99"/>
    </row>
    <row r="762" spans="1:4" x14ac:dyDescent="0.35">
      <c r="A762" s="3" t="str">
        <f>IF(C762="","",(VLOOKUP($C762,KEY!$B$5:$D$74,3,FALSE)))</f>
        <v/>
      </c>
      <c r="B762" s="221" t="s">
        <v>225</v>
      </c>
      <c r="C762" s="222"/>
      <c r="D762" s="99"/>
    </row>
    <row r="763" spans="1:4" x14ac:dyDescent="0.35">
      <c r="A763" s="3" t="str">
        <f>IF(C763="","",(VLOOKUP($C763,KEY!$B$5:$D$74,3,FALSE)))</f>
        <v/>
      </c>
      <c r="B763" s="221" t="s">
        <v>225</v>
      </c>
      <c r="C763" s="222"/>
      <c r="D763" s="99"/>
    </row>
    <row r="764" spans="1:4" x14ac:dyDescent="0.35">
      <c r="A764" s="3" t="str">
        <f>IF(C764="","",(VLOOKUP($C764,KEY!$B$5:$D$74,3,FALSE)))</f>
        <v/>
      </c>
      <c r="B764" s="221" t="s">
        <v>225</v>
      </c>
      <c r="C764" s="222"/>
      <c r="D764" s="99"/>
    </row>
    <row r="765" spans="1:4" x14ac:dyDescent="0.35">
      <c r="A765" s="3" t="str">
        <f>IF(C765="","",(VLOOKUP($C765,KEY!$B$5:$D$74,3,FALSE)))</f>
        <v/>
      </c>
      <c r="B765" s="221" t="s">
        <v>225</v>
      </c>
      <c r="C765" s="222"/>
      <c r="D765" s="99"/>
    </row>
    <row r="766" spans="1:4" x14ac:dyDescent="0.35">
      <c r="A766" s="3" t="str">
        <f>IF(C766="","",(VLOOKUP($C766,KEY!$B$5:$D$74,3,FALSE)))</f>
        <v/>
      </c>
      <c r="B766" s="221" t="s">
        <v>225</v>
      </c>
      <c r="C766" s="222"/>
      <c r="D766" s="99"/>
    </row>
    <row r="767" spans="1:4" x14ac:dyDescent="0.35">
      <c r="A767" s="3" t="str">
        <f>IF(C767="","",(VLOOKUP($C767,KEY!$B$5:$D$74,3,FALSE)))</f>
        <v/>
      </c>
      <c r="B767" s="221" t="s">
        <v>225</v>
      </c>
      <c r="C767" s="222"/>
      <c r="D767" s="99"/>
    </row>
    <row r="768" spans="1:4" x14ac:dyDescent="0.35">
      <c r="A768" s="3" t="str">
        <f>IF(C768="","",(VLOOKUP($C768,KEY!$B$5:$D$74,3,FALSE)))</f>
        <v/>
      </c>
      <c r="B768" s="221" t="s">
        <v>225</v>
      </c>
      <c r="C768" s="222"/>
      <c r="D768" s="99"/>
    </row>
    <row r="769" spans="1:4" x14ac:dyDescent="0.35">
      <c r="A769" s="3" t="str">
        <f>IF(C769="","",(VLOOKUP($C769,KEY!$B$5:$D$74,3,FALSE)))</f>
        <v/>
      </c>
      <c r="B769" s="221" t="s">
        <v>225</v>
      </c>
      <c r="C769" s="222"/>
      <c r="D769" s="99"/>
    </row>
    <row r="770" spans="1:4" x14ac:dyDescent="0.35">
      <c r="A770" s="3" t="str">
        <f>IF(C770="","",(VLOOKUP($C770,KEY!$B$5:$D$74,3,FALSE)))</f>
        <v/>
      </c>
      <c r="B770" s="221" t="s">
        <v>225</v>
      </c>
      <c r="C770" s="222"/>
      <c r="D770" s="99"/>
    </row>
    <row r="771" spans="1:4" x14ac:dyDescent="0.35">
      <c r="A771" s="3" t="str">
        <f>IF(C771="","",(VLOOKUP($C771,KEY!$B$5:$D$74,3,FALSE)))</f>
        <v/>
      </c>
      <c r="B771" s="221" t="s">
        <v>225</v>
      </c>
      <c r="C771" s="222"/>
      <c r="D771" s="99"/>
    </row>
    <row r="772" spans="1:4" x14ac:dyDescent="0.35">
      <c r="A772" s="3" t="str">
        <f>IF(C772="","",(VLOOKUP($C772,KEY!$B$5:$D$74,3,FALSE)))</f>
        <v/>
      </c>
      <c r="B772" s="221" t="s">
        <v>225</v>
      </c>
      <c r="C772" s="222"/>
      <c r="D772" s="99"/>
    </row>
    <row r="773" spans="1:4" x14ac:dyDescent="0.35">
      <c r="A773" s="3" t="str">
        <f>IF(C773="","",(VLOOKUP($C773,KEY!$B$5:$D$74,3,FALSE)))</f>
        <v/>
      </c>
      <c r="B773" s="221" t="s">
        <v>225</v>
      </c>
      <c r="C773" s="222"/>
      <c r="D773" s="99"/>
    </row>
    <row r="774" spans="1:4" x14ac:dyDescent="0.35">
      <c r="A774" s="3" t="str">
        <f>IF(C774="","",(VLOOKUP($C774,KEY!$B$5:$D$74,3,FALSE)))</f>
        <v/>
      </c>
      <c r="B774" s="221" t="s">
        <v>225</v>
      </c>
      <c r="C774" s="222"/>
      <c r="D774" s="99"/>
    </row>
    <row r="775" spans="1:4" x14ac:dyDescent="0.35">
      <c r="A775" s="3" t="str">
        <f>IF(C775="","",(VLOOKUP($C775,KEY!$B$5:$D$74,3,FALSE)))</f>
        <v/>
      </c>
      <c r="B775" s="221" t="s">
        <v>225</v>
      </c>
      <c r="C775" s="222"/>
      <c r="D775" s="99"/>
    </row>
    <row r="776" spans="1:4" x14ac:dyDescent="0.35">
      <c r="A776" s="3" t="str">
        <f>IF(C776="","",(VLOOKUP($C776,KEY!$B$5:$D$74,3,FALSE)))</f>
        <v/>
      </c>
      <c r="B776" s="221" t="s">
        <v>225</v>
      </c>
      <c r="C776" s="222"/>
      <c r="D776" s="99"/>
    </row>
    <row r="777" spans="1:4" x14ac:dyDescent="0.35">
      <c r="A777" s="3" t="str">
        <f>IF(C777="","",(VLOOKUP($C777,KEY!$B$5:$D$74,3,FALSE)))</f>
        <v/>
      </c>
      <c r="B777" s="221" t="s">
        <v>225</v>
      </c>
      <c r="C777" s="222"/>
      <c r="D777" s="99"/>
    </row>
    <row r="778" spans="1:4" x14ac:dyDescent="0.35">
      <c r="A778" s="3" t="str">
        <f>IF(C778="","",(VLOOKUP($C778,KEY!$B$5:$D$74,3,FALSE)))</f>
        <v/>
      </c>
      <c r="B778" s="221" t="s">
        <v>225</v>
      </c>
      <c r="C778" s="222"/>
      <c r="D778" s="99"/>
    </row>
    <row r="779" spans="1:4" x14ac:dyDescent="0.35">
      <c r="A779" s="3" t="str">
        <f>IF(C779="","",(VLOOKUP($C779,KEY!$B$5:$D$74,3,FALSE)))</f>
        <v/>
      </c>
      <c r="B779" s="221" t="s">
        <v>225</v>
      </c>
      <c r="C779" s="222"/>
      <c r="D779" s="99"/>
    </row>
    <row r="780" spans="1:4" x14ac:dyDescent="0.35">
      <c r="A780" s="3" t="str">
        <f>IF(C780="","",(VLOOKUP($C780,KEY!$B$5:$D$74,3,FALSE)))</f>
        <v/>
      </c>
      <c r="B780" s="221" t="s">
        <v>225</v>
      </c>
      <c r="C780" s="222"/>
      <c r="D780" s="99"/>
    </row>
    <row r="781" spans="1:4" x14ac:dyDescent="0.35">
      <c r="A781" s="3" t="str">
        <f>IF(C781="","",(VLOOKUP($C781,KEY!$B$5:$D$74,3,FALSE)))</f>
        <v/>
      </c>
      <c r="B781" s="221" t="s">
        <v>225</v>
      </c>
      <c r="C781" s="222"/>
      <c r="D781" s="99"/>
    </row>
    <row r="782" spans="1:4" x14ac:dyDescent="0.35">
      <c r="A782" s="3" t="str">
        <f>IF(C782="","",(VLOOKUP($C782,KEY!$B$5:$D$74,3,FALSE)))</f>
        <v/>
      </c>
      <c r="B782" s="221" t="s">
        <v>225</v>
      </c>
      <c r="C782" s="222"/>
      <c r="D782" s="99"/>
    </row>
    <row r="783" spans="1:4" x14ac:dyDescent="0.35">
      <c r="A783" s="3" t="str">
        <f>IF(C783="","",(VLOOKUP($C783,KEY!$B$5:$D$74,3,FALSE)))</f>
        <v/>
      </c>
      <c r="B783" s="221" t="s">
        <v>225</v>
      </c>
      <c r="C783" s="222"/>
      <c r="D783" s="99"/>
    </row>
    <row r="784" spans="1:4" x14ac:dyDescent="0.35">
      <c r="A784" s="3" t="str">
        <f>IF(C784="","",(VLOOKUP($C784,KEY!$B$5:$D$74,3,FALSE)))</f>
        <v/>
      </c>
      <c r="B784" s="221" t="s">
        <v>225</v>
      </c>
      <c r="C784" s="222"/>
      <c r="D784" s="99"/>
    </row>
    <row r="785" spans="1:4" x14ac:dyDescent="0.35">
      <c r="A785" s="3" t="str">
        <f>IF(C785="","",(VLOOKUP($C785,KEY!$B$5:$D$74,3,FALSE)))</f>
        <v/>
      </c>
      <c r="B785" s="221" t="s">
        <v>225</v>
      </c>
      <c r="C785" s="222"/>
      <c r="D785" s="99"/>
    </row>
    <row r="786" spans="1:4" x14ac:dyDescent="0.35">
      <c r="A786" s="3" t="str">
        <f>IF(C786="","",(VLOOKUP($C786,KEY!$B$5:$D$74,3,FALSE)))</f>
        <v/>
      </c>
      <c r="B786" s="221" t="s">
        <v>225</v>
      </c>
      <c r="C786" s="222"/>
      <c r="D786" s="99"/>
    </row>
    <row r="787" spans="1:4" x14ac:dyDescent="0.35">
      <c r="A787" s="3" t="str">
        <f>IF(C787="","",(VLOOKUP($C787,KEY!$B$5:$D$74,3,FALSE)))</f>
        <v/>
      </c>
      <c r="B787" s="221" t="s">
        <v>225</v>
      </c>
      <c r="C787" s="222"/>
      <c r="D787" s="99"/>
    </row>
    <row r="788" spans="1:4" x14ac:dyDescent="0.35">
      <c r="A788" s="3" t="str">
        <f>IF(C788="","",(VLOOKUP($C788,KEY!$B$5:$D$74,3,FALSE)))</f>
        <v/>
      </c>
      <c r="B788" s="221" t="s">
        <v>225</v>
      </c>
      <c r="C788" s="222"/>
      <c r="D788" s="99"/>
    </row>
    <row r="789" spans="1:4" x14ac:dyDescent="0.35">
      <c r="A789" s="3" t="str">
        <f>IF(C789="","",(VLOOKUP($C789,KEY!$B$5:$D$74,3,FALSE)))</f>
        <v/>
      </c>
      <c r="B789" s="221" t="s">
        <v>225</v>
      </c>
      <c r="C789" s="222"/>
      <c r="D789" s="99"/>
    </row>
    <row r="790" spans="1:4" x14ac:dyDescent="0.35">
      <c r="A790" s="3" t="str">
        <f>IF(C790="","",(VLOOKUP($C790,KEY!$B$5:$D$74,3,FALSE)))</f>
        <v/>
      </c>
      <c r="B790" s="221" t="s">
        <v>225</v>
      </c>
      <c r="C790" s="222"/>
      <c r="D790" s="99"/>
    </row>
    <row r="791" spans="1:4" x14ac:dyDescent="0.35">
      <c r="A791" s="3" t="str">
        <f>IF(C791="","",(VLOOKUP($C791,KEY!$B$5:$D$74,3,FALSE)))</f>
        <v/>
      </c>
      <c r="B791" s="221" t="s">
        <v>225</v>
      </c>
      <c r="C791" s="222"/>
      <c r="D791" s="99"/>
    </row>
    <row r="792" spans="1:4" x14ac:dyDescent="0.35">
      <c r="A792" s="3" t="str">
        <f>IF(C792="","",(VLOOKUP($C792,KEY!$B$5:$D$74,3,FALSE)))</f>
        <v/>
      </c>
      <c r="B792" s="221" t="s">
        <v>225</v>
      </c>
      <c r="C792" s="222"/>
      <c r="D792" s="99"/>
    </row>
    <row r="793" spans="1:4" x14ac:dyDescent="0.35">
      <c r="A793" s="3" t="str">
        <f>IF(C793="","",(VLOOKUP($C793,KEY!$B$5:$D$74,3,FALSE)))</f>
        <v/>
      </c>
      <c r="B793" s="221" t="s">
        <v>225</v>
      </c>
      <c r="C793" s="222"/>
      <c r="D793" s="99"/>
    </row>
    <row r="794" spans="1:4" x14ac:dyDescent="0.35">
      <c r="A794" s="3" t="str">
        <f>IF(C794="","",(VLOOKUP($C794,KEY!$B$5:$D$74,3,FALSE)))</f>
        <v/>
      </c>
      <c r="B794" s="221" t="s">
        <v>225</v>
      </c>
      <c r="C794" s="222"/>
      <c r="D794" s="99"/>
    </row>
    <row r="795" spans="1:4" x14ac:dyDescent="0.35">
      <c r="A795" s="3" t="str">
        <f>IF(C795="","",(VLOOKUP($C795,KEY!$B$5:$D$74,3,FALSE)))</f>
        <v/>
      </c>
      <c r="B795" s="221" t="s">
        <v>225</v>
      </c>
      <c r="C795" s="222"/>
      <c r="D795" s="99"/>
    </row>
    <row r="796" spans="1:4" x14ac:dyDescent="0.35">
      <c r="A796" s="3" t="str">
        <f>IF(C796="","",(VLOOKUP($C796,KEY!$B$5:$D$74,3,FALSE)))</f>
        <v/>
      </c>
      <c r="B796" s="402" t="s">
        <v>225</v>
      </c>
      <c r="C796" s="403"/>
      <c r="D796" s="405"/>
    </row>
    <row r="797" spans="1:4" x14ac:dyDescent="0.35">
      <c r="A797" s="3" t="str">
        <f>IF(C797="","",(VLOOKUP($C797,KEY!$B$5:$D$74,3,FALSE)))</f>
        <v/>
      </c>
      <c r="B797" s="221"/>
      <c r="C797" s="222"/>
      <c r="D797" s="99"/>
    </row>
    <row r="798" spans="1:4" hidden="1" x14ac:dyDescent="0.35">
      <c r="A798" s="3" t="str">
        <f>IF(C798="","",(VLOOKUP($C798,KEY!$B$5:$D$74,3,FALSE)))</f>
        <v/>
      </c>
      <c r="B798" s="221"/>
      <c r="C798" s="222"/>
      <c r="D798" s="399"/>
    </row>
    <row r="799" spans="1:4" hidden="1" x14ac:dyDescent="0.35">
      <c r="A799" s="3" t="str">
        <f>IF(C799="","",(VLOOKUP($C799,KEY!$B$5:$D$74,3,FALSE)))</f>
        <v/>
      </c>
      <c r="B799" s="221"/>
      <c r="C799" s="222"/>
      <c r="D799" s="399"/>
    </row>
    <row r="800" spans="1:4" hidden="1" x14ac:dyDescent="0.35">
      <c r="A800" s="3" t="str">
        <f>IF(C800="","",(VLOOKUP($C800,KEY!$B$5:$D$74,3,FALSE)))</f>
        <v/>
      </c>
      <c r="B800" s="221"/>
      <c r="C800" s="222"/>
      <c r="D800" s="399"/>
    </row>
    <row r="801" spans="1:4" hidden="1" x14ac:dyDescent="0.35">
      <c r="A801" s="3" t="str">
        <f>IF(C801="","",(VLOOKUP($C801,KEY!$B$5:$D$74,3,FALSE)))</f>
        <v/>
      </c>
      <c r="B801" s="221"/>
      <c r="C801" s="222"/>
      <c r="D801" s="399"/>
    </row>
    <row r="802" spans="1:4" hidden="1" x14ac:dyDescent="0.35">
      <c r="A802" s="3" t="str">
        <f>IF(C802="","",(VLOOKUP($C802,KEY!$B$5:$D$74,3,FALSE)))</f>
        <v/>
      </c>
      <c r="B802" s="221"/>
      <c r="C802" s="222"/>
      <c r="D802" s="399"/>
    </row>
    <row r="803" spans="1:4" hidden="1" x14ac:dyDescent="0.35">
      <c r="A803" s="3" t="str">
        <f>IF(C803="","",(VLOOKUP($C803,KEY!$B$5:$D$74,3,FALSE)))</f>
        <v/>
      </c>
      <c r="B803" s="221"/>
      <c r="C803" s="222"/>
      <c r="D803" s="399"/>
    </row>
    <row r="804" spans="1:4" hidden="1" x14ac:dyDescent="0.35">
      <c r="A804" s="3" t="str">
        <f>IF(C804="","",(VLOOKUP($C804,KEY!$B$5:$D$74,3,FALSE)))</f>
        <v/>
      </c>
      <c r="B804" s="221"/>
      <c r="C804" s="222"/>
      <c r="D804" s="399"/>
    </row>
    <row r="805" spans="1:4" hidden="1" x14ac:dyDescent="0.35">
      <c r="A805" s="3" t="str">
        <f>IF(C805="","",(VLOOKUP($C805,KEY!$B$5:$D$74,3,FALSE)))</f>
        <v/>
      </c>
      <c r="B805" s="221"/>
      <c r="C805" s="222"/>
      <c r="D805" s="399"/>
    </row>
    <row r="806" spans="1:4" hidden="1" x14ac:dyDescent="0.35">
      <c r="A806" s="3" t="str">
        <f>IF(C806="","",(VLOOKUP($C806,KEY!$B$5:$D$74,3,FALSE)))</f>
        <v/>
      </c>
      <c r="B806" s="221"/>
      <c r="C806" s="222"/>
      <c r="D806" s="399"/>
    </row>
    <row r="807" spans="1:4" hidden="1" x14ac:dyDescent="0.35">
      <c r="A807" s="3" t="str">
        <f>IF(C807="","",(VLOOKUP($C807,KEY!$B$5:$D$74,3,FALSE)))</f>
        <v/>
      </c>
      <c r="B807" s="221"/>
      <c r="C807" s="222"/>
      <c r="D807" s="399"/>
    </row>
    <row r="808" spans="1:4" hidden="1" x14ac:dyDescent="0.35">
      <c r="A808" s="3" t="str">
        <f>IF(C808="","",(VLOOKUP($C808,KEY!$B$5:$D$74,3,FALSE)))</f>
        <v/>
      </c>
      <c r="B808" s="221"/>
      <c r="C808" s="222"/>
      <c r="D808" s="399"/>
    </row>
    <row r="809" spans="1:4" hidden="1" x14ac:dyDescent="0.35">
      <c r="A809" s="3" t="str">
        <f>IF(C809="","",(VLOOKUP($C809,KEY!$B$5:$D$74,3,FALSE)))</f>
        <v/>
      </c>
      <c r="B809" s="221"/>
      <c r="C809" s="222"/>
      <c r="D809" s="399"/>
    </row>
    <row r="810" spans="1:4" hidden="1" x14ac:dyDescent="0.35">
      <c r="A810" s="3" t="str">
        <f>IF(C810="","",(VLOOKUP($C810,KEY!$B$5:$D$74,3,FALSE)))</f>
        <v/>
      </c>
      <c r="B810" s="221"/>
      <c r="C810" s="222"/>
      <c r="D810" s="399"/>
    </row>
    <row r="811" spans="1:4" hidden="1" x14ac:dyDescent="0.35">
      <c r="A811" s="3" t="str">
        <f>IF(C811="","",(VLOOKUP($C811,KEY!$B$5:$D$74,3,FALSE)))</f>
        <v/>
      </c>
      <c r="B811" s="221"/>
      <c r="C811" s="222"/>
      <c r="D811" s="399"/>
    </row>
    <row r="812" spans="1:4" hidden="1" x14ac:dyDescent="0.35">
      <c r="A812" s="3" t="str">
        <f>IF(C812="","",(VLOOKUP($C812,KEY!$B$5:$D$74,3,FALSE)))</f>
        <v/>
      </c>
      <c r="B812" s="221"/>
      <c r="C812" s="222"/>
      <c r="D812" s="399"/>
    </row>
    <row r="813" spans="1:4" hidden="1" x14ac:dyDescent="0.35">
      <c r="A813" s="3" t="str">
        <f>IF(C813="","",(VLOOKUP($C813,KEY!$B$5:$D$74,3,FALSE)))</f>
        <v/>
      </c>
      <c r="B813" s="221"/>
      <c r="C813" s="222"/>
      <c r="D813" s="399"/>
    </row>
    <row r="814" spans="1:4" hidden="1" x14ac:dyDescent="0.35">
      <c r="A814" s="3" t="str">
        <f>IF(C814="","",(VLOOKUP($C814,KEY!$B$5:$D$74,3,FALSE)))</f>
        <v/>
      </c>
      <c r="B814" s="221"/>
      <c r="C814" s="222"/>
      <c r="D814" s="399"/>
    </row>
    <row r="815" spans="1:4" hidden="1" x14ac:dyDescent="0.35">
      <c r="A815" s="3" t="str">
        <f>IF(C815="","",(VLOOKUP($C815,KEY!$B$5:$D$74,3,FALSE)))</f>
        <v/>
      </c>
      <c r="B815" s="221"/>
      <c r="C815" s="222"/>
      <c r="D815" s="399"/>
    </row>
    <row r="816" spans="1:4" hidden="1" x14ac:dyDescent="0.35">
      <c r="A816" s="3" t="str">
        <f>IF(C816="","",(VLOOKUP($C816,KEY!$B$5:$D$74,3,FALSE)))</f>
        <v/>
      </c>
      <c r="B816" s="221"/>
      <c r="C816" s="222"/>
      <c r="D816" s="399"/>
    </row>
    <row r="817" spans="1:4" hidden="1" x14ac:dyDescent="0.35">
      <c r="A817" s="3" t="str">
        <f>IF(C817="","",(VLOOKUP($C817,KEY!$B$5:$D$74,3,FALSE)))</f>
        <v/>
      </c>
      <c r="B817" s="221"/>
      <c r="C817" s="222"/>
      <c r="D817" s="399"/>
    </row>
    <row r="818" spans="1:4" hidden="1" x14ac:dyDescent="0.35">
      <c r="A818" s="3" t="str">
        <f>IF(C818="","",(VLOOKUP($C818,KEY!$B$5:$D$74,3,FALSE)))</f>
        <v/>
      </c>
      <c r="B818" s="221"/>
      <c r="C818" s="222"/>
      <c r="D818" s="399"/>
    </row>
    <row r="819" spans="1:4" hidden="1" x14ac:dyDescent="0.35">
      <c r="A819" s="3" t="str">
        <f>IF(C819="","",(VLOOKUP($C819,KEY!$B$5:$D$74,3,FALSE)))</f>
        <v/>
      </c>
      <c r="B819" s="221"/>
      <c r="C819" s="222"/>
      <c r="D819" s="399"/>
    </row>
    <row r="820" spans="1:4" hidden="1" x14ac:dyDescent="0.35">
      <c r="A820" s="3" t="str">
        <f>IF(C820="","",(VLOOKUP($C820,KEY!$B$5:$D$74,3,FALSE)))</f>
        <v/>
      </c>
      <c r="B820" s="221"/>
      <c r="C820" s="222"/>
      <c r="D820" s="399"/>
    </row>
    <row r="821" spans="1:4" hidden="1" x14ac:dyDescent="0.35">
      <c r="A821" s="3" t="str">
        <f>IF(C821="","",(VLOOKUP($C821,KEY!$B$5:$D$74,3,FALSE)))</f>
        <v/>
      </c>
      <c r="B821" s="221"/>
      <c r="C821" s="222"/>
      <c r="D821" s="399"/>
    </row>
    <row r="822" spans="1:4" hidden="1" x14ac:dyDescent="0.35">
      <c r="A822" s="3" t="str">
        <f>IF(C822="","",(VLOOKUP($C822,KEY!$B$5:$D$74,3,FALSE)))</f>
        <v/>
      </c>
      <c r="B822" s="221"/>
      <c r="C822" s="222"/>
      <c r="D822" s="399"/>
    </row>
    <row r="823" spans="1:4" hidden="1" x14ac:dyDescent="0.35">
      <c r="A823" s="3" t="str">
        <f>IF(C823="","",(VLOOKUP($C823,KEY!$B$5:$D$74,3,FALSE)))</f>
        <v/>
      </c>
      <c r="B823" s="221"/>
      <c r="C823" s="222"/>
      <c r="D823" s="399"/>
    </row>
    <row r="824" spans="1:4" hidden="1" x14ac:dyDescent="0.35">
      <c r="A824" s="3" t="str">
        <f>IF(C824="","",(VLOOKUP($C824,KEY!$B$5:$D$74,3,FALSE)))</f>
        <v/>
      </c>
      <c r="B824" s="221"/>
      <c r="C824" s="222"/>
      <c r="D824" s="399"/>
    </row>
    <row r="825" spans="1:4" hidden="1" x14ac:dyDescent="0.35">
      <c r="A825" s="3" t="str">
        <f>IF(C825="","",(VLOOKUP($C825,KEY!$B$5:$D$74,3,FALSE)))</f>
        <v/>
      </c>
      <c r="B825" s="221"/>
      <c r="C825" s="222"/>
      <c r="D825" s="399"/>
    </row>
    <row r="826" spans="1:4" hidden="1" x14ac:dyDescent="0.35">
      <c r="A826" s="3" t="str">
        <f>IF(C826="","",(VLOOKUP($C826,KEY!$B$5:$D$74,3,FALSE)))</f>
        <v/>
      </c>
      <c r="B826" s="221"/>
      <c r="C826" s="222"/>
      <c r="D826" s="399"/>
    </row>
    <row r="827" spans="1:4" hidden="1" x14ac:dyDescent="0.35">
      <c r="A827" s="3" t="str">
        <f>IF(C827="","",(VLOOKUP($C827,KEY!$B$5:$D$74,3,FALSE)))</f>
        <v/>
      </c>
      <c r="B827" s="221"/>
      <c r="C827" s="222"/>
      <c r="D827" s="399"/>
    </row>
    <row r="828" spans="1:4" hidden="1" x14ac:dyDescent="0.35">
      <c r="A828" s="3" t="str">
        <f>IF(C828="","",(VLOOKUP($C828,KEY!$B$5:$D$74,3,FALSE)))</f>
        <v/>
      </c>
      <c r="B828" s="221"/>
      <c r="C828" s="222"/>
      <c r="D828" s="399"/>
    </row>
    <row r="829" spans="1:4" hidden="1" x14ac:dyDescent="0.35">
      <c r="A829" s="3" t="str">
        <f>IF(C829="","",(VLOOKUP($C829,KEY!$B$5:$D$74,3,FALSE)))</f>
        <v/>
      </c>
      <c r="B829" s="221"/>
      <c r="C829" s="222"/>
      <c r="D829" s="399"/>
    </row>
    <row r="830" spans="1:4" hidden="1" x14ac:dyDescent="0.35">
      <c r="A830" s="3" t="str">
        <f>IF(C830="","",(VLOOKUP($C830,KEY!$B$5:$D$74,3,FALSE)))</f>
        <v/>
      </c>
      <c r="B830" s="221"/>
      <c r="C830" s="222"/>
      <c r="D830" s="399"/>
    </row>
    <row r="831" spans="1:4" hidden="1" x14ac:dyDescent="0.35">
      <c r="A831" s="3" t="str">
        <f>IF(C831="","",(VLOOKUP($C831,KEY!$B$5:$D$74,3,FALSE)))</f>
        <v/>
      </c>
      <c r="B831" s="221"/>
      <c r="C831" s="222"/>
      <c r="D831" s="399"/>
    </row>
    <row r="832" spans="1:4" hidden="1" x14ac:dyDescent="0.35">
      <c r="A832" s="3" t="str">
        <f>IF(C832="","",(VLOOKUP($C832,KEY!$B$5:$D$74,3,FALSE)))</f>
        <v/>
      </c>
      <c r="B832" s="221"/>
      <c r="C832" s="222"/>
      <c r="D832" s="399"/>
    </row>
    <row r="833" spans="1:4" hidden="1" x14ac:dyDescent="0.35">
      <c r="A833" s="3" t="str">
        <f>IF(C833="","",(VLOOKUP($C833,KEY!$B$5:$D$74,3,FALSE)))</f>
        <v/>
      </c>
      <c r="B833" s="221"/>
      <c r="C833" s="222"/>
      <c r="D833" s="399"/>
    </row>
    <row r="834" spans="1:4" hidden="1" x14ac:dyDescent="0.35">
      <c r="A834" s="3" t="str">
        <f>IF(C834="","",(VLOOKUP($C834,KEY!$B$5:$D$74,3,FALSE)))</f>
        <v/>
      </c>
      <c r="B834" s="221"/>
      <c r="C834" s="222"/>
      <c r="D834" s="399"/>
    </row>
    <row r="835" spans="1:4" hidden="1" x14ac:dyDescent="0.35">
      <c r="A835" s="3" t="str">
        <f>IF(C835="","",(VLOOKUP($C835,KEY!$B$5:$D$74,3,FALSE)))</f>
        <v/>
      </c>
      <c r="B835" s="221"/>
      <c r="C835" s="222"/>
      <c r="D835" s="399"/>
    </row>
    <row r="836" spans="1:4" hidden="1" x14ac:dyDescent="0.35">
      <c r="A836" s="3" t="str">
        <f>IF(C836="","",(VLOOKUP($C836,KEY!$B$5:$D$74,3,FALSE)))</f>
        <v/>
      </c>
      <c r="B836" s="221"/>
      <c r="C836" s="222"/>
      <c r="D836" s="399"/>
    </row>
    <row r="837" spans="1:4" hidden="1" x14ac:dyDescent="0.35">
      <c r="A837" s="3" t="str">
        <f>IF(C837="","",(VLOOKUP($C837,KEY!$B$5:$D$74,3,FALSE)))</f>
        <v/>
      </c>
      <c r="B837" s="221"/>
      <c r="C837" s="222"/>
      <c r="D837" s="399"/>
    </row>
    <row r="838" spans="1:4" hidden="1" x14ac:dyDescent="0.35">
      <c r="A838" s="3" t="str">
        <f>IF(C838="","",(VLOOKUP($C838,KEY!$B$5:$D$74,3,FALSE)))</f>
        <v/>
      </c>
      <c r="B838" s="221"/>
      <c r="C838" s="222"/>
      <c r="D838" s="399"/>
    </row>
    <row r="839" spans="1:4" hidden="1" x14ac:dyDescent="0.35">
      <c r="A839" s="3" t="str">
        <f>IF(C839="","",(VLOOKUP($C839,KEY!$B$5:$D$74,3,FALSE)))</f>
        <v/>
      </c>
      <c r="B839" s="221"/>
      <c r="C839" s="222"/>
      <c r="D839" s="399"/>
    </row>
    <row r="840" spans="1:4" hidden="1" x14ac:dyDescent="0.35">
      <c r="A840" s="3" t="str">
        <f>IF(C840="","",(VLOOKUP($C840,KEY!$B$5:$D$74,3,FALSE)))</f>
        <v/>
      </c>
      <c r="B840" s="221"/>
      <c r="C840" s="222"/>
      <c r="D840" s="399"/>
    </row>
    <row r="841" spans="1:4" hidden="1" x14ac:dyDescent="0.35">
      <c r="A841" s="3" t="str">
        <f>IF(C841="","",(VLOOKUP($C841,KEY!$B$5:$D$74,3,FALSE)))</f>
        <v/>
      </c>
      <c r="B841" s="221"/>
      <c r="C841" s="222"/>
      <c r="D841" s="399"/>
    </row>
    <row r="842" spans="1:4" hidden="1" x14ac:dyDescent="0.35">
      <c r="A842" s="3" t="str">
        <f>IF(C842="","",(VLOOKUP($C842,KEY!$B$5:$D$74,3,FALSE)))</f>
        <v/>
      </c>
      <c r="B842" s="221"/>
      <c r="C842" s="222"/>
      <c r="D842" s="399"/>
    </row>
    <row r="843" spans="1:4" hidden="1" x14ac:dyDescent="0.35">
      <c r="A843" s="3" t="str">
        <f>IF(C843="","",(VLOOKUP($C843,KEY!$B$5:$D$74,3,FALSE)))</f>
        <v/>
      </c>
      <c r="B843" s="221"/>
      <c r="C843" s="222"/>
      <c r="D843" s="399"/>
    </row>
    <row r="844" spans="1:4" hidden="1" x14ac:dyDescent="0.35">
      <c r="A844" s="3" t="str">
        <f>IF(C844="","",(VLOOKUP($C844,KEY!$B$5:$D$74,3,FALSE)))</f>
        <v/>
      </c>
      <c r="B844" s="221"/>
      <c r="C844" s="222"/>
      <c r="D844" s="399"/>
    </row>
    <row r="845" spans="1:4" hidden="1" x14ac:dyDescent="0.35">
      <c r="A845" s="3" t="str">
        <f>IF(C845="","",(VLOOKUP($C845,KEY!$B$5:$D$74,3,FALSE)))</f>
        <v/>
      </c>
      <c r="B845" s="221"/>
      <c r="C845" s="222"/>
      <c r="D845" s="399"/>
    </row>
    <row r="846" spans="1:4" hidden="1" x14ac:dyDescent="0.35">
      <c r="A846" s="3" t="str">
        <f>IF(C846="","",(VLOOKUP($C846,KEY!$B$5:$D$74,3,FALSE)))</f>
        <v/>
      </c>
      <c r="B846" s="221"/>
      <c r="C846" s="222"/>
      <c r="D846" s="399"/>
    </row>
    <row r="847" spans="1:4" hidden="1" x14ac:dyDescent="0.35">
      <c r="A847" s="3" t="str">
        <f>IF(C847="","",(VLOOKUP($C847,KEY!$B$5:$D$74,3,FALSE)))</f>
        <v/>
      </c>
      <c r="B847" s="221"/>
      <c r="C847" s="222"/>
      <c r="D847" s="399"/>
    </row>
    <row r="848" spans="1:4" hidden="1" x14ac:dyDescent="0.35">
      <c r="A848" s="3" t="str">
        <f>IF(C848="","",(VLOOKUP($C848,KEY!$B$5:$D$74,3,FALSE)))</f>
        <v/>
      </c>
      <c r="B848" s="221"/>
      <c r="C848" s="222"/>
      <c r="D848" s="399"/>
    </row>
    <row r="849" spans="1:4" hidden="1" x14ac:dyDescent="0.35">
      <c r="A849" s="3" t="str">
        <f>IF(C849="","",(VLOOKUP($C849,KEY!$B$5:$D$74,3,FALSE)))</f>
        <v/>
      </c>
      <c r="B849" s="221"/>
      <c r="C849" s="222"/>
      <c r="D849" s="399"/>
    </row>
    <row r="850" spans="1:4" hidden="1" x14ac:dyDescent="0.35">
      <c r="A850" s="3" t="str">
        <f>IF(C850="","",(VLOOKUP($C850,KEY!$B$5:$D$74,3,FALSE)))</f>
        <v/>
      </c>
      <c r="B850" s="221"/>
      <c r="C850" s="222"/>
      <c r="D850" s="399"/>
    </row>
    <row r="851" spans="1:4" hidden="1" x14ac:dyDescent="0.35">
      <c r="A851" s="3" t="str">
        <f>IF(C851="","",(VLOOKUP($C851,KEY!$B$5:$D$74,3,FALSE)))</f>
        <v/>
      </c>
      <c r="B851" s="221"/>
      <c r="C851" s="222"/>
      <c r="D851" s="399"/>
    </row>
    <row r="852" spans="1:4" hidden="1" x14ac:dyDescent="0.35">
      <c r="A852" s="3" t="str">
        <f>IF(C852="","",(VLOOKUP($C852,KEY!$B$5:$D$74,3,FALSE)))</f>
        <v/>
      </c>
      <c r="B852" s="221"/>
      <c r="C852" s="222"/>
      <c r="D852" s="399"/>
    </row>
    <row r="853" spans="1:4" hidden="1" x14ac:dyDescent="0.35">
      <c r="A853" s="3" t="str">
        <f>IF(C853="","",(VLOOKUP($C853,KEY!$B$5:$D$74,3,FALSE)))</f>
        <v/>
      </c>
      <c r="B853" s="221"/>
      <c r="C853" s="222"/>
      <c r="D853" s="399"/>
    </row>
    <row r="854" spans="1:4" hidden="1" x14ac:dyDescent="0.35">
      <c r="A854" s="3" t="str">
        <f>IF(C854="","",(VLOOKUP($C854,KEY!$B$5:$D$74,3,FALSE)))</f>
        <v/>
      </c>
      <c r="B854" s="221"/>
      <c r="C854" s="222"/>
      <c r="D854" s="399"/>
    </row>
    <row r="855" spans="1:4" hidden="1" x14ac:dyDescent="0.35">
      <c r="A855" s="3" t="str">
        <f>IF(C855="","",(VLOOKUP($C855,KEY!$B$5:$D$74,3,FALSE)))</f>
        <v/>
      </c>
      <c r="B855" s="221"/>
      <c r="C855" s="222"/>
      <c r="D855" s="399"/>
    </row>
    <row r="856" spans="1:4" hidden="1" x14ac:dyDescent="0.35">
      <c r="A856" s="3" t="str">
        <f>IF(C856="","",(VLOOKUP($C856,KEY!$B$5:$D$74,3,FALSE)))</f>
        <v/>
      </c>
      <c r="B856" s="221"/>
      <c r="C856" s="222"/>
      <c r="D856" s="399"/>
    </row>
    <row r="857" spans="1:4" hidden="1" x14ac:dyDescent="0.35">
      <c r="A857" s="3" t="str">
        <f>IF(C857="","",(VLOOKUP($C857,KEY!$B$5:$D$74,3,FALSE)))</f>
        <v/>
      </c>
      <c r="B857" s="221"/>
      <c r="C857" s="222"/>
      <c r="D857" s="399"/>
    </row>
    <row r="858" spans="1:4" hidden="1" x14ac:dyDescent="0.35">
      <c r="A858" s="3" t="str">
        <f>IF(C858="","",(VLOOKUP($C858,KEY!$B$5:$D$74,3,FALSE)))</f>
        <v/>
      </c>
      <c r="B858" s="221"/>
      <c r="C858" s="222"/>
      <c r="D858" s="399"/>
    </row>
    <row r="859" spans="1:4" hidden="1" x14ac:dyDescent="0.35">
      <c r="A859" s="3" t="str">
        <f>IF(C859="","",(VLOOKUP($C859,KEY!$B$5:$D$74,3,FALSE)))</f>
        <v/>
      </c>
      <c r="B859" s="221"/>
      <c r="C859" s="222"/>
      <c r="D859" s="399"/>
    </row>
    <row r="860" spans="1:4" hidden="1" x14ac:dyDescent="0.35">
      <c r="A860" s="3" t="str">
        <f>IF(C860="","",(VLOOKUP($C860,KEY!$B$5:$D$74,3,FALSE)))</f>
        <v/>
      </c>
      <c r="B860" s="221"/>
      <c r="C860" s="222"/>
      <c r="D860" s="399"/>
    </row>
    <row r="861" spans="1:4" hidden="1" x14ac:dyDescent="0.35">
      <c r="A861" s="3" t="str">
        <f>IF(C861="","",(VLOOKUP($C861,KEY!$B$5:$D$74,3,FALSE)))</f>
        <v/>
      </c>
      <c r="B861" s="221"/>
      <c r="C861" s="222"/>
      <c r="D861" s="399"/>
    </row>
    <row r="862" spans="1:4" hidden="1" x14ac:dyDescent="0.35">
      <c r="A862" s="3" t="str">
        <f>IF(C862="","",(VLOOKUP($C862,KEY!$B$5:$D$74,3,FALSE)))</f>
        <v/>
      </c>
      <c r="B862" s="221"/>
      <c r="C862" s="222"/>
      <c r="D862" s="399"/>
    </row>
    <row r="863" spans="1:4" hidden="1" x14ac:dyDescent="0.35">
      <c r="A863" s="3" t="str">
        <f>IF(C863="","",(VLOOKUP($C863,KEY!$B$5:$D$74,3,FALSE)))</f>
        <v/>
      </c>
      <c r="B863" s="221"/>
      <c r="C863" s="222"/>
      <c r="D863" s="399"/>
    </row>
    <row r="864" spans="1:4" hidden="1" x14ac:dyDescent="0.35">
      <c r="A864" s="3" t="str">
        <f>IF(C864="","",(VLOOKUP($C864,KEY!$B$5:$D$74,3,FALSE)))</f>
        <v/>
      </c>
      <c r="B864" s="221"/>
      <c r="C864" s="222"/>
      <c r="D864" s="399"/>
    </row>
    <row r="865" spans="1:6" hidden="1" x14ac:dyDescent="0.35">
      <c r="A865" s="3" t="str">
        <f>IF(C865="","",(VLOOKUP($C865,KEY!$B$5:$D$74,3,FALSE)))</f>
        <v/>
      </c>
      <c r="B865" s="221"/>
      <c r="C865" s="222"/>
      <c r="D865" s="399"/>
    </row>
    <row r="866" spans="1:6" hidden="1" x14ac:dyDescent="0.35">
      <c r="A866" s="3" t="str">
        <f>IF(C866="","",(VLOOKUP($C866,KEY!$B$5:$D$74,3,FALSE)))</f>
        <v/>
      </c>
      <c r="B866" s="221"/>
      <c r="C866" s="222"/>
      <c r="D866" s="399"/>
    </row>
    <row r="867" spans="1:6" hidden="1" x14ac:dyDescent="0.35">
      <c r="B867" s="221"/>
      <c r="C867" s="222"/>
      <c r="D867" s="399"/>
    </row>
    <row r="868" spans="1:6" hidden="1" x14ac:dyDescent="0.35">
      <c r="B868" s="221" t="s">
        <v>213</v>
      </c>
      <c r="C868" s="222" t="s">
        <v>16</v>
      </c>
      <c r="D868" s="99">
        <f>IFERROR(SUMIFS($D$5:$D$867,$B$5:$B$867,$B868,$A$5:$A$867,$C868)/(E868-F868),"")</f>
        <v>0.88529411764705879</v>
      </c>
      <c r="E868" s="57">
        <f t="shared" ref="E868:E899" si="0">COUNTIFS($A$5:$A$867,$C868,$B$5:$B$867,$B868)</f>
        <v>17</v>
      </c>
      <c r="F868" s="57">
        <f t="shared" ref="F868:F899" si="1">COUNTIFS($A$5:$A$867,$C868,$B$5:$B$867,$B868,$D$5:$D$867,"N/A")</f>
        <v>0</v>
      </c>
    </row>
    <row r="869" spans="1:6" hidden="1" x14ac:dyDescent="0.35">
      <c r="B869" s="221" t="s">
        <v>213</v>
      </c>
      <c r="C869" s="222" t="s">
        <v>104</v>
      </c>
      <c r="D869" s="99" t="str">
        <f t="shared" ref="D869:D984" si="2">IFERROR(SUMIFS($D$5:$D$867,$B$5:$B$867,$B869,$A$5:$A$867,$C869)/(E869-F869),"")</f>
        <v/>
      </c>
      <c r="E869" s="57">
        <f t="shared" si="0"/>
        <v>0</v>
      </c>
      <c r="F869" s="57">
        <f t="shared" si="1"/>
        <v>0</v>
      </c>
    </row>
    <row r="870" spans="1:6" hidden="1" x14ac:dyDescent="0.35">
      <c r="B870" s="221" t="s">
        <v>213</v>
      </c>
      <c r="C870" s="222" t="s">
        <v>105</v>
      </c>
      <c r="D870" s="99" t="str">
        <f t="shared" si="2"/>
        <v/>
      </c>
      <c r="E870" s="57">
        <f t="shared" si="0"/>
        <v>0</v>
      </c>
      <c r="F870" s="57">
        <f t="shared" si="1"/>
        <v>0</v>
      </c>
    </row>
    <row r="871" spans="1:6" hidden="1" x14ac:dyDescent="0.35">
      <c r="B871" s="221" t="s">
        <v>213</v>
      </c>
      <c r="C871" s="222" t="s">
        <v>105</v>
      </c>
      <c r="D871" s="99" t="str">
        <f t="shared" si="2"/>
        <v/>
      </c>
      <c r="E871" s="57">
        <f t="shared" si="0"/>
        <v>0</v>
      </c>
      <c r="F871" s="57">
        <f t="shared" si="1"/>
        <v>0</v>
      </c>
    </row>
    <row r="872" spans="1:6" hidden="1" x14ac:dyDescent="0.35">
      <c r="B872" s="221" t="s">
        <v>213</v>
      </c>
      <c r="C872" s="222" t="s">
        <v>106</v>
      </c>
      <c r="D872" s="99">
        <f t="shared" si="2"/>
        <v>0.89375000000000004</v>
      </c>
      <c r="E872" s="57">
        <f t="shared" si="0"/>
        <v>8</v>
      </c>
      <c r="F872" s="57">
        <f t="shared" si="1"/>
        <v>0</v>
      </c>
    </row>
    <row r="873" spans="1:6" hidden="1" x14ac:dyDescent="0.35">
      <c r="B873" s="221" t="s">
        <v>213</v>
      </c>
      <c r="C873" s="222" t="s">
        <v>107</v>
      </c>
      <c r="D873" s="99">
        <f t="shared" si="2"/>
        <v>0.86875000000000002</v>
      </c>
      <c r="E873" s="57">
        <f t="shared" si="0"/>
        <v>9</v>
      </c>
      <c r="F873" s="57">
        <f t="shared" si="1"/>
        <v>1</v>
      </c>
    </row>
    <row r="874" spans="1:6" hidden="1" x14ac:dyDescent="0.35">
      <c r="B874" s="221" t="s">
        <v>213</v>
      </c>
      <c r="C874" s="222" t="s">
        <v>108</v>
      </c>
      <c r="D874" s="99">
        <f t="shared" si="2"/>
        <v>0.88000000000000012</v>
      </c>
      <c r="E874" s="57">
        <f t="shared" si="0"/>
        <v>10</v>
      </c>
      <c r="F874" s="57">
        <f t="shared" si="1"/>
        <v>0</v>
      </c>
    </row>
    <row r="875" spans="1:6" hidden="1" x14ac:dyDescent="0.35">
      <c r="B875" s="221" t="s">
        <v>213</v>
      </c>
      <c r="C875" s="222" t="s">
        <v>109</v>
      </c>
      <c r="D875" s="99">
        <f t="shared" si="2"/>
        <v>0.78125</v>
      </c>
      <c r="E875" s="57">
        <f t="shared" si="0"/>
        <v>8</v>
      </c>
      <c r="F875" s="57">
        <f t="shared" si="1"/>
        <v>0</v>
      </c>
    </row>
    <row r="876" spans="1:6" hidden="1" x14ac:dyDescent="0.35">
      <c r="B876" s="221" t="s">
        <v>213</v>
      </c>
      <c r="C876" s="222" t="s">
        <v>110</v>
      </c>
      <c r="D876" s="99" t="str">
        <f t="shared" si="2"/>
        <v/>
      </c>
      <c r="E876" s="57">
        <f t="shared" si="0"/>
        <v>0</v>
      </c>
      <c r="F876" s="57">
        <f t="shared" si="1"/>
        <v>0</v>
      </c>
    </row>
    <row r="877" spans="1:6" hidden="1" x14ac:dyDescent="0.35">
      <c r="B877" s="221" t="s">
        <v>214</v>
      </c>
      <c r="C877" s="222" t="s">
        <v>16</v>
      </c>
      <c r="D877" s="99">
        <f t="shared" si="2"/>
        <v>0.80588235294117627</v>
      </c>
      <c r="E877" s="57">
        <f t="shared" si="0"/>
        <v>17</v>
      </c>
      <c r="F877" s="57">
        <f t="shared" si="1"/>
        <v>0</v>
      </c>
    </row>
    <row r="878" spans="1:6" hidden="1" x14ac:dyDescent="0.35">
      <c r="B878" s="221" t="s">
        <v>214</v>
      </c>
      <c r="C878" s="222" t="s">
        <v>104</v>
      </c>
      <c r="D878" s="99" t="str">
        <f t="shared" si="2"/>
        <v/>
      </c>
      <c r="E878" s="57">
        <f t="shared" si="0"/>
        <v>0</v>
      </c>
      <c r="F878" s="57">
        <f t="shared" si="1"/>
        <v>0</v>
      </c>
    </row>
    <row r="879" spans="1:6" hidden="1" x14ac:dyDescent="0.35">
      <c r="B879" s="221" t="s">
        <v>214</v>
      </c>
      <c r="C879" s="222" t="s">
        <v>105</v>
      </c>
      <c r="D879" s="99" t="str">
        <f t="shared" si="2"/>
        <v/>
      </c>
      <c r="E879" s="57">
        <f t="shared" si="0"/>
        <v>0</v>
      </c>
      <c r="F879" s="57">
        <f t="shared" si="1"/>
        <v>0</v>
      </c>
    </row>
    <row r="880" spans="1:6" hidden="1" x14ac:dyDescent="0.35">
      <c r="B880" s="221" t="s">
        <v>214</v>
      </c>
      <c r="C880" s="222" t="s">
        <v>105</v>
      </c>
      <c r="D880" s="99" t="str">
        <f t="shared" si="2"/>
        <v/>
      </c>
      <c r="E880" s="57">
        <f t="shared" si="0"/>
        <v>0</v>
      </c>
      <c r="F880" s="57">
        <f t="shared" si="1"/>
        <v>0</v>
      </c>
    </row>
    <row r="881" spans="2:6" hidden="1" x14ac:dyDescent="0.35">
      <c r="B881" s="221" t="s">
        <v>214</v>
      </c>
      <c r="C881" s="222" t="s">
        <v>106</v>
      </c>
      <c r="D881" s="99">
        <f t="shared" si="2"/>
        <v>0.91875000000000007</v>
      </c>
      <c r="E881" s="57">
        <f t="shared" si="0"/>
        <v>8</v>
      </c>
      <c r="F881" s="57">
        <f t="shared" si="1"/>
        <v>0</v>
      </c>
    </row>
    <row r="882" spans="2:6" hidden="1" x14ac:dyDescent="0.35">
      <c r="B882" s="221" t="s">
        <v>214</v>
      </c>
      <c r="C882" s="222" t="s">
        <v>107</v>
      </c>
      <c r="D882" s="99">
        <f t="shared" si="2"/>
        <v>0.72777777777777775</v>
      </c>
      <c r="E882" s="57">
        <f t="shared" si="0"/>
        <v>9</v>
      </c>
      <c r="F882" s="57">
        <f t="shared" si="1"/>
        <v>0</v>
      </c>
    </row>
    <row r="883" spans="2:6" hidden="1" x14ac:dyDescent="0.35">
      <c r="B883" s="221" t="s">
        <v>214</v>
      </c>
      <c r="C883" s="222" t="s">
        <v>108</v>
      </c>
      <c r="D883" s="99">
        <f t="shared" si="2"/>
        <v>0.74</v>
      </c>
      <c r="E883" s="57">
        <f t="shared" si="0"/>
        <v>10</v>
      </c>
      <c r="F883" s="57">
        <f t="shared" si="1"/>
        <v>0</v>
      </c>
    </row>
    <row r="884" spans="2:6" hidden="1" x14ac:dyDescent="0.35">
      <c r="B884" s="221" t="s">
        <v>214</v>
      </c>
      <c r="C884" s="222" t="s">
        <v>109</v>
      </c>
      <c r="D884" s="99">
        <f t="shared" si="2"/>
        <v>0.65625</v>
      </c>
      <c r="E884" s="57">
        <f t="shared" si="0"/>
        <v>8</v>
      </c>
      <c r="F884" s="57">
        <f t="shared" si="1"/>
        <v>0</v>
      </c>
    </row>
    <row r="885" spans="2:6" hidden="1" x14ac:dyDescent="0.35">
      <c r="B885" s="221" t="s">
        <v>214</v>
      </c>
      <c r="C885" s="222" t="s">
        <v>110</v>
      </c>
      <c r="D885" s="99" t="str">
        <f t="shared" si="2"/>
        <v/>
      </c>
      <c r="E885" s="57">
        <f t="shared" si="0"/>
        <v>0</v>
      </c>
      <c r="F885" s="57">
        <f t="shared" si="1"/>
        <v>0</v>
      </c>
    </row>
    <row r="886" spans="2:6" hidden="1" x14ac:dyDescent="0.35">
      <c r="B886" s="221" t="s">
        <v>215</v>
      </c>
      <c r="C886" s="222" t="s">
        <v>16</v>
      </c>
      <c r="D886" s="99">
        <f t="shared" si="2"/>
        <v>0.89999999999999991</v>
      </c>
      <c r="E886" s="57">
        <f t="shared" si="0"/>
        <v>17</v>
      </c>
      <c r="F886" s="57">
        <f t="shared" si="1"/>
        <v>0</v>
      </c>
    </row>
    <row r="887" spans="2:6" hidden="1" x14ac:dyDescent="0.35">
      <c r="B887" s="221" t="s">
        <v>215</v>
      </c>
      <c r="C887" s="222" t="s">
        <v>104</v>
      </c>
      <c r="D887" s="99" t="str">
        <f t="shared" si="2"/>
        <v/>
      </c>
      <c r="E887" s="57">
        <f t="shared" si="0"/>
        <v>0</v>
      </c>
      <c r="F887" s="57">
        <f t="shared" si="1"/>
        <v>0</v>
      </c>
    </row>
    <row r="888" spans="2:6" hidden="1" x14ac:dyDescent="0.35">
      <c r="B888" s="221" t="s">
        <v>215</v>
      </c>
      <c r="C888" s="222" t="s">
        <v>105</v>
      </c>
      <c r="D888" s="99" t="str">
        <f t="shared" si="2"/>
        <v/>
      </c>
      <c r="E888" s="57">
        <f t="shared" si="0"/>
        <v>0</v>
      </c>
      <c r="F888" s="57">
        <f t="shared" si="1"/>
        <v>0</v>
      </c>
    </row>
    <row r="889" spans="2:6" hidden="1" x14ac:dyDescent="0.35">
      <c r="B889" s="221" t="s">
        <v>215</v>
      </c>
      <c r="C889" s="222" t="s">
        <v>105</v>
      </c>
      <c r="D889" s="99" t="str">
        <f t="shared" si="2"/>
        <v/>
      </c>
      <c r="E889" s="57">
        <f t="shared" si="0"/>
        <v>0</v>
      </c>
      <c r="F889" s="57">
        <f t="shared" si="1"/>
        <v>0</v>
      </c>
    </row>
    <row r="890" spans="2:6" hidden="1" x14ac:dyDescent="0.35">
      <c r="B890" s="221" t="s">
        <v>215</v>
      </c>
      <c r="C890" s="222" t="s">
        <v>106</v>
      </c>
      <c r="D890" s="99">
        <f t="shared" si="2"/>
        <v>0.96250000000000002</v>
      </c>
      <c r="E890" s="57">
        <f t="shared" si="0"/>
        <v>8</v>
      </c>
      <c r="F890" s="57">
        <f t="shared" si="1"/>
        <v>0</v>
      </c>
    </row>
    <row r="891" spans="2:6" hidden="1" x14ac:dyDescent="0.35">
      <c r="B891" s="221" t="s">
        <v>215</v>
      </c>
      <c r="C891" s="222" t="s">
        <v>107</v>
      </c>
      <c r="D891" s="99">
        <f t="shared" si="2"/>
        <v>0.81666666666666665</v>
      </c>
      <c r="E891" s="57">
        <f t="shared" si="0"/>
        <v>9</v>
      </c>
      <c r="F891" s="57">
        <f t="shared" si="1"/>
        <v>0</v>
      </c>
    </row>
    <row r="892" spans="2:6" hidden="1" x14ac:dyDescent="0.35">
      <c r="B892" s="221" t="s">
        <v>215</v>
      </c>
      <c r="C892" s="222" t="s">
        <v>108</v>
      </c>
      <c r="D892" s="99">
        <f t="shared" si="2"/>
        <v>0.71000000000000008</v>
      </c>
      <c r="E892" s="57">
        <f t="shared" si="0"/>
        <v>10</v>
      </c>
      <c r="F892" s="57">
        <f t="shared" si="1"/>
        <v>0</v>
      </c>
    </row>
    <row r="893" spans="2:6" hidden="1" x14ac:dyDescent="0.35">
      <c r="B893" s="221" t="s">
        <v>215</v>
      </c>
      <c r="C893" s="222" t="s">
        <v>109</v>
      </c>
      <c r="D893" s="99">
        <f t="shared" si="2"/>
        <v>0.68125000000000002</v>
      </c>
      <c r="E893" s="57">
        <f t="shared" si="0"/>
        <v>8</v>
      </c>
      <c r="F893" s="57">
        <f t="shared" si="1"/>
        <v>0</v>
      </c>
    </row>
    <row r="894" spans="2:6" hidden="1" x14ac:dyDescent="0.35">
      <c r="B894" s="221" t="s">
        <v>215</v>
      </c>
      <c r="C894" s="222" t="s">
        <v>110</v>
      </c>
      <c r="D894" s="99" t="str">
        <f t="shared" si="2"/>
        <v/>
      </c>
      <c r="E894" s="57">
        <f t="shared" si="0"/>
        <v>0</v>
      </c>
      <c r="F894" s="57">
        <f t="shared" si="1"/>
        <v>0</v>
      </c>
    </row>
    <row r="895" spans="2:6" hidden="1" x14ac:dyDescent="0.35">
      <c r="B895" s="221" t="s">
        <v>216</v>
      </c>
      <c r="C895" s="222" t="s">
        <v>16</v>
      </c>
      <c r="D895" s="99">
        <f t="shared" si="2"/>
        <v>0.9</v>
      </c>
      <c r="E895" s="57">
        <f t="shared" si="0"/>
        <v>17</v>
      </c>
      <c r="F895" s="57">
        <f t="shared" si="1"/>
        <v>0</v>
      </c>
    </row>
    <row r="896" spans="2:6" hidden="1" x14ac:dyDescent="0.35">
      <c r="B896" s="221" t="s">
        <v>216</v>
      </c>
      <c r="C896" s="222" t="s">
        <v>104</v>
      </c>
      <c r="D896" s="99" t="str">
        <f t="shared" si="2"/>
        <v/>
      </c>
      <c r="E896" s="57">
        <f t="shared" si="0"/>
        <v>0</v>
      </c>
      <c r="F896" s="57">
        <f t="shared" si="1"/>
        <v>0</v>
      </c>
    </row>
    <row r="897" spans="2:6" hidden="1" x14ac:dyDescent="0.35">
      <c r="B897" s="221" t="s">
        <v>216</v>
      </c>
      <c r="C897" s="222" t="s">
        <v>105</v>
      </c>
      <c r="D897" s="99" t="str">
        <f t="shared" si="2"/>
        <v/>
      </c>
      <c r="E897" s="57">
        <f t="shared" si="0"/>
        <v>0</v>
      </c>
      <c r="F897" s="57">
        <f t="shared" si="1"/>
        <v>0</v>
      </c>
    </row>
    <row r="898" spans="2:6" hidden="1" x14ac:dyDescent="0.35">
      <c r="B898" s="221" t="s">
        <v>216</v>
      </c>
      <c r="C898" s="222" t="s">
        <v>105</v>
      </c>
      <c r="D898" s="99" t="str">
        <f t="shared" si="2"/>
        <v/>
      </c>
      <c r="E898" s="57">
        <f t="shared" si="0"/>
        <v>0</v>
      </c>
      <c r="F898" s="57">
        <f t="shared" si="1"/>
        <v>0</v>
      </c>
    </row>
    <row r="899" spans="2:6" hidden="1" x14ac:dyDescent="0.35">
      <c r="B899" s="221" t="s">
        <v>216</v>
      </c>
      <c r="C899" s="222" t="s">
        <v>106</v>
      </c>
      <c r="D899" s="99">
        <f t="shared" si="2"/>
        <v>0.95624999999999993</v>
      </c>
      <c r="E899" s="57">
        <f t="shared" si="0"/>
        <v>8</v>
      </c>
      <c r="F899" s="57">
        <f t="shared" si="1"/>
        <v>0</v>
      </c>
    </row>
    <row r="900" spans="2:6" hidden="1" x14ac:dyDescent="0.35">
      <c r="B900" s="221" t="s">
        <v>216</v>
      </c>
      <c r="C900" s="222" t="s">
        <v>107</v>
      </c>
      <c r="D900" s="99">
        <f t="shared" si="2"/>
        <v>0.89444444444444449</v>
      </c>
      <c r="E900" s="57">
        <f t="shared" ref="E900:E984" si="3">COUNTIFS($A$5:$A$867,$C900,$B$5:$B$867,$B900)</f>
        <v>9</v>
      </c>
      <c r="F900" s="57">
        <f t="shared" ref="F900:F984" si="4">COUNTIFS($A$5:$A$867,$C900,$B$5:$B$867,$B900,$D$5:$D$867,"N/A")</f>
        <v>0</v>
      </c>
    </row>
    <row r="901" spans="2:6" hidden="1" x14ac:dyDescent="0.35">
      <c r="B901" s="221" t="s">
        <v>216</v>
      </c>
      <c r="C901" s="222" t="s">
        <v>108</v>
      </c>
      <c r="D901" s="99">
        <f t="shared" si="2"/>
        <v>0.95500000000000007</v>
      </c>
      <c r="E901" s="57">
        <f t="shared" si="3"/>
        <v>10</v>
      </c>
      <c r="F901" s="57">
        <f t="shared" si="4"/>
        <v>0</v>
      </c>
    </row>
    <row r="902" spans="2:6" hidden="1" x14ac:dyDescent="0.35">
      <c r="B902" s="221" t="s">
        <v>216</v>
      </c>
      <c r="C902" s="222" t="s">
        <v>109</v>
      </c>
      <c r="D902" s="99">
        <f t="shared" si="2"/>
        <v>0.80624999999999991</v>
      </c>
      <c r="E902" s="57">
        <f t="shared" si="3"/>
        <v>8</v>
      </c>
      <c r="F902" s="57">
        <f t="shared" si="4"/>
        <v>0</v>
      </c>
    </row>
    <row r="903" spans="2:6" hidden="1" x14ac:dyDescent="0.35">
      <c r="B903" s="221" t="s">
        <v>216</v>
      </c>
      <c r="C903" s="222" t="s">
        <v>110</v>
      </c>
      <c r="D903" s="99" t="str">
        <f t="shared" si="2"/>
        <v/>
      </c>
      <c r="E903" s="57">
        <f t="shared" si="3"/>
        <v>0</v>
      </c>
      <c r="F903" s="57">
        <f t="shared" si="4"/>
        <v>0</v>
      </c>
    </row>
    <row r="904" spans="2:6" hidden="1" x14ac:dyDescent="0.35">
      <c r="B904" s="221" t="s">
        <v>217</v>
      </c>
      <c r="C904" s="222" t="s">
        <v>16</v>
      </c>
      <c r="D904" s="99">
        <f t="shared" si="2"/>
        <v>0.89411764705882346</v>
      </c>
      <c r="E904" s="57">
        <f t="shared" si="3"/>
        <v>17</v>
      </c>
      <c r="F904" s="57">
        <f t="shared" si="4"/>
        <v>0</v>
      </c>
    </row>
    <row r="905" spans="2:6" hidden="1" x14ac:dyDescent="0.35">
      <c r="B905" s="221" t="s">
        <v>217</v>
      </c>
      <c r="C905" s="222" t="s">
        <v>104</v>
      </c>
      <c r="D905" s="99" t="str">
        <f t="shared" si="2"/>
        <v/>
      </c>
      <c r="E905" s="57">
        <f t="shared" si="3"/>
        <v>0</v>
      </c>
      <c r="F905" s="57">
        <f t="shared" si="4"/>
        <v>0</v>
      </c>
    </row>
    <row r="906" spans="2:6" hidden="1" x14ac:dyDescent="0.35">
      <c r="B906" s="221" t="s">
        <v>217</v>
      </c>
      <c r="C906" s="222" t="s">
        <v>105</v>
      </c>
      <c r="D906" s="99" t="str">
        <f t="shared" si="2"/>
        <v/>
      </c>
      <c r="E906" s="57">
        <f t="shared" si="3"/>
        <v>0</v>
      </c>
      <c r="F906" s="57">
        <f t="shared" si="4"/>
        <v>0</v>
      </c>
    </row>
    <row r="907" spans="2:6" hidden="1" x14ac:dyDescent="0.35">
      <c r="B907" s="221" t="s">
        <v>217</v>
      </c>
      <c r="C907" s="222" t="s">
        <v>105</v>
      </c>
      <c r="D907" s="99" t="str">
        <f t="shared" si="2"/>
        <v/>
      </c>
      <c r="E907" s="57">
        <f t="shared" si="3"/>
        <v>0</v>
      </c>
      <c r="F907" s="57">
        <f t="shared" si="4"/>
        <v>0</v>
      </c>
    </row>
    <row r="908" spans="2:6" hidden="1" x14ac:dyDescent="0.35">
      <c r="B908" s="221" t="s">
        <v>217</v>
      </c>
      <c r="C908" s="222" t="s">
        <v>106</v>
      </c>
      <c r="D908" s="99"/>
      <c r="E908" s="57">
        <f t="shared" si="3"/>
        <v>8</v>
      </c>
      <c r="F908" s="57">
        <f t="shared" si="4"/>
        <v>0</v>
      </c>
    </row>
    <row r="909" spans="2:6" hidden="1" x14ac:dyDescent="0.35">
      <c r="B909" s="221" t="s">
        <v>217</v>
      </c>
      <c r="C909" s="222" t="s">
        <v>107</v>
      </c>
      <c r="D909" s="99"/>
      <c r="E909" s="57">
        <f t="shared" si="3"/>
        <v>9</v>
      </c>
      <c r="F909" s="57">
        <f t="shared" si="4"/>
        <v>0</v>
      </c>
    </row>
    <row r="910" spans="2:6" hidden="1" x14ac:dyDescent="0.35">
      <c r="B910" s="221" t="s">
        <v>217</v>
      </c>
      <c r="C910" s="222" t="s">
        <v>108</v>
      </c>
      <c r="D910" s="99"/>
      <c r="E910" s="57">
        <f t="shared" si="3"/>
        <v>10</v>
      </c>
      <c r="F910" s="57">
        <f t="shared" si="4"/>
        <v>0</v>
      </c>
    </row>
    <row r="911" spans="2:6" hidden="1" x14ac:dyDescent="0.35">
      <c r="B911" s="221" t="s">
        <v>217</v>
      </c>
      <c r="C911" s="222" t="s">
        <v>109</v>
      </c>
      <c r="D911" s="99"/>
      <c r="E911" s="57">
        <f t="shared" si="3"/>
        <v>8</v>
      </c>
      <c r="F911" s="57">
        <f t="shared" si="4"/>
        <v>0</v>
      </c>
    </row>
    <row r="912" spans="2:6" hidden="1" x14ac:dyDescent="0.35">
      <c r="B912" s="221" t="s">
        <v>217</v>
      </c>
      <c r="C912" s="222" t="s">
        <v>110</v>
      </c>
      <c r="D912" s="99"/>
      <c r="E912" s="57">
        <f t="shared" si="3"/>
        <v>0</v>
      </c>
      <c r="F912" s="57">
        <f t="shared" si="4"/>
        <v>0</v>
      </c>
    </row>
    <row r="913" spans="2:6" hidden="1" x14ac:dyDescent="0.35">
      <c r="B913" s="221" t="s">
        <v>218</v>
      </c>
      <c r="C913" s="222" t="s">
        <v>16</v>
      </c>
      <c r="D913" s="99"/>
      <c r="E913" s="57">
        <f t="shared" si="3"/>
        <v>17</v>
      </c>
      <c r="F913" s="57">
        <f t="shared" si="4"/>
        <v>0</v>
      </c>
    </row>
    <row r="914" spans="2:6" hidden="1" x14ac:dyDescent="0.35">
      <c r="B914" s="221" t="s">
        <v>218</v>
      </c>
      <c r="C914" s="222" t="s">
        <v>104</v>
      </c>
      <c r="D914" s="99"/>
      <c r="E914" s="57">
        <f t="shared" si="3"/>
        <v>0</v>
      </c>
      <c r="F914" s="57">
        <f t="shared" si="4"/>
        <v>0</v>
      </c>
    </row>
    <row r="915" spans="2:6" hidden="1" x14ac:dyDescent="0.35">
      <c r="B915" s="221" t="s">
        <v>218</v>
      </c>
      <c r="C915" s="222" t="s">
        <v>105</v>
      </c>
      <c r="D915" s="99"/>
      <c r="E915" s="57">
        <f t="shared" si="3"/>
        <v>0</v>
      </c>
      <c r="F915" s="57">
        <f t="shared" si="4"/>
        <v>0</v>
      </c>
    </row>
    <row r="916" spans="2:6" hidden="1" x14ac:dyDescent="0.35">
      <c r="B916" s="221" t="s">
        <v>218</v>
      </c>
      <c r="C916" s="222" t="s">
        <v>105</v>
      </c>
      <c r="D916" s="99"/>
      <c r="E916" s="57">
        <f t="shared" si="3"/>
        <v>0</v>
      </c>
      <c r="F916" s="57">
        <f t="shared" si="4"/>
        <v>0</v>
      </c>
    </row>
    <row r="917" spans="2:6" hidden="1" x14ac:dyDescent="0.35">
      <c r="B917" s="221" t="s">
        <v>218</v>
      </c>
      <c r="C917" s="222" t="s">
        <v>106</v>
      </c>
      <c r="D917" s="99"/>
      <c r="E917" s="57">
        <f t="shared" si="3"/>
        <v>8</v>
      </c>
      <c r="F917" s="57">
        <f t="shared" si="4"/>
        <v>0</v>
      </c>
    </row>
    <row r="918" spans="2:6" hidden="1" x14ac:dyDescent="0.35">
      <c r="B918" s="221" t="s">
        <v>218</v>
      </c>
      <c r="C918" s="222" t="s">
        <v>107</v>
      </c>
      <c r="D918" s="99"/>
      <c r="E918" s="57">
        <f t="shared" si="3"/>
        <v>9</v>
      </c>
      <c r="F918" s="57">
        <f t="shared" si="4"/>
        <v>0</v>
      </c>
    </row>
    <row r="919" spans="2:6" hidden="1" x14ac:dyDescent="0.35">
      <c r="B919" s="221" t="s">
        <v>218</v>
      </c>
      <c r="C919" s="222" t="s">
        <v>108</v>
      </c>
      <c r="D919" s="99"/>
      <c r="E919" s="57">
        <f t="shared" si="3"/>
        <v>10</v>
      </c>
      <c r="F919" s="57">
        <f t="shared" si="4"/>
        <v>0</v>
      </c>
    </row>
    <row r="920" spans="2:6" hidden="1" x14ac:dyDescent="0.35">
      <c r="B920" s="221" t="s">
        <v>218</v>
      </c>
      <c r="C920" s="222" t="s">
        <v>109</v>
      </c>
      <c r="D920" s="99"/>
      <c r="E920" s="57">
        <f t="shared" si="3"/>
        <v>8</v>
      </c>
      <c r="F920" s="57">
        <f t="shared" si="4"/>
        <v>0</v>
      </c>
    </row>
    <row r="921" spans="2:6" hidden="1" x14ac:dyDescent="0.35">
      <c r="B921" s="221" t="s">
        <v>218</v>
      </c>
      <c r="C921" s="222" t="s">
        <v>110</v>
      </c>
      <c r="D921" s="99"/>
      <c r="E921" s="57">
        <f t="shared" si="3"/>
        <v>0</v>
      </c>
      <c r="F921" s="57">
        <f t="shared" si="4"/>
        <v>0</v>
      </c>
    </row>
    <row r="922" spans="2:6" hidden="1" x14ac:dyDescent="0.35">
      <c r="B922" s="221" t="s">
        <v>219</v>
      </c>
      <c r="C922" s="222" t="s">
        <v>16</v>
      </c>
      <c r="D922" s="99"/>
      <c r="E922" s="57">
        <f t="shared" si="3"/>
        <v>17</v>
      </c>
      <c r="F922" s="57">
        <f t="shared" si="4"/>
        <v>0</v>
      </c>
    </row>
    <row r="923" spans="2:6" hidden="1" x14ac:dyDescent="0.35">
      <c r="B923" s="221" t="s">
        <v>219</v>
      </c>
      <c r="C923" s="222" t="s">
        <v>104</v>
      </c>
      <c r="D923" s="99"/>
      <c r="E923" s="57">
        <f t="shared" si="3"/>
        <v>0</v>
      </c>
      <c r="F923" s="57">
        <f t="shared" si="4"/>
        <v>0</v>
      </c>
    </row>
    <row r="924" spans="2:6" hidden="1" x14ac:dyDescent="0.35">
      <c r="B924" s="221" t="s">
        <v>219</v>
      </c>
      <c r="C924" s="222" t="s">
        <v>105</v>
      </c>
      <c r="D924" s="99"/>
      <c r="E924" s="57">
        <f t="shared" si="3"/>
        <v>0</v>
      </c>
      <c r="F924" s="57">
        <f t="shared" si="4"/>
        <v>0</v>
      </c>
    </row>
    <row r="925" spans="2:6" hidden="1" x14ac:dyDescent="0.35">
      <c r="B925" s="221" t="s">
        <v>219</v>
      </c>
      <c r="C925" s="222" t="s">
        <v>105</v>
      </c>
      <c r="D925" s="99"/>
      <c r="E925" s="57">
        <f t="shared" si="3"/>
        <v>0</v>
      </c>
      <c r="F925" s="57">
        <f t="shared" si="4"/>
        <v>0</v>
      </c>
    </row>
    <row r="926" spans="2:6" hidden="1" x14ac:dyDescent="0.35">
      <c r="B926" s="221" t="s">
        <v>219</v>
      </c>
      <c r="C926" s="222" t="s">
        <v>106</v>
      </c>
      <c r="D926" s="99"/>
      <c r="E926" s="57">
        <f t="shared" si="3"/>
        <v>8</v>
      </c>
      <c r="F926" s="57">
        <f t="shared" si="4"/>
        <v>0</v>
      </c>
    </row>
    <row r="927" spans="2:6" hidden="1" x14ac:dyDescent="0.35">
      <c r="B927" s="221" t="s">
        <v>219</v>
      </c>
      <c r="C927" s="222" t="s">
        <v>107</v>
      </c>
      <c r="D927" s="99"/>
      <c r="E927" s="57">
        <f t="shared" si="3"/>
        <v>9</v>
      </c>
      <c r="F927" s="57">
        <f t="shared" si="4"/>
        <v>0</v>
      </c>
    </row>
    <row r="928" spans="2:6" hidden="1" x14ac:dyDescent="0.35">
      <c r="B928" s="221" t="s">
        <v>219</v>
      </c>
      <c r="C928" s="222" t="s">
        <v>108</v>
      </c>
      <c r="D928" s="99"/>
      <c r="E928" s="57">
        <f t="shared" si="3"/>
        <v>10</v>
      </c>
      <c r="F928" s="57">
        <f t="shared" si="4"/>
        <v>0</v>
      </c>
    </row>
    <row r="929" spans="2:6" hidden="1" x14ac:dyDescent="0.35">
      <c r="B929" s="221" t="s">
        <v>219</v>
      </c>
      <c r="C929" s="222" t="s">
        <v>109</v>
      </c>
      <c r="D929" s="99"/>
      <c r="E929" s="57">
        <f t="shared" si="3"/>
        <v>8</v>
      </c>
      <c r="F929" s="57">
        <f t="shared" si="4"/>
        <v>0</v>
      </c>
    </row>
    <row r="930" spans="2:6" hidden="1" x14ac:dyDescent="0.35">
      <c r="B930" s="221" t="s">
        <v>219</v>
      </c>
      <c r="C930" s="222" t="s">
        <v>110</v>
      </c>
      <c r="D930" s="99"/>
      <c r="E930" s="57">
        <f t="shared" si="3"/>
        <v>0</v>
      </c>
      <c r="F930" s="57">
        <f t="shared" si="4"/>
        <v>0</v>
      </c>
    </row>
    <row r="931" spans="2:6" hidden="1" x14ac:dyDescent="0.35">
      <c r="B931" s="221" t="s">
        <v>220</v>
      </c>
      <c r="C931" s="222" t="s">
        <v>16</v>
      </c>
      <c r="D931" s="99"/>
      <c r="E931" s="57">
        <f t="shared" si="3"/>
        <v>17</v>
      </c>
      <c r="F931" s="57">
        <f t="shared" si="4"/>
        <v>0</v>
      </c>
    </row>
    <row r="932" spans="2:6" hidden="1" x14ac:dyDescent="0.35">
      <c r="B932" s="221" t="s">
        <v>220</v>
      </c>
      <c r="C932" s="222" t="s">
        <v>104</v>
      </c>
      <c r="D932" s="99"/>
      <c r="E932" s="57">
        <f t="shared" si="3"/>
        <v>0</v>
      </c>
      <c r="F932" s="57">
        <f t="shared" si="4"/>
        <v>0</v>
      </c>
    </row>
    <row r="933" spans="2:6" hidden="1" x14ac:dyDescent="0.35">
      <c r="B933" s="221" t="s">
        <v>220</v>
      </c>
      <c r="C933" s="222" t="s">
        <v>105</v>
      </c>
      <c r="D933" s="99"/>
      <c r="E933" s="57">
        <f t="shared" si="3"/>
        <v>0</v>
      </c>
      <c r="F933" s="57">
        <f t="shared" si="4"/>
        <v>0</v>
      </c>
    </row>
    <row r="934" spans="2:6" hidden="1" x14ac:dyDescent="0.35">
      <c r="B934" s="221" t="s">
        <v>220</v>
      </c>
      <c r="C934" s="222" t="s">
        <v>105</v>
      </c>
      <c r="D934" s="99"/>
      <c r="E934" s="57">
        <f t="shared" si="3"/>
        <v>0</v>
      </c>
      <c r="F934" s="57">
        <f t="shared" si="4"/>
        <v>0</v>
      </c>
    </row>
    <row r="935" spans="2:6" hidden="1" x14ac:dyDescent="0.35">
      <c r="B935" s="221" t="s">
        <v>220</v>
      </c>
      <c r="C935" s="222" t="s">
        <v>106</v>
      </c>
      <c r="D935" s="99"/>
      <c r="E935" s="57">
        <f t="shared" si="3"/>
        <v>8</v>
      </c>
      <c r="F935" s="57">
        <f t="shared" si="4"/>
        <v>0</v>
      </c>
    </row>
    <row r="936" spans="2:6" hidden="1" x14ac:dyDescent="0.35">
      <c r="B936" s="221" t="s">
        <v>220</v>
      </c>
      <c r="C936" s="222" t="s">
        <v>107</v>
      </c>
      <c r="D936" s="99"/>
      <c r="E936" s="57">
        <f t="shared" si="3"/>
        <v>9</v>
      </c>
      <c r="F936" s="57">
        <f t="shared" si="4"/>
        <v>0</v>
      </c>
    </row>
    <row r="937" spans="2:6" hidden="1" x14ac:dyDescent="0.35">
      <c r="B937" s="221" t="s">
        <v>220</v>
      </c>
      <c r="C937" s="222" t="s">
        <v>108</v>
      </c>
      <c r="D937" s="99"/>
      <c r="E937" s="57">
        <f t="shared" si="3"/>
        <v>10</v>
      </c>
      <c r="F937" s="57">
        <f t="shared" si="4"/>
        <v>0</v>
      </c>
    </row>
    <row r="938" spans="2:6" hidden="1" x14ac:dyDescent="0.35">
      <c r="B938" s="221" t="s">
        <v>220</v>
      </c>
      <c r="C938" s="222" t="s">
        <v>109</v>
      </c>
      <c r="D938" s="99"/>
      <c r="E938" s="57">
        <f t="shared" si="3"/>
        <v>9</v>
      </c>
      <c r="F938" s="57">
        <f t="shared" si="4"/>
        <v>0</v>
      </c>
    </row>
    <row r="939" spans="2:6" hidden="1" x14ac:dyDescent="0.35">
      <c r="B939" s="221" t="s">
        <v>220</v>
      </c>
      <c r="C939" s="222" t="s">
        <v>110</v>
      </c>
      <c r="D939" s="99"/>
      <c r="E939" s="57">
        <f t="shared" si="3"/>
        <v>0</v>
      </c>
      <c r="F939" s="57">
        <f t="shared" si="4"/>
        <v>0</v>
      </c>
    </row>
    <row r="940" spans="2:6" hidden="1" x14ac:dyDescent="0.35">
      <c r="B940" s="221" t="s">
        <v>221</v>
      </c>
      <c r="C940" s="222" t="s">
        <v>16</v>
      </c>
      <c r="D940" s="99"/>
      <c r="E940" s="57">
        <f t="shared" si="3"/>
        <v>18</v>
      </c>
      <c r="F940" s="57">
        <f t="shared" si="4"/>
        <v>0</v>
      </c>
    </row>
    <row r="941" spans="2:6" hidden="1" x14ac:dyDescent="0.35">
      <c r="B941" s="221" t="s">
        <v>221</v>
      </c>
      <c r="C941" s="222" t="s">
        <v>104</v>
      </c>
      <c r="D941" s="99"/>
      <c r="E941" s="57">
        <f t="shared" si="3"/>
        <v>0</v>
      </c>
      <c r="F941" s="57">
        <f t="shared" si="4"/>
        <v>0</v>
      </c>
    </row>
    <row r="942" spans="2:6" hidden="1" x14ac:dyDescent="0.35">
      <c r="B942" s="221" t="s">
        <v>221</v>
      </c>
      <c r="C942" s="222" t="s">
        <v>105</v>
      </c>
      <c r="D942" s="99"/>
      <c r="E942" s="57">
        <f t="shared" si="3"/>
        <v>0</v>
      </c>
      <c r="F942" s="57">
        <f t="shared" si="4"/>
        <v>0</v>
      </c>
    </row>
    <row r="943" spans="2:6" hidden="1" x14ac:dyDescent="0.35">
      <c r="B943" s="221" t="s">
        <v>221</v>
      </c>
      <c r="C943" s="222" t="s">
        <v>105</v>
      </c>
      <c r="D943" s="99"/>
      <c r="E943" s="57">
        <f t="shared" si="3"/>
        <v>0</v>
      </c>
      <c r="F943" s="57">
        <f t="shared" si="4"/>
        <v>0</v>
      </c>
    </row>
    <row r="944" spans="2:6" hidden="1" x14ac:dyDescent="0.35">
      <c r="B944" s="221" t="s">
        <v>221</v>
      </c>
      <c r="C944" s="222" t="s">
        <v>106</v>
      </c>
      <c r="D944" s="99"/>
      <c r="E944" s="57">
        <f t="shared" si="3"/>
        <v>8</v>
      </c>
      <c r="F944" s="57">
        <f t="shared" si="4"/>
        <v>0</v>
      </c>
    </row>
    <row r="945" spans="2:6" hidden="1" x14ac:dyDescent="0.35">
      <c r="B945" s="221" t="s">
        <v>221</v>
      </c>
      <c r="C945" s="222" t="s">
        <v>107</v>
      </c>
      <c r="D945" s="99"/>
      <c r="E945" s="57">
        <f t="shared" si="3"/>
        <v>9</v>
      </c>
      <c r="F945" s="57">
        <f t="shared" si="4"/>
        <v>0</v>
      </c>
    </row>
    <row r="946" spans="2:6" hidden="1" x14ac:dyDescent="0.35">
      <c r="B946" s="221" t="s">
        <v>221</v>
      </c>
      <c r="C946" s="222" t="s">
        <v>108</v>
      </c>
      <c r="D946" s="99"/>
      <c r="E946" s="57">
        <f t="shared" si="3"/>
        <v>10</v>
      </c>
      <c r="F946" s="57">
        <f t="shared" si="4"/>
        <v>0</v>
      </c>
    </row>
    <row r="947" spans="2:6" hidden="1" x14ac:dyDescent="0.35">
      <c r="B947" s="221" t="s">
        <v>221</v>
      </c>
      <c r="C947" s="222" t="s">
        <v>109</v>
      </c>
      <c r="D947" s="99"/>
      <c r="E947" s="57">
        <f t="shared" si="3"/>
        <v>9</v>
      </c>
      <c r="F947" s="57">
        <f t="shared" si="4"/>
        <v>0</v>
      </c>
    </row>
    <row r="948" spans="2:6" hidden="1" x14ac:dyDescent="0.35">
      <c r="B948" s="221" t="s">
        <v>221</v>
      </c>
      <c r="C948" s="222" t="s">
        <v>110</v>
      </c>
      <c r="D948" s="99"/>
      <c r="E948" s="57">
        <f t="shared" si="3"/>
        <v>0</v>
      </c>
      <c r="F948" s="57">
        <f t="shared" si="4"/>
        <v>0</v>
      </c>
    </row>
    <row r="949" spans="2:6" hidden="1" x14ac:dyDescent="0.35">
      <c r="B949" s="221" t="s">
        <v>222</v>
      </c>
      <c r="C949" s="222" t="s">
        <v>16</v>
      </c>
      <c r="D949" s="99"/>
      <c r="E949" s="57">
        <f t="shared" si="3"/>
        <v>18</v>
      </c>
      <c r="F949" s="57">
        <f t="shared" si="4"/>
        <v>0</v>
      </c>
    </row>
    <row r="950" spans="2:6" hidden="1" x14ac:dyDescent="0.35">
      <c r="B950" s="221" t="s">
        <v>222</v>
      </c>
      <c r="C950" s="222" t="s">
        <v>104</v>
      </c>
      <c r="D950" s="99"/>
      <c r="E950" s="57">
        <f t="shared" si="3"/>
        <v>2</v>
      </c>
      <c r="F950" s="57">
        <f t="shared" si="4"/>
        <v>0</v>
      </c>
    </row>
    <row r="951" spans="2:6" hidden="1" x14ac:dyDescent="0.35">
      <c r="B951" s="221" t="s">
        <v>222</v>
      </c>
      <c r="C951" s="222" t="s">
        <v>105</v>
      </c>
      <c r="D951" s="99"/>
      <c r="E951" s="57">
        <f t="shared" si="3"/>
        <v>3</v>
      </c>
      <c r="F951" s="57">
        <f t="shared" si="4"/>
        <v>0</v>
      </c>
    </row>
    <row r="952" spans="2:6" hidden="1" x14ac:dyDescent="0.35">
      <c r="B952" s="221" t="s">
        <v>222</v>
      </c>
      <c r="C952" s="222" t="s">
        <v>105</v>
      </c>
      <c r="D952" s="99"/>
      <c r="E952" s="57">
        <f t="shared" si="3"/>
        <v>3</v>
      </c>
      <c r="F952" s="57">
        <f t="shared" si="4"/>
        <v>0</v>
      </c>
    </row>
    <row r="953" spans="2:6" hidden="1" x14ac:dyDescent="0.35">
      <c r="B953" s="221" t="s">
        <v>222</v>
      </c>
      <c r="C953" s="222" t="s">
        <v>106</v>
      </c>
      <c r="D953" s="99"/>
      <c r="E953" s="57">
        <f t="shared" si="3"/>
        <v>8</v>
      </c>
      <c r="F953" s="57">
        <f t="shared" si="4"/>
        <v>0</v>
      </c>
    </row>
    <row r="954" spans="2:6" hidden="1" x14ac:dyDescent="0.35">
      <c r="B954" s="221" t="s">
        <v>222</v>
      </c>
      <c r="C954" s="222" t="s">
        <v>107</v>
      </c>
      <c r="D954" s="99"/>
      <c r="E954" s="57">
        <f t="shared" si="3"/>
        <v>9</v>
      </c>
      <c r="F954" s="57">
        <f t="shared" si="4"/>
        <v>0</v>
      </c>
    </row>
    <row r="955" spans="2:6" hidden="1" x14ac:dyDescent="0.35">
      <c r="B955" s="221" t="s">
        <v>222</v>
      </c>
      <c r="C955" s="222" t="s">
        <v>108</v>
      </c>
      <c r="D955" s="99"/>
      <c r="E955" s="57">
        <f t="shared" si="3"/>
        <v>10</v>
      </c>
      <c r="F955" s="57">
        <f t="shared" si="4"/>
        <v>0</v>
      </c>
    </row>
    <row r="956" spans="2:6" hidden="1" x14ac:dyDescent="0.35">
      <c r="B956" s="221" t="s">
        <v>222</v>
      </c>
      <c r="C956" s="222" t="s">
        <v>109</v>
      </c>
      <c r="D956" s="99"/>
      <c r="E956" s="57">
        <f t="shared" si="3"/>
        <v>9</v>
      </c>
      <c r="F956" s="57">
        <f t="shared" si="4"/>
        <v>0</v>
      </c>
    </row>
    <row r="957" spans="2:6" hidden="1" x14ac:dyDescent="0.35">
      <c r="B957" s="221" t="s">
        <v>222</v>
      </c>
      <c r="C957" s="222" t="s">
        <v>110</v>
      </c>
      <c r="D957" s="99"/>
      <c r="E957" s="57">
        <f t="shared" si="3"/>
        <v>1</v>
      </c>
      <c r="F957" s="57">
        <f t="shared" si="4"/>
        <v>0</v>
      </c>
    </row>
    <row r="958" spans="2:6" hidden="1" x14ac:dyDescent="0.35">
      <c r="B958" s="221" t="s">
        <v>223</v>
      </c>
      <c r="C958" s="222" t="s">
        <v>16</v>
      </c>
      <c r="D958" s="99"/>
      <c r="E958" s="57">
        <f t="shared" si="3"/>
        <v>18</v>
      </c>
      <c r="F958" s="57">
        <f t="shared" si="4"/>
        <v>0</v>
      </c>
    </row>
    <row r="959" spans="2:6" hidden="1" x14ac:dyDescent="0.35">
      <c r="B959" s="221" t="s">
        <v>223</v>
      </c>
      <c r="C959" s="222" t="s">
        <v>104</v>
      </c>
      <c r="D959" s="99"/>
      <c r="E959" s="57">
        <f t="shared" si="3"/>
        <v>2</v>
      </c>
      <c r="F959" s="57">
        <f t="shared" si="4"/>
        <v>0</v>
      </c>
    </row>
    <row r="960" spans="2:6" hidden="1" x14ac:dyDescent="0.35">
      <c r="B960" s="221" t="s">
        <v>223</v>
      </c>
      <c r="C960" s="222" t="s">
        <v>105</v>
      </c>
      <c r="D960" s="99">
        <f t="shared" si="2"/>
        <v>0.54166666666666663</v>
      </c>
      <c r="E960" s="57">
        <f t="shared" si="3"/>
        <v>3</v>
      </c>
      <c r="F960" s="57">
        <f t="shared" si="4"/>
        <v>0</v>
      </c>
    </row>
    <row r="961" spans="2:6" hidden="1" x14ac:dyDescent="0.35">
      <c r="B961" s="221" t="s">
        <v>223</v>
      </c>
      <c r="C961" s="222" t="s">
        <v>105</v>
      </c>
      <c r="D961" s="99">
        <f t="shared" si="2"/>
        <v>0.54166666666666663</v>
      </c>
      <c r="E961" s="57">
        <f t="shared" si="3"/>
        <v>3</v>
      </c>
      <c r="F961" s="57">
        <f t="shared" si="4"/>
        <v>0</v>
      </c>
    </row>
    <row r="962" spans="2:6" hidden="1" x14ac:dyDescent="0.35">
      <c r="B962" s="221" t="s">
        <v>223</v>
      </c>
      <c r="C962" s="222" t="s">
        <v>106</v>
      </c>
      <c r="D962" s="99">
        <f t="shared" si="2"/>
        <v>0.84375</v>
      </c>
      <c r="E962" s="57">
        <f t="shared" si="3"/>
        <v>8</v>
      </c>
      <c r="F962" s="57">
        <f t="shared" si="4"/>
        <v>0</v>
      </c>
    </row>
    <row r="963" spans="2:6" hidden="1" x14ac:dyDescent="0.35">
      <c r="B963" s="221" t="s">
        <v>223</v>
      </c>
      <c r="C963" s="222" t="s">
        <v>107</v>
      </c>
      <c r="D963" s="99">
        <f t="shared" si="2"/>
        <v>0.84722222222222221</v>
      </c>
      <c r="E963" s="57">
        <f t="shared" si="3"/>
        <v>9</v>
      </c>
      <c r="F963" s="57">
        <f t="shared" si="4"/>
        <v>0</v>
      </c>
    </row>
    <row r="964" spans="2:6" hidden="1" x14ac:dyDescent="0.35">
      <c r="B964" s="221" t="s">
        <v>223</v>
      </c>
      <c r="C964" s="222" t="s">
        <v>108</v>
      </c>
      <c r="D964" s="99">
        <f t="shared" si="2"/>
        <v>0.76249999999999996</v>
      </c>
      <c r="E964" s="57">
        <f t="shared" si="3"/>
        <v>10</v>
      </c>
      <c r="F964" s="57">
        <f t="shared" si="4"/>
        <v>0</v>
      </c>
    </row>
    <row r="965" spans="2:6" hidden="1" x14ac:dyDescent="0.35">
      <c r="B965" s="221" t="s">
        <v>223</v>
      </c>
      <c r="C965" s="222" t="s">
        <v>109</v>
      </c>
      <c r="D965" s="99">
        <f t="shared" si="2"/>
        <v>0.77777777777777779</v>
      </c>
      <c r="E965" s="57">
        <f t="shared" si="3"/>
        <v>9</v>
      </c>
      <c r="F965" s="57">
        <f t="shared" si="4"/>
        <v>0</v>
      </c>
    </row>
    <row r="966" spans="2:6" hidden="1" x14ac:dyDescent="0.35">
      <c r="B966" s="221" t="s">
        <v>223</v>
      </c>
      <c r="C966" s="222" t="s">
        <v>110</v>
      </c>
      <c r="D966" s="99">
        <f t="shared" si="2"/>
        <v>1</v>
      </c>
      <c r="E966" s="57">
        <f t="shared" si="3"/>
        <v>1</v>
      </c>
      <c r="F966" s="57">
        <f t="shared" si="4"/>
        <v>0</v>
      </c>
    </row>
    <row r="967" spans="2:6" hidden="1" x14ac:dyDescent="0.35">
      <c r="B967" s="221" t="s">
        <v>224</v>
      </c>
      <c r="C967" s="222" t="s">
        <v>16</v>
      </c>
      <c r="D967" s="99">
        <f t="shared" si="2"/>
        <v>0.79861111111111116</v>
      </c>
      <c r="E967" s="57">
        <f t="shared" si="3"/>
        <v>18</v>
      </c>
      <c r="F967" s="57">
        <f t="shared" si="4"/>
        <v>0</v>
      </c>
    </row>
    <row r="968" spans="2:6" hidden="1" x14ac:dyDescent="0.35">
      <c r="B968" s="221" t="s">
        <v>224</v>
      </c>
      <c r="C968" s="222" t="s">
        <v>104</v>
      </c>
      <c r="D968" s="99">
        <f t="shared" si="2"/>
        <v>0.75</v>
      </c>
      <c r="E968" s="57">
        <f t="shared" si="3"/>
        <v>2</v>
      </c>
      <c r="F968" s="57">
        <f t="shared" si="4"/>
        <v>0</v>
      </c>
    </row>
    <row r="969" spans="2:6" hidden="1" x14ac:dyDescent="0.35">
      <c r="B969" s="221" t="s">
        <v>224</v>
      </c>
      <c r="C969" s="222" t="s">
        <v>105</v>
      </c>
      <c r="D969" s="99">
        <f t="shared" si="2"/>
        <v>0.625</v>
      </c>
      <c r="E969" s="57">
        <f t="shared" si="3"/>
        <v>3</v>
      </c>
      <c r="F969" s="57">
        <f t="shared" si="4"/>
        <v>0</v>
      </c>
    </row>
    <row r="970" spans="2:6" hidden="1" x14ac:dyDescent="0.35">
      <c r="B970" s="221" t="s">
        <v>224</v>
      </c>
      <c r="C970" s="222" t="s">
        <v>105</v>
      </c>
      <c r="D970" s="99">
        <f t="shared" si="2"/>
        <v>0.625</v>
      </c>
      <c r="E970" s="57">
        <f t="shared" si="3"/>
        <v>3</v>
      </c>
      <c r="F970" s="57">
        <f t="shared" si="4"/>
        <v>0</v>
      </c>
    </row>
    <row r="971" spans="2:6" hidden="1" x14ac:dyDescent="0.35">
      <c r="B971" s="221" t="s">
        <v>224</v>
      </c>
      <c r="C971" s="222" t="s">
        <v>106</v>
      </c>
      <c r="D971" s="99">
        <f t="shared" si="2"/>
        <v>0.765625</v>
      </c>
      <c r="E971" s="57">
        <f t="shared" si="3"/>
        <v>8</v>
      </c>
      <c r="F971" s="57">
        <f t="shared" si="4"/>
        <v>0</v>
      </c>
    </row>
    <row r="972" spans="2:6" hidden="1" x14ac:dyDescent="0.35">
      <c r="B972" s="221" t="s">
        <v>224</v>
      </c>
      <c r="C972" s="222" t="s">
        <v>107</v>
      </c>
      <c r="D972" s="99">
        <f t="shared" si="2"/>
        <v>0.91666666666666663</v>
      </c>
      <c r="E972" s="57">
        <f t="shared" si="3"/>
        <v>9</v>
      </c>
      <c r="F972" s="57">
        <f t="shared" si="4"/>
        <v>0</v>
      </c>
    </row>
    <row r="973" spans="2:6" hidden="1" x14ac:dyDescent="0.35">
      <c r="B973" s="221" t="s">
        <v>224</v>
      </c>
      <c r="C973" s="222" t="s">
        <v>108</v>
      </c>
      <c r="D973" s="99">
        <f t="shared" si="2"/>
        <v>0.87549999999999994</v>
      </c>
      <c r="E973" s="57">
        <f t="shared" si="3"/>
        <v>10</v>
      </c>
      <c r="F973" s="57">
        <f t="shared" si="4"/>
        <v>0</v>
      </c>
    </row>
    <row r="974" spans="2:6" hidden="1" x14ac:dyDescent="0.35">
      <c r="B974" s="221" t="s">
        <v>224</v>
      </c>
      <c r="C974" s="222" t="s">
        <v>109</v>
      </c>
      <c r="D974" s="99">
        <f t="shared" si="2"/>
        <v>0.82499999999999996</v>
      </c>
      <c r="E974" s="57">
        <f t="shared" si="3"/>
        <v>10</v>
      </c>
      <c r="F974" s="57">
        <f t="shared" si="4"/>
        <v>0</v>
      </c>
    </row>
    <row r="975" spans="2:6" hidden="1" x14ac:dyDescent="0.35">
      <c r="B975" s="221" t="s">
        <v>224</v>
      </c>
      <c r="C975" s="222" t="s">
        <v>110</v>
      </c>
      <c r="D975" s="99">
        <f t="shared" si="2"/>
        <v>0.875</v>
      </c>
      <c r="E975" s="57">
        <f t="shared" si="3"/>
        <v>1</v>
      </c>
      <c r="F975" s="57">
        <f t="shared" si="4"/>
        <v>0</v>
      </c>
    </row>
    <row r="976" spans="2:6" hidden="1" x14ac:dyDescent="0.35">
      <c r="B976" s="221" t="s">
        <v>225</v>
      </c>
      <c r="C976" s="222" t="s">
        <v>16</v>
      </c>
      <c r="D976" s="99" t="str">
        <f t="shared" si="2"/>
        <v/>
      </c>
      <c r="E976" s="57">
        <f t="shared" si="3"/>
        <v>0</v>
      </c>
      <c r="F976" s="57">
        <f t="shared" si="4"/>
        <v>0</v>
      </c>
    </row>
    <row r="977" spans="2:6" hidden="1" x14ac:dyDescent="0.35">
      <c r="B977" s="221" t="s">
        <v>225</v>
      </c>
      <c r="C977" s="222" t="s">
        <v>104</v>
      </c>
      <c r="D977" s="99" t="str">
        <f t="shared" si="2"/>
        <v/>
      </c>
      <c r="E977" s="57">
        <f t="shared" si="3"/>
        <v>0</v>
      </c>
      <c r="F977" s="57">
        <f t="shared" si="4"/>
        <v>0</v>
      </c>
    </row>
    <row r="978" spans="2:6" hidden="1" x14ac:dyDescent="0.35">
      <c r="B978" s="221" t="s">
        <v>225</v>
      </c>
      <c r="C978" s="222" t="s">
        <v>105</v>
      </c>
      <c r="D978" s="99" t="str">
        <f t="shared" si="2"/>
        <v/>
      </c>
      <c r="E978" s="57">
        <f t="shared" si="3"/>
        <v>0</v>
      </c>
      <c r="F978" s="57">
        <f t="shared" si="4"/>
        <v>0</v>
      </c>
    </row>
    <row r="979" spans="2:6" hidden="1" x14ac:dyDescent="0.35">
      <c r="B979" s="221" t="s">
        <v>225</v>
      </c>
      <c r="C979" s="222" t="s">
        <v>105</v>
      </c>
      <c r="D979" s="99" t="str">
        <f t="shared" si="2"/>
        <v/>
      </c>
      <c r="E979" s="57">
        <f t="shared" si="3"/>
        <v>0</v>
      </c>
      <c r="F979" s="57">
        <f t="shared" si="4"/>
        <v>0</v>
      </c>
    </row>
    <row r="980" spans="2:6" hidden="1" x14ac:dyDescent="0.35">
      <c r="B980" s="221" t="s">
        <v>225</v>
      </c>
      <c r="C980" s="222" t="s">
        <v>106</v>
      </c>
      <c r="D980" s="99" t="str">
        <f t="shared" si="2"/>
        <v/>
      </c>
      <c r="E980" s="57">
        <f t="shared" si="3"/>
        <v>0</v>
      </c>
      <c r="F980" s="57">
        <f t="shared" si="4"/>
        <v>0</v>
      </c>
    </row>
    <row r="981" spans="2:6" hidden="1" x14ac:dyDescent="0.35">
      <c r="B981" s="221" t="s">
        <v>225</v>
      </c>
      <c r="C981" s="222" t="s">
        <v>107</v>
      </c>
      <c r="D981" s="99" t="str">
        <f t="shared" si="2"/>
        <v/>
      </c>
      <c r="E981" s="57">
        <f t="shared" si="3"/>
        <v>0</v>
      </c>
      <c r="F981" s="57">
        <f t="shared" si="4"/>
        <v>0</v>
      </c>
    </row>
    <row r="982" spans="2:6" hidden="1" x14ac:dyDescent="0.35">
      <c r="B982" s="221" t="s">
        <v>225</v>
      </c>
      <c r="C982" s="222" t="s">
        <v>108</v>
      </c>
      <c r="D982" s="99" t="str">
        <f t="shared" si="2"/>
        <v/>
      </c>
      <c r="E982" s="57">
        <f t="shared" si="3"/>
        <v>0</v>
      </c>
      <c r="F982" s="57">
        <f t="shared" si="4"/>
        <v>0</v>
      </c>
    </row>
    <row r="983" spans="2:6" hidden="1" x14ac:dyDescent="0.35">
      <c r="B983" s="221" t="s">
        <v>225</v>
      </c>
      <c r="C983" s="222" t="s">
        <v>109</v>
      </c>
      <c r="D983" s="99" t="str">
        <f t="shared" si="2"/>
        <v/>
      </c>
      <c r="E983" s="57">
        <f t="shared" si="3"/>
        <v>0</v>
      </c>
      <c r="F983" s="57">
        <f t="shared" si="4"/>
        <v>0</v>
      </c>
    </row>
    <row r="984" spans="2:6" hidden="1" x14ac:dyDescent="0.35">
      <c r="B984" s="221" t="s">
        <v>225</v>
      </c>
      <c r="C984" s="222" t="s">
        <v>110</v>
      </c>
      <c r="D984" s="99" t="str">
        <f t="shared" si="2"/>
        <v/>
      </c>
      <c r="E984" s="57">
        <f t="shared" si="3"/>
        <v>0</v>
      </c>
      <c r="F984" s="57">
        <f t="shared" si="4"/>
        <v>0</v>
      </c>
    </row>
    <row r="985" spans="2:6" hidden="1" x14ac:dyDescent="0.35">
      <c r="B985" s="221"/>
      <c r="C985" s="222"/>
      <c r="D985" s="99"/>
    </row>
  </sheetData>
  <autoFilter ref="B4:D2348" xr:uid="{F2AC47FB-0DD1-6640-8534-080947EBDE7F}"/>
  <sortState xmlns:xlrd2="http://schemas.microsoft.com/office/spreadsheetml/2017/richdata2" ref="G587:H651">
    <sortCondition ref="G587:G651"/>
  </sortState>
  <phoneticPr fontId="2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BY REGION</vt:lpstr>
      <vt:lpstr>BY AREA</vt:lpstr>
      <vt:lpstr>LEGEND&amp;DATA</vt:lpstr>
      <vt:lpstr>WORKSHEET</vt:lpstr>
      <vt:lpstr>INP_DATA</vt:lpstr>
      <vt:lpstr>INP_PRODUCERS</vt:lpstr>
      <vt:lpstr>INP_TRNGATT</vt:lpstr>
      <vt:lpstr>TRNGATT_CB</vt:lpstr>
      <vt:lpstr>INP_MYSSHP</vt:lpstr>
      <vt:lpstr>CB_TRNGATT</vt:lpstr>
      <vt:lpstr>KEY</vt:lpstr>
      <vt:lpstr>TREND</vt:lpstr>
      <vt:lpstr>WEBSITE</vt:lpstr>
      <vt:lpstr>'BY REGION'!Print_Area</vt:lpstr>
      <vt:lpstr>TREND!Print_Area</vt:lpstr>
      <vt:lpstr>WEBSITE!Print_Area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Scheffer</dc:creator>
  <cp:keywords/>
  <dc:description/>
  <cp:lastModifiedBy>Gilbert,Preston</cp:lastModifiedBy>
  <cp:revision/>
  <dcterms:created xsi:type="dcterms:W3CDTF">2022-07-29T21:06:36Z</dcterms:created>
  <dcterms:modified xsi:type="dcterms:W3CDTF">2026-01-07T16:14:27Z</dcterms:modified>
  <cp:category/>
  <cp:contentStatus/>
</cp:coreProperties>
</file>